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ehsan/Desktop/"/>
    </mc:Choice>
  </mc:AlternateContent>
  <xr:revisionPtr revIDLastSave="0" documentId="8_{17C52A23-7F5F-4C40-AA75-39FF79E3262B}" xr6:coauthVersionLast="47" xr6:coauthVersionMax="47" xr10:uidLastSave="{00000000-0000-0000-0000-000000000000}"/>
  <bookViews>
    <workbookView xWindow="0" yWindow="500" windowWidth="23260" windowHeight="12460" firstSheet="3" activeTab="4" xr2:uid="{00000000-000D-0000-FFFF-FFFF00000000}"/>
  </bookViews>
  <sheets>
    <sheet name="Plan" sheetId="1" r:id="rId1"/>
    <sheet name="Workhours" sheetId="13" r:id="rId2"/>
    <sheet name="Price Sheet" sheetId="18" r:id="rId3"/>
    <sheet name="Crankshaft" sheetId="11" r:id="rId4"/>
    <sheet name="Camshaft" sheetId="14" r:id="rId5"/>
    <sheet name="Machine QTY" sheetId="16" r:id="rId6"/>
    <sheet name="Assembly line" sheetId="17" r:id="rId7"/>
    <sheet name="Labour work" sheetId="19" r:id="rId8"/>
    <sheet name="Sheet5" sheetId="15" r:id="rId9"/>
    <sheet name="Sheet3" sheetId="3" r:id="rId10"/>
    <sheet name="Processes1" sheetId="6" r:id="rId11"/>
    <sheet name="Processes2" sheetId="7" r:id="rId12"/>
    <sheet name="No. Devices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7" l="1"/>
  <c r="E11" i="17"/>
  <c r="E12" i="17"/>
  <c r="E13" i="17"/>
  <c r="E14" i="17"/>
  <c r="E15" i="17"/>
  <c r="E16" i="17"/>
  <c r="E17" i="17"/>
  <c r="E18" i="17"/>
  <c r="E19" i="17"/>
  <c r="E20" i="17"/>
  <c r="E21" i="17"/>
  <c r="E10" i="17"/>
  <c r="C4" i="19"/>
  <c r="C3" i="19"/>
  <c r="A19" i="19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C11" i="19"/>
  <c r="C33" i="19"/>
  <c r="C22" i="17"/>
  <c r="C26" i="17" s="1"/>
  <c r="E25" i="13"/>
  <c r="E24" i="13"/>
  <c r="C17" i="19"/>
  <c r="C2" i="17" l="1"/>
  <c r="E46" i="18"/>
  <c r="D46" i="18"/>
  <c r="A46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7" i="18"/>
  <c r="F46" i="18" s="1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45" i="15" s="1"/>
  <c r="C3" i="17"/>
  <c r="B9" i="16"/>
  <c r="C3" i="16"/>
  <c r="C4" i="16"/>
  <c r="D11" i="17" l="1"/>
  <c r="D13" i="17"/>
  <c r="D14" i="17"/>
  <c r="D15" i="17"/>
  <c r="D16" i="17"/>
  <c r="D17" i="17"/>
  <c r="D18" i="17"/>
  <c r="D19" i="17"/>
  <c r="D20" i="17"/>
  <c r="D21" i="17"/>
  <c r="D10" i="17"/>
  <c r="D12" i="17"/>
  <c r="J20" i="11"/>
  <c r="J18" i="11"/>
  <c r="K22" i="11" s="1"/>
  <c r="J22" i="11"/>
  <c r="J21" i="11"/>
  <c r="K24" i="11" s="1"/>
  <c r="J24" i="11"/>
  <c r="C24" i="11"/>
  <c r="C23" i="11"/>
  <c r="C18" i="11"/>
  <c r="C24" i="14"/>
  <c r="C8" i="11"/>
  <c r="M22" i="11" l="1"/>
  <c r="J13" i="11" s="1"/>
  <c r="J14" i="11" s="1"/>
  <c r="J24" i="14"/>
  <c r="J22" i="14"/>
  <c r="C18" i="14"/>
  <c r="J18" i="14" s="1"/>
  <c r="K22" i="14" s="1"/>
  <c r="J6" i="11"/>
  <c r="J5" i="11"/>
  <c r="K8" i="11" s="1"/>
  <c r="C3" i="11"/>
  <c r="C9" i="11" s="1"/>
  <c r="J2" i="11" s="1"/>
  <c r="K6" i="11" s="1"/>
  <c r="C2" i="11"/>
  <c r="C15" i="13"/>
  <c r="J6" i="14"/>
  <c r="J5" i="14"/>
  <c r="K8" i="14" s="1"/>
  <c r="C3" i="14"/>
  <c r="C9" i="14" s="1"/>
  <c r="J2" i="14" s="1"/>
  <c r="K6" i="14" s="1"/>
  <c r="C8" i="14"/>
  <c r="C2" i="14"/>
  <c r="B5" i="13"/>
  <c r="K2" i="13"/>
  <c r="E7" i="13"/>
  <c r="E6" i="13"/>
  <c r="B8" i="13" l="1"/>
  <c r="D15" i="13"/>
  <c r="D17" i="13" s="1"/>
  <c r="J4" i="11" s="1"/>
  <c r="J8" i="11" s="1"/>
  <c r="M6" i="11" s="1"/>
  <c r="E5" i="13"/>
  <c r="H13" i="11" l="1"/>
  <c r="H14" i="11" s="1"/>
  <c r="K14" i="11" s="1"/>
  <c r="B4" i="16"/>
  <c r="E8" i="13"/>
  <c r="C6" i="17"/>
  <c r="B23" i="13"/>
  <c r="J4" i="14"/>
  <c r="J8" i="14" s="1"/>
  <c r="M6" i="14" s="1"/>
  <c r="C5" i="17" l="1"/>
  <c r="C4" i="17" s="1"/>
  <c r="H2" i="17"/>
  <c r="D6" i="17"/>
  <c r="B21" i="13"/>
  <c r="E21" i="13" s="1"/>
  <c r="I8" i="13"/>
  <c r="I7" i="13"/>
  <c r="K7" i="13" s="1"/>
  <c r="L7" i="13" s="1"/>
  <c r="M7" i="13" s="1"/>
  <c r="I6" i="13"/>
  <c r="K6" i="13" s="1"/>
  <c r="L6" i="13" s="1"/>
  <c r="M6" i="13" s="1"/>
  <c r="B3" i="16"/>
  <c r="B5" i="16"/>
  <c r="B7" i="16"/>
  <c r="C2" i="19" s="1"/>
  <c r="C5" i="19" s="1"/>
  <c r="C8" i="19" s="1"/>
  <c r="C12" i="19" s="1"/>
  <c r="C13" i="19" s="1"/>
  <c r="H13" i="14"/>
  <c r="H14" i="14" s="1"/>
  <c r="D4" i="16"/>
  <c r="D3" i="16" l="1"/>
  <c r="K8" i="13"/>
  <c r="L8" i="13" s="1"/>
  <c r="M8" i="13" s="1"/>
  <c r="B12" i="11"/>
  <c r="B12" i="14" s="1"/>
  <c r="J21" i="14" s="1"/>
  <c r="K24" i="14" s="1"/>
  <c r="M22" i="14" s="1"/>
  <c r="H3" i="17"/>
  <c r="J13" i="14" l="1"/>
  <c r="J14" i="14" s="1"/>
  <c r="K14" i="14" s="1"/>
  <c r="E4" i="16"/>
  <c r="G15" i="17"/>
  <c r="H15" i="17" s="1"/>
  <c r="C23" i="19" s="1"/>
  <c r="G17" i="17"/>
  <c r="H17" i="17" s="1"/>
  <c r="C25" i="19" s="1"/>
  <c r="G19" i="17"/>
  <c r="H19" i="17" s="1"/>
  <c r="C27" i="19" s="1"/>
  <c r="G11" i="17"/>
  <c r="H11" i="17" s="1"/>
  <c r="C19" i="19" s="1"/>
  <c r="G10" i="17"/>
  <c r="H10" i="17" s="1"/>
  <c r="G16" i="17"/>
  <c r="H16" i="17" s="1"/>
  <c r="C24" i="19" s="1"/>
  <c r="G20" i="17"/>
  <c r="H20" i="17" s="1"/>
  <c r="C28" i="19" s="1"/>
  <c r="G13" i="17"/>
  <c r="H13" i="17" s="1"/>
  <c r="C21" i="19" s="1"/>
  <c r="G12" i="17"/>
  <c r="H12" i="17" s="1"/>
  <c r="C20" i="19" s="1"/>
  <c r="G18" i="17"/>
  <c r="H18" i="17" s="1"/>
  <c r="C26" i="19" s="1"/>
  <c r="G21" i="17"/>
  <c r="H21" i="17" s="1"/>
  <c r="C29" i="19" s="1"/>
  <c r="G14" i="17"/>
  <c r="H14" i="17" s="1"/>
  <c r="C22" i="19" s="1"/>
  <c r="J10" i="17" l="1"/>
  <c r="C18" i="19"/>
  <c r="C30" i="19" s="1"/>
  <c r="C34" i="19" s="1"/>
  <c r="C35" i="19" s="1"/>
  <c r="I13" i="17"/>
  <c r="J13" i="17"/>
  <c r="I16" i="17"/>
  <c r="J16" i="17"/>
  <c r="I11" i="17"/>
  <c r="J11" i="17"/>
  <c r="I19" i="17"/>
  <c r="J19" i="17"/>
  <c r="I14" i="17"/>
  <c r="J14" i="17"/>
  <c r="I21" i="17"/>
  <c r="J21" i="17"/>
  <c r="I12" i="17"/>
  <c r="J12" i="17"/>
  <c r="I20" i="17"/>
  <c r="J20" i="17"/>
  <c r="I15" i="17"/>
  <c r="J15" i="17"/>
  <c r="I17" i="17"/>
  <c r="J17" i="17"/>
  <c r="I18" i="17"/>
  <c r="J18" i="17"/>
  <c r="I10" i="17"/>
  <c r="H22" i="17"/>
  <c r="B8" i="16"/>
  <c r="E3" i="16"/>
  <c r="D5" i="16"/>
  <c r="I22" i="17" l="1"/>
  <c r="H5" i="17"/>
  <c r="H6" i="17" s="1"/>
</calcChain>
</file>

<file path=xl/sharedStrings.xml><?xml version="1.0" encoding="utf-8"?>
<sst xmlns="http://schemas.openxmlformats.org/spreadsheetml/2006/main" count="681" uniqueCount="418">
  <si>
    <t>DATE</t>
  </si>
  <si>
    <t>TASK</t>
  </si>
  <si>
    <t>TYPE</t>
  </si>
  <si>
    <t>Pro-Org (Strauß)</t>
  </si>
  <si>
    <t>Deliverable</t>
  </si>
  <si>
    <t>Group Work</t>
  </si>
  <si>
    <t>Individual</t>
  </si>
  <si>
    <t>Written Exam</t>
  </si>
  <si>
    <t>18 Jan 2026 At 16:00</t>
  </si>
  <si>
    <t>18 Jan 2026 After The Exam</t>
  </si>
  <si>
    <t>1 Feb 2026 Before 12:00 PM</t>
  </si>
  <si>
    <t>Assignment 1&amp;2</t>
  </si>
  <si>
    <t>10 Min ppt presentation</t>
  </si>
  <si>
    <t>15-20 Pages report</t>
  </si>
  <si>
    <t xml:space="preserve">Exam in 60 min calculator and ruler are needed </t>
  </si>
  <si>
    <t>Presentation: Manufacturing of Passenger Car Engines</t>
  </si>
  <si>
    <t>Group</t>
  </si>
  <si>
    <t>Amount of engines/d</t>
  </si>
  <si>
    <t>needed budget</t>
  </si>
  <si>
    <t>workers (manufacturing)</t>
  </si>
  <si>
    <t>workers (assembling)</t>
  </si>
  <si>
    <t>workers (storage)</t>
  </si>
  <si>
    <t>area for storage</t>
  </si>
  <si>
    <t>area for manufacturing</t>
  </si>
  <si>
    <t>area for assembling</t>
  </si>
  <si>
    <t>amount of sel procudes parts</t>
  </si>
  <si>
    <t>Manufacturing process</t>
  </si>
  <si>
    <t>Set up time</t>
  </si>
  <si>
    <t>Insertion of Workpiece in machine</t>
  </si>
  <si>
    <t>Non productive time</t>
  </si>
  <si>
    <t>Productive time</t>
  </si>
  <si>
    <t>Time for the tool exchange</t>
  </si>
  <si>
    <t>Tool exchange after</t>
  </si>
  <si>
    <t>Further information</t>
  </si>
  <si>
    <t>Honing / per cylinder</t>
  </si>
  <si>
    <t>2 Minutes</t>
  </si>
  <si>
    <t>1 Minute</t>
  </si>
  <si>
    <t>3 Sec/bore</t>
  </si>
  <si>
    <t>2 Sec/bore</t>
  </si>
  <si>
    <t>30 Minutes</t>
  </si>
  <si>
    <t>5000 engine blocks</t>
  </si>
  <si>
    <t>Drilling / per cylinder (2 valves)</t>
  </si>
  <si>
    <t>5 Minutes</t>
  </si>
  <si>
    <t>1 Sec</t>
  </si>
  <si>
    <t>1 Sec /Valve</t>
  </si>
  <si>
    <t>1000 engine blocks</t>
  </si>
  <si>
    <t>Plane of the cylinder head</t>
  </si>
  <si>
    <t>3 Sec one way</t>
  </si>
  <si>
    <t>30 Sec/toolpath</t>
  </si>
  <si>
    <t>Tool diameter 150mm</t>
  </si>
  <si>
    <t>Drilling per thread</t>
  </si>
  <si>
    <t>3 Sec</t>
  </si>
  <si>
    <t>1.5 Sec/hole</t>
  </si>
  <si>
    <t>500 holes</t>
  </si>
  <si>
    <t>Thread cutting</t>
  </si>
  <si>
    <t>3 Sec / hole</t>
  </si>
  <si>
    <t>5 Sec / hole</t>
  </si>
  <si>
    <t>5 Sec</t>
  </si>
  <si>
    <t>1000 holes</t>
  </si>
  <si>
    <t>Cutting cylinder head valve seat</t>
  </si>
  <si>
    <t>4 Sec</t>
  </si>
  <si>
    <t>Tool diameter 15mm</t>
  </si>
  <si>
    <t>Grinding camshaft / crankshaft</t>
  </si>
  <si>
    <t>15 Minutes</t>
  </si>
  <si>
    <t>30 Sec</t>
  </si>
  <si>
    <t>8 Sec/cam</t>
  </si>
  <si>
    <t>900 camshafts or 900 crankshafts</t>
  </si>
  <si>
    <t>Milling camshaft</t>
  </si>
  <si>
    <t>2 Sec</t>
  </si>
  <si>
    <t>1000 camshafts</t>
  </si>
  <si>
    <t>You have to shift!!</t>
  </si>
  <si>
    <t>Deep drawing</t>
  </si>
  <si>
    <t>45 Minutes</t>
  </si>
  <si>
    <t>8 hours</t>
  </si>
  <si>
    <t>After 20,000 parts</t>
  </si>
  <si>
    <t>List of our Asset</t>
  </si>
  <si>
    <t>Studer S41</t>
  </si>
  <si>
    <t>DMU 50</t>
  </si>
  <si>
    <t>DMG CTX 800 beta</t>
  </si>
  <si>
    <t>turning</t>
  </si>
  <si>
    <t>Grinding of camshafts and crankshafts</t>
  </si>
  <si>
    <t>Milling and drilling operations including Threading</t>
  </si>
  <si>
    <t>honing</t>
  </si>
  <si>
    <t>Gehring Solohone</t>
  </si>
  <si>
    <t>Some assembling</t>
  </si>
  <si>
    <t>KUKA KR60-3</t>
  </si>
  <si>
    <t>Price of it</t>
  </si>
  <si>
    <t>Things they are doing</t>
  </si>
  <si>
    <t>Amount of budget we need for one shift</t>
  </si>
  <si>
    <t>amount of budgedt we need for two shifts</t>
  </si>
  <si>
    <t>Assumptions (explicit)</t>
  </si>
  <si>
    <t>Daily target X = 2,295 engines/day (Group 11).</t>
  </si>
  <si>
    <r>
      <t xml:space="preserve">Overall efficiency </t>
    </r>
    <r>
      <rPr>
        <b/>
        <sz val="14"/>
        <color theme="1"/>
        <rFont val="Calibri"/>
        <family val="2"/>
        <scheme val="minor"/>
      </rPr>
      <t>OEE = 0.85</t>
    </r>
    <r>
      <rPr>
        <sz val="14"/>
        <color theme="1"/>
        <rFont val="Calibri"/>
        <family val="2"/>
        <scheme val="minor"/>
      </rPr>
      <t xml:space="preserve"> (availability×performance×quality).</t>
    </r>
  </si>
  <si>
    <r>
      <t xml:space="preserve">Typical small car engine: </t>
    </r>
    <r>
      <rPr>
        <b/>
        <sz val="14"/>
        <color theme="1"/>
        <rFont val="Calibri"/>
        <family val="2"/>
        <scheme val="minor"/>
      </rPr>
      <t>4 cylinders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2 valves/cyl</t>
    </r>
    <r>
      <rPr>
        <sz val="14"/>
        <color theme="1"/>
        <rFont val="Calibri"/>
        <family val="2"/>
        <scheme val="minor"/>
      </rPr>
      <t xml:space="preserve"> (8 valves), </t>
    </r>
    <r>
      <rPr>
        <b/>
        <sz val="14"/>
        <color theme="1"/>
        <rFont val="Calibri"/>
        <family val="2"/>
        <scheme val="minor"/>
      </rPr>
      <t>20 threaded holes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1 camshaft with 8 cams</t>
    </r>
    <r>
      <rPr>
        <sz val="14"/>
        <color theme="1"/>
        <rFont val="Calibri"/>
        <family val="2"/>
        <scheme val="minor"/>
      </rPr>
      <t xml:space="preserve"> (for the cam ops).</t>
    </r>
  </si>
  <si>
    <r>
      <t xml:space="preserve">Shift: </t>
    </r>
    <r>
      <rPr>
        <b/>
        <sz val="14"/>
        <color theme="1"/>
        <rFont val="Calibri"/>
        <family val="2"/>
        <scheme val="minor"/>
      </rPr>
      <t>8.5 h</t>
    </r>
    <r>
      <rPr>
        <sz val="14"/>
        <color theme="1"/>
        <rFont val="Calibri"/>
        <family val="2"/>
        <scheme val="minor"/>
      </rPr>
      <t xml:space="preserve"> with </t>
    </r>
    <r>
      <rPr>
        <b/>
        <sz val="14"/>
        <color theme="1"/>
        <rFont val="Calibri"/>
        <family val="2"/>
        <scheme val="minor"/>
      </rPr>
      <t>0.5 h pause</t>
    </r>
    <r>
      <rPr>
        <sz val="14"/>
        <color theme="1"/>
        <rFont val="Calibri"/>
        <family val="2"/>
        <scheme val="minor"/>
      </rPr>
      <t xml:space="preserve"> ⇒ effective </t>
    </r>
    <r>
      <rPr>
        <b/>
        <sz val="14"/>
        <color theme="1"/>
        <rFont val="Calibri"/>
        <family val="2"/>
        <scheme val="minor"/>
      </rPr>
      <t>H=8.0H h/shift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C=2</t>
    </r>
    <r>
      <rPr>
        <sz val="14"/>
        <color theme="1"/>
        <rFont val="Calibri"/>
        <family val="2"/>
        <scheme val="minor"/>
      </rPr>
      <t xml:space="preserve"> shifts/day.</t>
    </r>
  </si>
  <si>
    <t>Step</t>
  </si>
  <si>
    <t>Machine</t>
  </si>
  <si>
    <t>Operation</t>
  </si>
  <si>
    <t>Purpose / Note</t>
  </si>
  <si>
    <t>1. Prepare raw material</t>
  </si>
  <si>
    <t>—</t>
  </si>
  <si>
    <t>Starting material (no casting)</t>
  </si>
  <si>
    <t>2. Rough turning</t>
  </si>
  <si>
    <t>DMG CTX 800</t>
  </si>
  <si>
    <t>Turn main diameter, face ends, make center holes</t>
  </si>
  <si>
    <t>Establish reference surfaces</t>
  </si>
  <si>
    <t>3. Offset turning</t>
  </si>
  <si>
    <t>Turn crank pins using offset setup or C-axis interpolation</t>
  </si>
  <si>
    <t>Create rod-journal geometry</t>
  </si>
  <si>
    <t>4. Milling &amp; drilling</t>
  </si>
  <si>
    <t>Mill counterweights, chamfers, oil galleries (cross-holes)</t>
  </si>
  <si>
    <t>Use 5-axis positioning</t>
  </si>
  <si>
    <t>5. Heat treatment</t>
  </si>
  <si>
    <t>— (external)</t>
  </si>
  <si>
    <t>Quench &amp; temper / nitriding</t>
  </si>
  <si>
    <t>Strength + wear resistance</t>
  </si>
  <si>
    <t>6. Finish grinding</t>
  </si>
  <si>
    <t>Grind main &amp; rod journals to final size &amp; tolerance</t>
  </si>
  <si>
    <t>Ra ≈ 0.2 µm, concentricity &lt; 10 µm</t>
  </si>
  <si>
    <t>7. Polishing / superfinish</t>
  </si>
  <si>
    <t>Light spark-out + optional tape polish</t>
  </si>
  <si>
    <t>Ra ≈ 0.05–0.1 µm</t>
  </si>
  <si>
    <t>8. Inspection</t>
  </si>
  <si>
    <t>Dimensional &amp; surface check</t>
  </si>
  <si>
    <t>Ensure final accuracy</t>
  </si>
  <si>
    <t>A)Crankshaft manufacturing steps</t>
  </si>
  <si>
    <t>1. Prepare billet</t>
  </si>
  <si>
    <t>Cut alloy-steel bar to camshaft length</t>
  </si>
  <si>
    <t>Starting blank</t>
  </si>
  <si>
    <t>Turn journals &amp; reference diameters</t>
  </si>
  <si>
    <t>Base geometry</t>
  </si>
  <si>
    <t>3. Milling / drilling</t>
  </si>
  <si>
    <t>Drill oil holes, machine keyway or drive slot</t>
  </si>
  <si>
    <t>Auxiliary features</t>
  </si>
  <si>
    <t>4. Heat treatment</t>
  </si>
  <si>
    <t>Carburizing / nitriding</t>
  </si>
  <si>
    <t>Surface hardness</t>
  </si>
  <si>
    <t>5. Grinding</t>
  </si>
  <si>
    <t>Grind journals &amp; cam-lobe profiles</t>
  </si>
  <si>
    <t>Achieve precise timing shape</t>
  </si>
  <si>
    <t>6. Superfinishing (on grinder)</t>
  </si>
  <si>
    <t>Fine-grit spark-out + optional tape polish</t>
  </si>
  <si>
    <t>Ra ≤ 0.1 µm, mirror finish</t>
  </si>
  <si>
    <t>7. Final check</t>
  </si>
  <si>
    <t>Measure run-out, lobe height, surface finish</t>
  </si>
  <si>
    <t>Quality control</t>
  </si>
  <si>
    <t>B) Camshaft manufacturing steps</t>
  </si>
  <si>
    <r>
      <t xml:space="preserve">Cut </t>
    </r>
    <r>
      <rPr>
        <b/>
        <sz val="12"/>
        <color theme="1"/>
        <rFont val="Calibri"/>
        <family val="2"/>
        <scheme val="minor"/>
      </rPr>
      <t>steel billet (42CrMo4)</t>
    </r>
    <r>
      <rPr>
        <sz val="12"/>
        <color theme="1"/>
        <rFont val="Calibri"/>
        <family val="2"/>
        <scheme val="minor"/>
      </rPr>
      <t xml:space="preserve"> to length</t>
    </r>
  </si>
  <si>
    <t>Crankshaft – example chain</t>
  </si>
  <si>
    <t>Camshaft – example chain</t>
  </si>
  <si>
    <t>Raw steel</t>
  </si>
  <si>
    <t>→</t>
  </si>
  <si>
    <t>Turning (DMG CTX)</t>
  </si>
  <si>
    <t>Milling &amp; Drilling (DMU 50)</t>
  </si>
  <si>
    <t>Grinding (Studer S41)</t>
  </si>
  <si>
    <t>Cleaning/QC</t>
  </si>
  <si>
    <t>Storage</t>
  </si>
  <si>
    <t>Assembly</t>
  </si>
  <si>
    <t>Milling cam lobes (DMU 50)</t>
  </si>
  <si>
    <t>Grinding lobes &amp; journals (Studer S41)</t>
  </si>
  <si>
    <t>Grinding Crankshaft/ Camshaft = (((15*60) / 2295) + 30 + 4 + 8 + ((15*60) / 900) + 20) / 60 = 1.056</t>
  </si>
  <si>
    <t>Camshafts</t>
  </si>
  <si>
    <t>Crankshafts</t>
  </si>
  <si>
    <r>
      <t xml:space="preserve">(2295 * 0.948) / 816 = 2.66 / we need 3 of these for camshafts /// </t>
    </r>
    <r>
      <rPr>
        <b/>
        <sz val="14"/>
        <color theme="1"/>
        <rFont val="Calibri"/>
        <family val="2"/>
        <scheme val="minor"/>
      </rPr>
      <t>DMU 50</t>
    </r>
  </si>
  <si>
    <r>
      <t xml:space="preserve">(2295 * 1.056) / 816 = 2.97 / we need </t>
    </r>
    <r>
      <rPr>
        <b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of these for cam- crankshaft /// </t>
    </r>
    <r>
      <rPr>
        <b/>
        <sz val="14"/>
        <color theme="1"/>
        <rFont val="Calibri"/>
        <family val="2"/>
        <scheme val="minor"/>
      </rPr>
      <t>Studer S41</t>
    </r>
  </si>
  <si>
    <t>Per-engine time ''t'' built from slide-12 row items: Armortized Time + Insert + (non-productive + productive)×features + tool-change add-on.</t>
  </si>
  <si>
    <t>Milling</t>
  </si>
  <si>
    <t>Grinding</t>
  </si>
  <si>
    <t>d</t>
  </si>
  <si>
    <t>Workdays in a year (rounded)</t>
  </si>
  <si>
    <t>Number of Workhours per Workday</t>
  </si>
  <si>
    <t>h</t>
  </si>
  <si>
    <t>=</t>
  </si>
  <si>
    <t>min</t>
  </si>
  <si>
    <t>Lunch &amp; Coffee Break</t>
  </si>
  <si>
    <t>Process Step</t>
  </si>
  <si>
    <t>Time</t>
  </si>
  <si>
    <t>Set up Time (once a day)</t>
  </si>
  <si>
    <t>s</t>
  </si>
  <si>
    <t>Insert of Material</t>
  </si>
  <si>
    <t>Removal of piece</t>
  </si>
  <si>
    <t>Non-production time</t>
  </si>
  <si>
    <t>Total</t>
  </si>
  <si>
    <t>Processes</t>
  </si>
  <si>
    <t>Tool Exchange Time</t>
  </si>
  <si>
    <t>Material</t>
  </si>
  <si>
    <t>Workhour Numbers</t>
  </si>
  <si>
    <t>Number of shifts per Day</t>
  </si>
  <si>
    <t>Shift handover</t>
  </si>
  <si>
    <t>Takt time</t>
  </si>
  <si>
    <t>Number of shifts</t>
  </si>
  <si>
    <t>Working or not</t>
  </si>
  <si>
    <t>Amount of working day</t>
  </si>
  <si>
    <t>in second</t>
  </si>
  <si>
    <t>Engine assembly</t>
  </si>
  <si>
    <t>~40–90 seconds TAKT</t>
  </si>
  <si>
    <t>OEE</t>
  </si>
  <si>
    <t>Man power</t>
  </si>
  <si>
    <t>Crankshaft</t>
  </si>
  <si>
    <t>Working Time</t>
  </si>
  <si>
    <t>%</t>
  </si>
  <si>
    <t>Number of Engine Per day</t>
  </si>
  <si>
    <t>Net working time</t>
  </si>
  <si>
    <t>Availability</t>
  </si>
  <si>
    <t>Total Availibility</t>
  </si>
  <si>
    <t xml:space="preserve">Quality and Performance </t>
  </si>
  <si>
    <t>Total OEE</t>
  </si>
  <si>
    <t>Set up Time per Camshaft</t>
  </si>
  <si>
    <t>Camshaft</t>
  </si>
  <si>
    <t xml:space="preserve">demanded QTY </t>
  </si>
  <si>
    <t>Machine Time</t>
  </si>
  <si>
    <t>Working time</t>
  </si>
  <si>
    <t>Number of machines that we need</t>
  </si>
  <si>
    <t>Accurate TAKT time</t>
  </si>
  <si>
    <t>With Two Assembly Line</t>
  </si>
  <si>
    <t>Price</t>
  </si>
  <si>
    <t>QTY</t>
  </si>
  <si>
    <t>Total Price</t>
  </si>
  <si>
    <t>Tool Exchange Time (*)</t>
  </si>
  <si>
    <t>Turning</t>
  </si>
  <si>
    <t>Set up Time (once a day) (*)</t>
  </si>
  <si>
    <t>Set up Time per Camshaft (*)</t>
  </si>
  <si>
    <t>Insert of Material (*)</t>
  </si>
  <si>
    <t>Productive time (*)</t>
  </si>
  <si>
    <t>Removal of piece (*)</t>
  </si>
  <si>
    <t>Non-production time (*)</t>
  </si>
  <si>
    <t>DMG CTX 800 Beta</t>
  </si>
  <si>
    <t>Pcs</t>
  </si>
  <si>
    <t>Parts per day</t>
  </si>
  <si>
    <t>Machine Required</t>
  </si>
  <si>
    <t>Total number of Grinding machine</t>
  </si>
  <si>
    <t>Total number of Milling machine</t>
  </si>
  <si>
    <t>Total number of Turning machine</t>
  </si>
  <si>
    <t>Total Machine for each Part</t>
  </si>
  <si>
    <t>Working Hours per Day</t>
  </si>
  <si>
    <t>Working Hours per Shift</t>
  </si>
  <si>
    <t>Our engine Demand per day</t>
  </si>
  <si>
    <t>Demand per Shift</t>
  </si>
  <si>
    <t>Workdays per Year</t>
  </si>
  <si>
    <t>Working Hours per Year</t>
  </si>
  <si>
    <t>Amount</t>
  </si>
  <si>
    <t>Mat.-Nr.</t>
  </si>
  <si>
    <t>Weight [Kg]</t>
  </si>
  <si>
    <t>€/Part</t>
  </si>
  <si>
    <t>Motorblock (engine block)</t>
  </si>
  <si>
    <t>M-1000-10</t>
  </si>
  <si>
    <t>bearing bracket crankshaft</t>
  </si>
  <si>
    <t>M-1000-21</t>
  </si>
  <si>
    <t>piston rod top side</t>
  </si>
  <si>
    <t>M-1000-22</t>
  </si>
  <si>
    <t>piston rod under side</t>
  </si>
  <si>
    <t>M-1000-23</t>
  </si>
  <si>
    <t>bearing bracket camshaft</t>
  </si>
  <si>
    <t>M-1000-24</t>
  </si>
  <si>
    <t>piston</t>
  </si>
  <si>
    <t>M-1000-25</t>
  </si>
  <si>
    <t>piston rod screw</t>
  </si>
  <si>
    <t>M-1000-26</t>
  </si>
  <si>
    <t>piston bolt</t>
  </si>
  <si>
    <t>M-1000-27</t>
  </si>
  <si>
    <t>bearing block crankshaft</t>
  </si>
  <si>
    <t>M-1000-28</t>
  </si>
  <si>
    <t>bearing block screw</t>
  </si>
  <si>
    <t>M-1000-29</t>
  </si>
  <si>
    <t>oilspan</t>
  </si>
  <si>
    <t>M-1000-30</t>
  </si>
  <si>
    <t>screw oilspan</t>
  </si>
  <si>
    <t>M-1000-31</t>
  </si>
  <si>
    <t>backside panel</t>
  </si>
  <si>
    <t>M-1000-40</t>
  </si>
  <si>
    <t>screw backside panel</t>
  </si>
  <si>
    <t>M-1000-41</t>
  </si>
  <si>
    <t>front panel</t>
  </si>
  <si>
    <t>M-1000-50</t>
  </si>
  <si>
    <t>screw front panel</t>
  </si>
  <si>
    <t>M-1000-51</t>
  </si>
  <si>
    <t>central screw crankshaft</t>
  </si>
  <si>
    <t>M-1000-52</t>
  </si>
  <si>
    <t>gear-wheel crankshaft</t>
  </si>
  <si>
    <t>M-1000-53</t>
  </si>
  <si>
    <t>pulley</t>
  </si>
  <si>
    <t>M-1000-54</t>
  </si>
  <si>
    <t>screw pulley</t>
  </si>
  <si>
    <t>M-1000-55</t>
  </si>
  <si>
    <t>synchronous belt</t>
  </si>
  <si>
    <t>M-1000-56</t>
  </si>
  <si>
    <t>tension roller (idler)</t>
  </si>
  <si>
    <t>M-1000-57</t>
  </si>
  <si>
    <t>water pump</t>
  </si>
  <si>
    <t>M-1000-58</t>
  </si>
  <si>
    <t>screw water pump</t>
  </si>
  <si>
    <t>M-1000-59</t>
  </si>
  <si>
    <t>gear-wheel camshaft</t>
  </si>
  <si>
    <t>M-1000-60</t>
  </si>
  <si>
    <t>screw gear-wheel camshaft</t>
  </si>
  <si>
    <t>M-1000-61</t>
  </si>
  <si>
    <t>valve cover</t>
  </si>
  <si>
    <t>M-1000-63</t>
  </si>
  <si>
    <t>screw valve cover</t>
  </si>
  <si>
    <t>M-1000-64</t>
  </si>
  <si>
    <t>bearing bracket camshaft 1</t>
  </si>
  <si>
    <t>M-1000-65</t>
  </si>
  <si>
    <t>bearing blracket camshaft 2</t>
  </si>
  <si>
    <t>M-1000-66</t>
  </si>
  <si>
    <t>bearing blracket camshaft 3</t>
  </si>
  <si>
    <t>M-1000-67</t>
  </si>
  <si>
    <t>bearing blracket camshaft 4</t>
  </si>
  <si>
    <t>M-1000-68</t>
  </si>
  <si>
    <t>stud bolt camshaft fixing</t>
  </si>
  <si>
    <t>M-1000-69</t>
  </si>
  <si>
    <t>nut camshaft fixing</t>
  </si>
  <si>
    <t>M-1000-69b</t>
  </si>
  <si>
    <t>exhaust manifold</t>
  </si>
  <si>
    <t>M-1000-70</t>
  </si>
  <si>
    <t>screw exhaust manifold</t>
  </si>
  <si>
    <t>M-1000-71</t>
  </si>
  <si>
    <t>cylinder head</t>
  </si>
  <si>
    <t>M-1000-80</t>
  </si>
  <si>
    <t>screw cylinder head</t>
  </si>
  <si>
    <t>M-1000-81</t>
  </si>
  <si>
    <t>washer cylinder head</t>
  </si>
  <si>
    <t>M-1000-82</t>
  </si>
  <si>
    <t>Complete Motor (without Cam-/Crankshaft)</t>
  </si>
  <si>
    <t>Motor AAE</t>
  </si>
  <si>
    <t>Number of engine that have to built</t>
  </si>
  <si>
    <t>Number of crankshaft</t>
  </si>
  <si>
    <t>Number of camshaft</t>
  </si>
  <si>
    <t>Parts</t>
  </si>
  <si>
    <t>Total $</t>
  </si>
  <si>
    <t>No.</t>
  </si>
  <si>
    <t>Name</t>
  </si>
  <si>
    <t>Weight (kg)</t>
  </si>
  <si>
    <t>Price / part (€)</t>
  </si>
  <si>
    <t>Engine Golf III</t>
  </si>
  <si>
    <t>–</t>
  </si>
  <si>
    <t>Engine block</t>
  </si>
  <si>
    <t>Bearing bracket crankshaft</t>
  </si>
  <si>
    <t>Piston rod top side</t>
  </si>
  <si>
    <t>Piston rod underside</t>
  </si>
  <si>
    <t>Bearing bracket camshaft</t>
  </si>
  <si>
    <t>Piston</t>
  </si>
  <si>
    <t>Piston rod screw</t>
  </si>
  <si>
    <t>Piston bolt</t>
  </si>
  <si>
    <t>Bearing block crankshaft</t>
  </si>
  <si>
    <t>Bearing block screw</t>
  </si>
  <si>
    <t>Oilspan</t>
  </si>
  <si>
    <t>Screw oilspan</t>
  </si>
  <si>
    <t>Backside panel</t>
  </si>
  <si>
    <t>Screw backside panel</t>
  </si>
  <si>
    <t>Front panel</t>
  </si>
  <si>
    <t>Screw front panel</t>
  </si>
  <si>
    <t>Center screw crankshaft</t>
  </si>
  <si>
    <t>Gear-wheel crankshaft</t>
  </si>
  <si>
    <t>Pulley</t>
  </si>
  <si>
    <t>Screw pulley</t>
  </si>
  <si>
    <t>Synchronous belt</t>
  </si>
  <si>
    <t>Idler</t>
  </si>
  <si>
    <t>Water pump</t>
  </si>
  <si>
    <t>Screw water pump</t>
  </si>
  <si>
    <t>Gear-wheel camshaft</t>
  </si>
  <si>
    <t>Screw gear-wheel camshaft</t>
  </si>
  <si>
    <t>Valve cover</t>
  </si>
  <si>
    <t>Screw valve cover</t>
  </si>
  <si>
    <t>Bearing bracket camshaft 1</t>
  </si>
  <si>
    <t>Bearing bracket camshaft 2</t>
  </si>
  <si>
    <t>Bearing bracket camshaft 3</t>
  </si>
  <si>
    <t>Bearing bracket camshaft 4</t>
  </si>
  <si>
    <t>Bolt camshaft fixing</t>
  </si>
  <si>
    <t>Nut camshaft fixing</t>
  </si>
  <si>
    <t>Exhaust manifold</t>
  </si>
  <si>
    <t>Screw exhaust manifold</t>
  </si>
  <si>
    <t>Cylinderhead</t>
  </si>
  <si>
    <t>Screw cylinderhead</t>
  </si>
  <si>
    <t>Washer cylinderhead</t>
  </si>
  <si>
    <t>Total(€)</t>
  </si>
  <si>
    <t>TOTAL</t>
  </si>
  <si>
    <t>Pcs per Hour</t>
  </si>
  <si>
    <t>Pcs per Min</t>
  </si>
  <si>
    <t>Min</t>
  </si>
  <si>
    <t>P/Min</t>
  </si>
  <si>
    <t>P/H</t>
  </si>
  <si>
    <t>Assembly step</t>
  </si>
  <si>
    <t>Time [s]</t>
  </si>
  <si>
    <t>Demand per Shift
[s]</t>
  </si>
  <si>
    <t>Available
Time [s]</t>
  </si>
  <si>
    <t># of Assembly
Stations</t>
  </si>
  <si>
    <t>Rounded Value</t>
  </si>
  <si>
    <t>Avg. Utilisation</t>
  </si>
  <si>
    <t>Engine Block Preparation</t>
  </si>
  <si>
    <t>Crankshaft Assembly</t>
  </si>
  <si>
    <t>Piston and Rod Assembly</t>
  </si>
  <si>
    <t>Camshaft Assembly</t>
  </si>
  <si>
    <t>Timing belt</t>
  </si>
  <si>
    <t>Cylinder Head Assembly</t>
  </si>
  <si>
    <t>Install Back Panel</t>
  </si>
  <si>
    <t>Install Front Panel</t>
  </si>
  <si>
    <t>Install the Baffle Plate</t>
  </si>
  <si>
    <t>Oil pan</t>
  </si>
  <si>
    <t>Final Inspection</t>
  </si>
  <si>
    <t>number of assembly line</t>
  </si>
  <si>
    <t>Manufacturing machines</t>
  </si>
  <si>
    <t>total</t>
  </si>
  <si>
    <t>Number of workers Per machine</t>
  </si>
  <si>
    <t>Number of workers Per machine for each shift</t>
  </si>
  <si>
    <t>number of supervisior for each manufacturing process</t>
  </si>
  <si>
    <t>Total number of workers</t>
  </si>
  <si>
    <t>Buffer 20%</t>
  </si>
  <si>
    <t>Total number of supervisors</t>
  </si>
  <si>
    <t>Number of workers in assembly line</t>
  </si>
  <si>
    <t>Number of assembly lines</t>
  </si>
  <si>
    <t>Total number of workers per shift</t>
  </si>
  <si>
    <t>Total Takt for 1 Assembly line</t>
  </si>
  <si>
    <t>Pure customer Takt (no losses, no OEE)</t>
  </si>
  <si>
    <t>Station time</t>
  </si>
  <si>
    <t>Feasibility base on Takt time</t>
  </si>
  <si>
    <t xml:space="preserve">Sec </t>
  </si>
  <si>
    <t>Working Second per shift with OEE (80%) and Assembly line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</si>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</sst>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\ [$€-1];[Red]\-#,##0\ [$€-1]"/>
    <numFmt numFmtId="167" formatCode="0.0000%"/>
    <numFmt numFmtId="168" formatCode="[$€-2]\ #,##0_);\([$€-2]\ #,##0\)"/>
    <numFmt numFmtId="169" formatCode="_(* #,##0_);_(* \(#,##0\);_(* &quot;-&quot;??_);_(@_)"/>
    <numFmt numFmtId="170" formatCode="_-* #,##0_-;\-* #,##0_-;_-* &quot;-&quot;??_-;_-@_-"/>
    <numFmt numFmtId="171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69"/>
      <color theme="1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B4D4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056FD"/>
        <bgColor indexed="64"/>
      </patternFill>
    </fill>
    <fill>
      <patternFill patternType="solid">
        <fgColor rgb="FFBADC58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23" borderId="7" applyNumberFormat="0" applyAlignment="0" applyProtection="0"/>
    <xf numFmtId="0" fontId="10" fillId="24" borderId="7" applyNumberFormat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/>
    <xf numFmtId="0" fontId="5" fillId="5" borderId="1" xfId="0" applyFont="1" applyFill="1" applyBorder="1" applyAlignment="1">
      <alignment wrapText="1"/>
    </xf>
    <xf numFmtId="0" fontId="0" fillId="6" borderId="1" xfId="0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5" fillId="5" borderId="1" xfId="0" applyFont="1" applyFill="1" applyBorder="1"/>
    <xf numFmtId="0" fontId="0" fillId="2" borderId="0" xfId="0" applyFill="1"/>
    <xf numFmtId="0" fontId="2" fillId="4" borderId="0" xfId="0" applyFont="1" applyFill="1"/>
    <xf numFmtId="0" fontId="0" fillId="5" borderId="0" xfId="0" applyFill="1"/>
    <xf numFmtId="0" fontId="0" fillId="3" borderId="0" xfId="0" applyFill="1"/>
    <xf numFmtId="0" fontId="0" fillId="6" borderId="0" xfId="0" applyFill="1"/>
    <xf numFmtId="15" fontId="5" fillId="4" borderId="4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5" fontId="5" fillId="4" borderId="5" xfId="0" applyNumberFormat="1" applyFont="1" applyFill="1" applyBorder="1"/>
    <xf numFmtId="0" fontId="0" fillId="2" borderId="2" xfId="0" applyFill="1" applyBorder="1"/>
    <xf numFmtId="0" fontId="5" fillId="3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4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Alignment="1">
      <alignment wrapText="1"/>
    </xf>
    <xf numFmtId="0" fontId="0" fillId="12" borderId="0" xfId="0" applyFill="1"/>
    <xf numFmtId="166" fontId="0" fillId="12" borderId="0" xfId="0" applyNumberFormat="1" applyFill="1" applyAlignment="1">
      <alignment horizontal="center" vertical="center"/>
    </xf>
    <xf numFmtId="166" fontId="0" fillId="12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wrapText="1"/>
    </xf>
    <xf numFmtId="0" fontId="3" fillId="12" borderId="0" xfId="0" applyFont="1" applyFill="1"/>
    <xf numFmtId="0" fontId="7" fillId="12" borderId="0" xfId="0" applyFont="1" applyFill="1"/>
    <xf numFmtId="0" fontId="7" fillId="14" borderId="0" xfId="0" applyFont="1" applyFill="1"/>
    <xf numFmtId="0" fontId="4" fillId="12" borderId="0" xfId="0" applyFont="1" applyFill="1"/>
    <xf numFmtId="0" fontId="4" fillId="14" borderId="0" xfId="0" applyFont="1" applyFill="1"/>
    <xf numFmtId="0" fontId="3" fillId="14" borderId="0" xfId="0" applyFont="1" applyFill="1"/>
    <xf numFmtId="0" fontId="0" fillId="14" borderId="0" xfId="0" applyFill="1"/>
    <xf numFmtId="0" fontId="8" fillId="1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vertical="center" wrapText="1"/>
    </xf>
    <xf numFmtId="0" fontId="5" fillId="17" borderId="1" xfId="0" applyFont="1" applyFill="1" applyBorder="1" applyAlignment="1">
      <alignment vertical="center" wrapText="1"/>
    </xf>
    <xf numFmtId="0" fontId="5" fillId="18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0" fillId="0" borderId="1" xfId="0" applyBorder="1"/>
    <xf numFmtId="0" fontId="6" fillId="0" borderId="0" xfId="0" applyFont="1"/>
    <xf numFmtId="0" fontId="7" fillId="12" borderId="0" xfId="0" applyFont="1" applyFill="1" applyAlignment="1">
      <alignment horizontal="left"/>
    </xf>
    <xf numFmtId="0" fontId="0" fillId="20" borderId="0" xfId="0" applyFill="1"/>
    <xf numFmtId="0" fontId="0" fillId="19" borderId="1" xfId="0" applyFill="1" applyBorder="1"/>
    <xf numFmtId="0" fontId="0" fillId="21" borderId="0" xfId="0" applyFill="1"/>
    <xf numFmtId="0" fontId="0" fillId="22" borderId="1" xfId="0" applyFill="1" applyBorder="1"/>
    <xf numFmtId="0" fontId="7" fillId="13" borderId="0" xfId="0" applyFont="1" applyFill="1" applyAlignment="1">
      <alignment wrapText="1"/>
    </xf>
    <xf numFmtId="0" fontId="6" fillId="0" borderId="1" xfId="0" applyFont="1" applyBorder="1"/>
    <xf numFmtId="0" fontId="9" fillId="25" borderId="1" xfId="1" applyFill="1" applyBorder="1"/>
    <xf numFmtId="0" fontId="0" fillId="25" borderId="1" xfId="0" applyFill="1" applyBorder="1"/>
    <xf numFmtId="0" fontId="6" fillId="26" borderId="1" xfId="0" applyFont="1" applyFill="1" applyBorder="1"/>
    <xf numFmtId="0" fontId="0" fillId="26" borderId="1" xfId="0" applyFill="1" applyBorder="1"/>
    <xf numFmtId="0" fontId="13" fillId="0" borderId="1" xfId="0" applyFont="1" applyBorder="1"/>
    <xf numFmtId="0" fontId="13" fillId="24" borderId="1" xfId="2" applyFont="1" applyBorder="1"/>
    <xf numFmtId="0" fontId="0" fillId="27" borderId="1" xfId="0" applyFill="1" applyBorder="1"/>
    <xf numFmtId="0" fontId="0" fillId="29" borderId="1" xfId="0" applyFill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1" xfId="0" applyFont="1" applyBorder="1"/>
    <xf numFmtId="9" fontId="0" fillId="29" borderId="1" xfId="3" applyFont="1" applyFill="1" applyBorder="1"/>
    <xf numFmtId="167" fontId="0" fillId="0" borderId="1" xfId="0" applyNumberFormat="1" applyBorder="1"/>
    <xf numFmtId="9" fontId="15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3" fillId="10" borderId="1" xfId="0" applyFont="1" applyFill="1" applyBorder="1"/>
    <xf numFmtId="0" fontId="20" fillId="0" borderId="1" xfId="0" applyFont="1" applyBorder="1" applyAlignment="1">
      <alignment horizontal="center"/>
    </xf>
    <xf numFmtId="0" fontId="15" fillId="0" borderId="0" xfId="0" applyFont="1"/>
    <xf numFmtId="0" fontId="0" fillId="0" borderId="6" xfId="0" applyBorder="1"/>
    <xf numFmtId="0" fontId="0" fillId="27" borderId="0" xfId="0" applyFill="1"/>
    <xf numFmtId="0" fontId="21" fillId="0" borderId="1" xfId="0" applyFont="1" applyBorder="1" applyAlignment="1">
      <alignment horizontal="center"/>
    </xf>
    <xf numFmtId="0" fontId="15" fillId="31" borderId="1" xfId="0" applyFont="1" applyFill="1" applyBorder="1" applyAlignment="1">
      <alignment horizontal="center"/>
    </xf>
    <xf numFmtId="0" fontId="17" fillId="31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29" borderId="0" xfId="0" applyFill="1"/>
    <xf numFmtId="0" fontId="6" fillId="29" borderId="0" xfId="0" applyFont="1" applyFill="1"/>
    <xf numFmtId="0" fontId="6" fillId="29" borderId="0" xfId="0" applyFont="1" applyFill="1" applyAlignment="1">
      <alignment horizontal="center"/>
    </xf>
    <xf numFmtId="0" fontId="6" fillId="10" borderId="1" xfId="0" applyFont="1" applyFill="1" applyBorder="1"/>
    <xf numFmtId="9" fontId="6" fillId="10" borderId="1" xfId="3" applyFont="1" applyFill="1" applyBorder="1"/>
    <xf numFmtId="9" fontId="15" fillId="0" borderId="1" xfId="3" applyFont="1" applyBorder="1"/>
    <xf numFmtId="0" fontId="23" fillId="10" borderId="1" xfId="0" applyFont="1" applyFill="1" applyBorder="1"/>
    <xf numFmtId="0" fontId="0" fillId="25" borderId="0" xfId="0" applyFill="1"/>
    <xf numFmtId="0" fontId="0" fillId="16" borderId="1" xfId="0" applyFill="1" applyBorder="1"/>
    <xf numFmtId="168" fontId="0" fillId="0" borderId="1" xfId="4" applyNumberFormat="1" applyFont="1" applyBorder="1" applyAlignment="1">
      <alignment horizontal="left" vertical="center"/>
    </xf>
    <xf numFmtId="0" fontId="6" fillId="16" borderId="1" xfId="0" applyFont="1" applyFill="1" applyBorder="1"/>
    <xf numFmtId="168" fontId="6" fillId="10" borderId="1" xfId="0" applyNumberFormat="1" applyFont="1" applyFill="1" applyBorder="1"/>
    <xf numFmtId="0" fontId="0" fillId="26" borderId="8" xfId="0" applyFill="1" applyBorder="1" applyAlignment="1">
      <alignment horizontal="center"/>
    </xf>
    <xf numFmtId="0" fontId="0" fillId="26" borderId="5" xfId="0" applyFill="1" applyBorder="1" applyAlignment="1">
      <alignment horizontal="center"/>
    </xf>
    <xf numFmtId="0" fontId="6" fillId="30" borderId="1" xfId="0" applyFont="1" applyFill="1" applyBorder="1" applyAlignment="1">
      <alignment horizontal="center" vertical="center"/>
    </xf>
    <xf numFmtId="169" fontId="15" fillId="0" borderId="1" xfId="4" applyNumberFormat="1" applyFont="1" applyBorder="1"/>
    <xf numFmtId="0" fontId="0" fillId="6" borderId="1" xfId="0" applyFill="1" applyBorder="1" applyAlignment="1">
      <alignment horizontal="center"/>
    </xf>
    <xf numFmtId="0" fontId="6" fillId="6" borderId="1" xfId="0" applyFont="1" applyFill="1" applyBorder="1"/>
    <xf numFmtId="0" fontId="0" fillId="26" borderId="15" xfId="0" applyFill="1" applyBorder="1"/>
    <xf numFmtId="0" fontId="0" fillId="26" borderId="17" xfId="0" applyFill="1" applyBorder="1"/>
    <xf numFmtId="0" fontId="0" fillId="4" borderId="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70" fontId="24" fillId="24" borderId="1" xfId="2" applyNumberFormat="1" applyFont="1" applyBorder="1"/>
    <xf numFmtId="170" fontId="24" fillId="24" borderId="16" xfId="2" applyNumberFormat="1" applyFont="1" applyBorder="1"/>
    <xf numFmtId="0" fontId="0" fillId="26" borderId="12" xfId="0" applyFill="1" applyBorder="1"/>
    <xf numFmtId="0" fontId="6" fillId="26" borderId="17" xfId="0" applyFont="1" applyFill="1" applyBorder="1"/>
    <xf numFmtId="170" fontId="24" fillId="24" borderId="1" xfId="2" applyNumberFormat="1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170" fontId="24" fillId="24" borderId="5" xfId="2" applyNumberFormat="1" applyFont="1" applyBorder="1"/>
    <xf numFmtId="0" fontId="0" fillId="4" borderId="24" xfId="0" applyFill="1" applyBorder="1" applyAlignment="1">
      <alignment horizontal="center"/>
    </xf>
    <xf numFmtId="170" fontId="24" fillId="24" borderId="24" xfId="2" applyNumberFormat="1" applyFont="1" applyBorder="1"/>
    <xf numFmtId="0" fontId="0" fillId="0" borderId="0" xfId="0" applyAlignment="1">
      <alignment horizontal="center"/>
    </xf>
    <xf numFmtId="0" fontId="0" fillId="0" borderId="11" xfId="0" applyBorder="1"/>
    <xf numFmtId="0" fontId="6" fillId="0" borderId="26" xfId="0" applyFont="1" applyBorder="1"/>
    <xf numFmtId="0" fontId="0" fillId="0" borderId="27" xfId="0" applyBorder="1"/>
    <xf numFmtId="44" fontId="24" fillId="24" borderId="28" xfId="2" applyNumberFormat="1" applyFont="1" applyBorder="1"/>
    <xf numFmtId="0" fontId="0" fillId="4" borderId="1" xfId="0" applyFill="1" applyBorder="1"/>
    <xf numFmtId="0" fontId="0" fillId="4" borderId="11" xfId="0" applyFill="1" applyBorder="1"/>
    <xf numFmtId="0" fontId="0" fillId="26" borderId="11" xfId="0" applyFill="1" applyBorder="1"/>
    <xf numFmtId="0" fontId="0" fillId="29" borderId="11" xfId="0" applyFill="1" applyBorder="1"/>
    <xf numFmtId="0" fontId="0" fillId="16" borderId="1" xfId="0" applyFill="1" applyBorder="1" applyAlignment="1">
      <alignment horizontal="center"/>
    </xf>
    <xf numFmtId="171" fontId="0" fillId="6" borderId="1" xfId="5" applyNumberFormat="1" applyFont="1" applyFill="1" applyBorder="1"/>
    <xf numFmtId="171" fontId="0" fillId="6" borderId="11" xfId="5" applyNumberFormat="1" applyFont="1" applyFill="1" applyBorder="1"/>
    <xf numFmtId="0" fontId="6" fillId="26" borderId="1" xfId="0" applyFont="1" applyFill="1" applyBorder="1" applyAlignment="1">
      <alignment horizontal="right" vertical="center"/>
    </xf>
    <xf numFmtId="0" fontId="6" fillId="26" borderId="1" xfId="0" applyFont="1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1" fontId="0" fillId="0" borderId="1" xfId="5" applyNumberFormat="1" applyFont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1" xfId="0" applyFill="1" applyBorder="1"/>
    <xf numFmtId="0" fontId="0" fillId="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171" fontId="0" fillId="0" borderId="13" xfId="5" applyNumberFormat="1" applyFont="1" applyBorder="1" applyAlignment="1">
      <alignment horizontal="center" vertical="center"/>
    </xf>
    <xf numFmtId="171" fontId="0" fillId="9" borderId="14" xfId="0" applyNumberFormat="1" applyFill="1" applyBorder="1"/>
    <xf numFmtId="0" fontId="0" fillId="6" borderId="15" xfId="0" applyFill="1" applyBorder="1" applyAlignment="1">
      <alignment horizontal="center" vertical="center"/>
    </xf>
    <xf numFmtId="171" fontId="0" fillId="9" borderId="16" xfId="0" applyNumberFormat="1" applyFill="1" applyBorder="1"/>
    <xf numFmtId="0" fontId="0" fillId="6" borderId="29" xfId="0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171" fontId="0" fillId="0" borderId="11" xfId="5" applyNumberFormat="1" applyFont="1" applyBorder="1" applyAlignment="1">
      <alignment horizontal="center" vertical="center"/>
    </xf>
    <xf numFmtId="171" fontId="0" fillId="9" borderId="30" xfId="0" applyNumberFormat="1" applyFill="1" applyBorder="1"/>
    <xf numFmtId="0" fontId="6" fillId="6" borderId="26" xfId="0" applyFont="1" applyFill="1" applyBorder="1" applyAlignment="1">
      <alignment horizontal="center"/>
    </xf>
    <xf numFmtId="0" fontId="6" fillId="26" borderId="27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/>
    </xf>
    <xf numFmtId="0" fontId="6" fillId="10" borderId="27" xfId="0" applyFont="1" applyFill="1" applyBorder="1" applyAlignment="1">
      <alignment horizontal="center"/>
    </xf>
    <xf numFmtId="171" fontId="6" fillId="0" borderId="27" xfId="5" applyNumberFormat="1" applyFont="1" applyBorder="1" applyAlignment="1">
      <alignment horizontal="center"/>
    </xf>
    <xf numFmtId="171" fontId="6" fillId="9" borderId="21" xfId="5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70" fontId="21" fillId="26" borderId="14" xfId="0" applyNumberFormat="1" applyFont="1" applyFill="1" applyBorder="1" applyAlignment="1">
      <alignment horizontal="center"/>
    </xf>
    <xf numFmtId="170" fontId="21" fillId="26" borderId="16" xfId="0" applyNumberFormat="1" applyFont="1" applyFill="1" applyBorder="1" applyAlignment="1">
      <alignment horizontal="center"/>
    </xf>
    <xf numFmtId="170" fontId="21" fillId="26" borderId="18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6" borderId="0" xfId="0" applyFill="1"/>
    <xf numFmtId="9" fontId="0" fillId="0" borderId="1" xfId="3" applyFont="1" applyBorder="1"/>
    <xf numFmtId="0" fontId="5" fillId="0" borderId="1" xfId="0" applyFont="1" applyBorder="1"/>
    <xf numFmtId="0" fontId="28" fillId="10" borderId="1" xfId="0" applyFont="1" applyFill="1" applyBorder="1"/>
    <xf numFmtId="0" fontId="29" fillId="10" borderId="1" xfId="0" applyFont="1" applyFill="1" applyBorder="1"/>
    <xf numFmtId="0" fontId="27" fillId="10" borderId="1" xfId="0" applyFont="1" applyFill="1" applyBorder="1"/>
    <xf numFmtId="0" fontId="8" fillId="10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31" fillId="10" borderId="1" xfId="0" applyFont="1" applyFill="1" applyBorder="1"/>
    <xf numFmtId="169" fontId="0" fillId="0" borderId="1" xfId="4" applyNumberFormat="1" applyFont="1" applyBorder="1"/>
    <xf numFmtId="9" fontId="6" fillId="0" borderId="1" xfId="0" applyNumberFormat="1" applyFont="1" applyBorder="1"/>
    <xf numFmtId="0" fontId="0" fillId="10" borderId="1" xfId="0" applyFill="1" applyBorder="1"/>
    <xf numFmtId="169" fontId="0" fillId="0" borderId="0" xfId="0" applyNumberFormat="1"/>
    <xf numFmtId="165" fontId="0" fillId="0" borderId="0" xfId="0" applyNumberFormat="1"/>
    <xf numFmtId="165" fontId="23" fillId="10" borderId="1" xfId="0" applyNumberFormat="1" applyFont="1" applyFill="1" applyBorder="1"/>
    <xf numFmtId="169" fontId="0" fillId="0" borderId="8" xfId="4" applyNumberFormat="1" applyFont="1" applyBorder="1" applyAlignment="1">
      <alignment horizontal="center"/>
    </xf>
    <xf numFmtId="169" fontId="15" fillId="0" borderId="5" xfId="4" applyNumberFormat="1" applyFont="1" applyBorder="1" applyAlignment="1">
      <alignment horizontal="center"/>
    </xf>
    <xf numFmtId="0" fontId="0" fillId="32" borderId="1" xfId="0" applyFill="1" applyBorder="1"/>
    <xf numFmtId="0" fontId="8" fillId="26" borderId="5" xfId="0" applyFont="1" applyFill="1" applyBorder="1"/>
    <xf numFmtId="0" fontId="26" fillId="0" borderId="1" xfId="0" applyFont="1" applyBorder="1"/>
    <xf numFmtId="0" fontId="21" fillId="0" borderId="1" xfId="0" applyFont="1" applyBorder="1"/>
    <xf numFmtId="0" fontId="6" fillId="10" borderId="1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8" fillId="28" borderId="1" xfId="0" applyFont="1" applyFill="1" applyBorder="1" applyAlignment="1">
      <alignment horizontal="center"/>
    </xf>
    <xf numFmtId="0" fontId="8" fillId="28" borderId="8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8" fillId="28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28" borderId="1" xfId="0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 textRotation="90"/>
    </xf>
    <xf numFmtId="0" fontId="8" fillId="16" borderId="1" xfId="0" applyFont="1" applyFill="1" applyBorder="1" applyAlignment="1">
      <alignment horizontal="center"/>
    </xf>
    <xf numFmtId="0" fontId="18" fillId="26" borderId="0" xfId="0" applyFont="1" applyFill="1" applyAlignment="1">
      <alignment horizontal="center" vertical="center" textRotation="90"/>
    </xf>
    <xf numFmtId="0" fontId="6" fillId="26" borderId="8" xfId="0" applyFont="1" applyFill="1" applyBorder="1" applyAlignment="1">
      <alignment horizontal="center"/>
    </xf>
    <xf numFmtId="0" fontId="6" fillId="26" borderId="5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 vertical="center" textRotation="90"/>
    </xf>
    <xf numFmtId="0" fontId="4" fillId="10" borderId="6" xfId="0" applyFont="1" applyFill="1" applyBorder="1" applyAlignment="1">
      <alignment horizontal="center" vertical="center" textRotation="90"/>
    </xf>
    <xf numFmtId="0" fontId="4" fillId="10" borderId="4" xfId="0" applyFont="1" applyFill="1" applyBorder="1" applyAlignment="1">
      <alignment horizontal="center" vertical="center" textRotation="90"/>
    </xf>
    <xf numFmtId="0" fontId="8" fillId="26" borderId="0" xfId="0" applyFont="1" applyFill="1" applyAlignment="1">
      <alignment horizontal="center"/>
    </xf>
    <xf numFmtId="0" fontId="6" fillId="29" borderId="0" xfId="0" applyFont="1" applyFill="1" applyAlignment="1">
      <alignment horizontal="center" wrapText="1"/>
    </xf>
    <xf numFmtId="0" fontId="0" fillId="29" borderId="0" xfId="0" applyFill="1" applyAlignment="1">
      <alignment horizontal="center" vertical="center"/>
    </xf>
    <xf numFmtId="0" fontId="22" fillId="29" borderId="0" xfId="0" applyFont="1" applyFill="1" applyAlignment="1">
      <alignment horizontal="center" vertical="center"/>
    </xf>
    <xf numFmtId="0" fontId="4" fillId="10" borderId="9" xfId="0" applyFont="1" applyFill="1" applyBorder="1" applyAlignment="1">
      <alignment horizontal="center" vertical="center" textRotation="90"/>
    </xf>
    <xf numFmtId="0" fontId="4" fillId="10" borderId="2" xfId="0" applyFont="1" applyFill="1" applyBorder="1" applyAlignment="1">
      <alignment horizontal="center" vertical="center" textRotation="90"/>
    </xf>
    <xf numFmtId="0" fontId="4" fillId="10" borderId="1" xfId="0" applyFont="1" applyFill="1" applyBorder="1" applyAlignment="1">
      <alignment horizontal="center" vertical="center" textRotation="90"/>
    </xf>
    <xf numFmtId="0" fontId="6" fillId="26" borderId="1" xfId="0" applyFont="1" applyFill="1" applyBorder="1" applyAlignment="1">
      <alignment horizontal="center"/>
    </xf>
    <xf numFmtId="0" fontId="0" fillId="26" borderId="8" xfId="0" applyFill="1" applyBorder="1" applyAlignment="1">
      <alignment horizontal="center"/>
    </xf>
    <xf numFmtId="0" fontId="0" fillId="26" borderId="5" xfId="0" applyFill="1" applyBorder="1" applyAlignment="1">
      <alignment horizontal="center"/>
    </xf>
    <xf numFmtId="0" fontId="4" fillId="10" borderId="0" xfId="0" applyFont="1" applyFill="1" applyAlignment="1">
      <alignment horizontal="center" vertical="center" textRotation="90"/>
    </xf>
    <xf numFmtId="0" fontId="6" fillId="26" borderId="0" xfId="0" applyFont="1" applyFill="1" applyAlignment="1">
      <alignment horizontal="center"/>
    </xf>
    <xf numFmtId="0" fontId="0" fillId="26" borderId="13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26" borderId="22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170" fontId="6" fillId="29" borderId="19" xfId="0" applyNumberFormat="1" applyFont="1" applyFill="1" applyBorder="1" applyAlignment="1">
      <alignment horizontal="center" vertical="center"/>
    </xf>
    <xf numFmtId="170" fontId="6" fillId="29" borderId="23" xfId="0" applyNumberFormat="1" applyFont="1" applyFill="1" applyBorder="1" applyAlignment="1">
      <alignment horizontal="center" vertical="center"/>
    </xf>
    <xf numFmtId="170" fontId="6" fillId="29" borderId="31" xfId="0" applyNumberFormat="1" applyFont="1" applyFill="1" applyBorder="1" applyAlignment="1">
      <alignment horizontal="center" vertical="center"/>
    </xf>
    <xf numFmtId="170" fontId="6" fillId="29" borderId="20" xfId="0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26" borderId="1" xfId="0" applyFont="1" applyFill="1" applyBorder="1" applyAlignment="1">
      <alignment horizontal="center"/>
    </xf>
    <xf numFmtId="0" fontId="8" fillId="26" borderId="5" xfId="0" applyFont="1" applyFill="1" applyBorder="1" applyAlignment="1">
      <alignment horizontal="center"/>
    </xf>
    <xf numFmtId="0" fontId="3" fillId="26" borderId="9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8" borderId="0" xfId="0" applyFont="1" applyFill="1" applyAlignment="1">
      <alignment horizontal="center" vertical="center"/>
    </xf>
  </cellXfs>
  <cellStyles count="6">
    <cellStyle name="Calculation" xfId="2" builtinId="22"/>
    <cellStyle name="Comma" xfId="4" builtinId="3"/>
    <cellStyle name="Currency" xfId="5" builtinId="4"/>
    <cellStyle name="Input" xfId="1" builtinId="20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E056FD"/>
      <color rgb="FFBADC58"/>
      <color rgb="FF6AB04C"/>
      <color rgb="FFEB4D4B"/>
      <color rgb="FFBE2EDD"/>
      <color rgb="FF130F40"/>
      <color rgb="FF535C68"/>
      <color rgb="FFE8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3E7717B-5D02-4118-9239-D017FBED2E65}" type="doc">
      <dgm:prSet loTypeId="urn:microsoft.com/office/officeart/2005/8/layout/process5" loCatId="process" qsTypeId="urn:microsoft.com/office/officeart/2005/8/quickstyle/simple2" qsCatId="simple" csTypeId="urn:microsoft.com/office/officeart/2005/8/colors/accent2_2" csCatId="accent2" phldr="1"/>
      <dgm:spPr/>
    </dgm:pt>
    <dgm:pt modelId="{4B31CD6F-D8CB-4678-BD0D-B30D822C1AF8}">
      <dgm:prSet phldrT="[Text]"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Raw steel</a:t>
          </a:r>
        </a:p>
      </dgm:t>
    </dgm:pt>
    <dgm:pt modelId="{580B55F7-8A52-4882-B51B-FD208284028D}" type="parTrans" cxnId="{A5A45F53-5B0F-41B5-8E8B-9265A5D49C94}">
      <dgm:prSet/>
      <dgm:spPr/>
      <dgm:t>
        <a:bodyPr/>
        <a:lstStyle/>
        <a:p>
          <a:endParaRPr lang="en-US"/>
        </a:p>
      </dgm:t>
    </dgm:pt>
    <dgm:pt modelId="{8857A016-9D6A-43B8-9B86-2ADF0C747854}" type="sibTrans" cxnId="{A5A45F53-5B0F-41B5-8E8B-9265A5D49C94}">
      <dgm:prSet custT="1"/>
      <dgm:spPr/>
      <dgm:t>
        <a:bodyPr/>
        <a:lstStyle/>
        <a:p>
          <a:endParaRPr lang="en-US" sz="800"/>
        </a:p>
      </dgm:t>
    </dgm:pt>
    <dgm:pt modelId="{37CD9F03-3F81-4DFF-948C-47401729DCE9}">
      <dgm:prSet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Grinding (Studer S41)</a:t>
          </a:r>
        </a:p>
      </dgm:t>
    </dgm:pt>
    <dgm:pt modelId="{D34D0867-5F24-4695-9B22-979535183AD4}" type="parTrans" cxnId="{21E7E164-D963-49D2-BB55-868504D758CE}">
      <dgm:prSet/>
      <dgm:spPr/>
      <dgm:t>
        <a:bodyPr/>
        <a:lstStyle/>
        <a:p>
          <a:endParaRPr lang="en-US"/>
        </a:p>
      </dgm:t>
    </dgm:pt>
    <dgm:pt modelId="{24C1DA8B-B1D5-4FCD-A515-76F2D90B3DD2}" type="sibTrans" cxnId="{21E7E164-D963-49D2-BB55-868504D758CE}">
      <dgm:prSet custT="1"/>
      <dgm:spPr/>
      <dgm:t>
        <a:bodyPr/>
        <a:lstStyle/>
        <a:p>
          <a:endParaRPr lang="en-US" sz="800"/>
        </a:p>
      </dgm:t>
    </dgm:pt>
    <dgm:pt modelId="{A2871C5B-62E2-415D-923F-946217F83F4F}">
      <dgm:prSet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Cleaning/QC</a:t>
          </a:r>
        </a:p>
      </dgm:t>
    </dgm:pt>
    <dgm:pt modelId="{A8245AE5-7A01-49A4-8587-35BD493D03F5}" type="parTrans" cxnId="{89876980-65C1-46C1-8F81-8F513AF18408}">
      <dgm:prSet/>
      <dgm:spPr/>
      <dgm:t>
        <a:bodyPr/>
        <a:lstStyle/>
        <a:p>
          <a:endParaRPr lang="en-US"/>
        </a:p>
      </dgm:t>
    </dgm:pt>
    <dgm:pt modelId="{4E9D7165-F6A1-4C8F-ADD0-496467D192E4}" type="sibTrans" cxnId="{89876980-65C1-46C1-8F81-8F513AF18408}">
      <dgm:prSet custT="1"/>
      <dgm:spPr/>
      <dgm:t>
        <a:bodyPr/>
        <a:lstStyle/>
        <a:p>
          <a:endParaRPr lang="en-US" sz="800"/>
        </a:p>
      </dgm:t>
    </dgm:pt>
    <dgm:pt modelId="{6BF47FDB-F438-47DD-98C6-E429CAB1D029}">
      <dgm:prSet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Storage</a:t>
          </a:r>
        </a:p>
      </dgm:t>
    </dgm:pt>
    <dgm:pt modelId="{53619946-D9C3-4EF3-A982-5ACB81E8D15E}" type="parTrans" cxnId="{D6FADF48-2C09-4F16-B43B-4E5864EFE6A1}">
      <dgm:prSet/>
      <dgm:spPr/>
      <dgm:t>
        <a:bodyPr/>
        <a:lstStyle/>
        <a:p>
          <a:endParaRPr lang="en-US"/>
        </a:p>
      </dgm:t>
    </dgm:pt>
    <dgm:pt modelId="{8122B792-568E-46B4-9DB5-3746D0AC9A4F}" type="sibTrans" cxnId="{D6FADF48-2C09-4F16-B43B-4E5864EFE6A1}">
      <dgm:prSet custT="1"/>
      <dgm:spPr/>
      <dgm:t>
        <a:bodyPr/>
        <a:lstStyle/>
        <a:p>
          <a:endParaRPr lang="en-US" sz="800"/>
        </a:p>
      </dgm:t>
    </dgm:pt>
    <dgm:pt modelId="{D1318A38-014F-492E-A3DF-C5BF3CC95E30}">
      <dgm:prSet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Assembly</a:t>
          </a:r>
        </a:p>
      </dgm:t>
    </dgm:pt>
    <dgm:pt modelId="{89390E4D-9CC4-48D2-9E3B-047A002E2A51}" type="parTrans" cxnId="{47B441F7-73B6-40BD-BCFC-FEC9559CF576}">
      <dgm:prSet/>
      <dgm:spPr/>
      <dgm:t>
        <a:bodyPr/>
        <a:lstStyle/>
        <a:p>
          <a:endParaRPr lang="en-US"/>
        </a:p>
      </dgm:t>
    </dgm:pt>
    <dgm:pt modelId="{0A0F1171-092B-4242-8CA9-2FC7B31D512B}" type="sibTrans" cxnId="{47B441F7-73B6-40BD-BCFC-FEC9559CF576}">
      <dgm:prSet/>
      <dgm:spPr/>
      <dgm:t>
        <a:bodyPr/>
        <a:lstStyle/>
        <a:p>
          <a:endParaRPr lang="en-US"/>
        </a:p>
      </dgm:t>
    </dgm:pt>
    <dgm:pt modelId="{8193D800-4B40-4C7E-B947-C6CAB4C40CAC}">
      <dgm:prSet phldrT="[Text]" custT="1"/>
      <dgm:spPr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gm:spPr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Turning (DMG CTX)</a:t>
          </a:r>
        </a:p>
      </dgm:t>
    </dgm:pt>
    <dgm:pt modelId="{6BE25B24-A073-45D6-B5C9-09D557B4392B}" type="sibTrans" cxnId="{0F6C2E7F-DE03-4B99-AA4F-8B054FB878CE}">
      <dgm:prSet custT="1"/>
      <dgm:spPr/>
      <dgm:t>
        <a:bodyPr/>
        <a:lstStyle/>
        <a:p>
          <a:endParaRPr lang="en-US" sz="800"/>
        </a:p>
      </dgm:t>
    </dgm:pt>
    <dgm:pt modelId="{AC6B9175-0755-4C75-914D-0B0AD4AF7D1C}" type="parTrans" cxnId="{0F6C2E7F-DE03-4B99-AA4F-8B054FB878CE}">
      <dgm:prSet/>
      <dgm:spPr/>
      <dgm:t>
        <a:bodyPr/>
        <a:lstStyle/>
        <a:p>
          <a:endParaRPr lang="en-US"/>
        </a:p>
      </dgm:t>
    </dgm:pt>
    <dgm:pt modelId="{9BC266F3-8C89-49C2-864E-4C2711DE0ECE}" type="pres">
      <dgm:prSet presAssocID="{E3E7717B-5D02-4118-9239-D017FBED2E65}" presName="diagram" presStyleCnt="0">
        <dgm:presLayoutVars>
          <dgm:dir/>
          <dgm:resizeHandles val="exact"/>
        </dgm:presLayoutVars>
      </dgm:prSet>
      <dgm:spPr/>
    </dgm:pt>
    <dgm:pt modelId="{B6C76903-3817-4D83-A918-F89C62F41439}" type="pres">
      <dgm:prSet presAssocID="{4B31CD6F-D8CB-4678-BD0D-B30D822C1AF8}" presName="node" presStyleLbl="node1" presStyleIdx="0" presStyleCnt="6">
        <dgm:presLayoutVars>
          <dgm:bulletEnabled val="1"/>
        </dgm:presLayoutVars>
      </dgm:prSet>
      <dgm:spPr>
        <a:xfrm>
          <a:off x="160680" y="1209"/>
          <a:ext cx="1219623" cy="731774"/>
        </a:xfrm>
        <a:prstGeom prst="roundRect">
          <a:avLst>
            <a:gd name="adj" fmla="val 10000"/>
          </a:avLst>
        </a:prstGeom>
      </dgm:spPr>
    </dgm:pt>
    <dgm:pt modelId="{0C21CCA8-B616-41D9-B333-7E4524E149C3}" type="pres">
      <dgm:prSet presAssocID="{8857A016-9D6A-43B8-9B86-2ADF0C747854}" presName="sibTrans" presStyleLbl="sibTrans2D1" presStyleIdx="0" presStyleCnt="5"/>
      <dgm:spPr/>
    </dgm:pt>
    <dgm:pt modelId="{D525CB26-174E-4194-B5D3-439255F2F2C1}" type="pres">
      <dgm:prSet presAssocID="{8857A016-9D6A-43B8-9B86-2ADF0C747854}" presName="connectorText" presStyleLbl="sibTrans2D1" presStyleIdx="0" presStyleCnt="5"/>
      <dgm:spPr/>
    </dgm:pt>
    <dgm:pt modelId="{62CA9AFB-9B0E-4AA6-90DF-67A9F0C1B86B}" type="pres">
      <dgm:prSet presAssocID="{8193D800-4B40-4C7E-B947-C6CAB4C40CAC}" presName="node" presStyleLbl="node1" presStyleIdx="1" presStyleCnt="6">
        <dgm:presLayoutVars>
          <dgm:bulletEnabled val="1"/>
        </dgm:presLayoutVars>
      </dgm:prSet>
      <dgm:spPr>
        <a:xfrm>
          <a:off x="1868153" y="1209"/>
          <a:ext cx="1219623" cy="731774"/>
        </a:xfrm>
        <a:prstGeom prst="roundRect">
          <a:avLst>
            <a:gd name="adj" fmla="val 10000"/>
          </a:avLst>
        </a:prstGeom>
      </dgm:spPr>
    </dgm:pt>
    <dgm:pt modelId="{FF639803-D9D7-40A7-9826-788CA20AEADB}" type="pres">
      <dgm:prSet presAssocID="{6BE25B24-A073-45D6-B5C9-09D557B4392B}" presName="sibTrans" presStyleLbl="sibTrans2D1" presStyleIdx="1" presStyleCnt="5"/>
      <dgm:spPr/>
    </dgm:pt>
    <dgm:pt modelId="{B960A896-74F9-4204-B726-8966F0F23152}" type="pres">
      <dgm:prSet presAssocID="{6BE25B24-A073-45D6-B5C9-09D557B4392B}" presName="connectorText" presStyleLbl="sibTrans2D1" presStyleIdx="1" presStyleCnt="5"/>
      <dgm:spPr/>
    </dgm:pt>
    <dgm:pt modelId="{06E0758C-97A8-4494-814B-0AE38F5B521E}" type="pres">
      <dgm:prSet presAssocID="{37CD9F03-3F81-4DFF-948C-47401729DCE9}" presName="node" presStyleLbl="node1" presStyleIdx="2" presStyleCnt="6">
        <dgm:presLayoutVars>
          <dgm:bulletEnabled val="1"/>
        </dgm:presLayoutVars>
      </dgm:prSet>
      <dgm:spPr>
        <a:xfrm>
          <a:off x="3575626" y="1220832"/>
          <a:ext cx="1219623" cy="731774"/>
        </a:xfrm>
        <a:prstGeom prst="roundRect">
          <a:avLst>
            <a:gd name="adj" fmla="val 10000"/>
          </a:avLst>
        </a:prstGeom>
      </dgm:spPr>
    </dgm:pt>
    <dgm:pt modelId="{C2DE7C29-559D-4294-84C7-01285F8267FE}" type="pres">
      <dgm:prSet presAssocID="{24C1DA8B-B1D5-4FCD-A515-76F2D90B3DD2}" presName="sibTrans" presStyleLbl="sibTrans2D1" presStyleIdx="2" presStyleCnt="5"/>
      <dgm:spPr/>
    </dgm:pt>
    <dgm:pt modelId="{6A683311-AD74-4CF4-A8C7-225C3D722F19}" type="pres">
      <dgm:prSet presAssocID="{24C1DA8B-B1D5-4FCD-A515-76F2D90B3DD2}" presName="connectorText" presStyleLbl="sibTrans2D1" presStyleIdx="2" presStyleCnt="5"/>
      <dgm:spPr/>
    </dgm:pt>
    <dgm:pt modelId="{FEF2E7A8-8D23-47CC-A292-1F0ED9D9155E}" type="pres">
      <dgm:prSet presAssocID="{A2871C5B-62E2-415D-923F-946217F83F4F}" presName="node" presStyleLbl="node1" presStyleIdx="3" presStyleCnt="6">
        <dgm:presLayoutVars>
          <dgm:bulletEnabled val="1"/>
        </dgm:presLayoutVars>
      </dgm:prSet>
      <dgm:spPr>
        <a:xfrm>
          <a:off x="1868153" y="1220832"/>
          <a:ext cx="1219623" cy="731774"/>
        </a:xfrm>
        <a:prstGeom prst="roundRect">
          <a:avLst>
            <a:gd name="adj" fmla="val 10000"/>
          </a:avLst>
        </a:prstGeom>
      </dgm:spPr>
    </dgm:pt>
    <dgm:pt modelId="{5D9453F6-07B3-4DDA-B968-5513F0F3B196}" type="pres">
      <dgm:prSet presAssocID="{4E9D7165-F6A1-4C8F-ADD0-496467D192E4}" presName="sibTrans" presStyleLbl="sibTrans2D1" presStyleIdx="3" presStyleCnt="5"/>
      <dgm:spPr/>
    </dgm:pt>
    <dgm:pt modelId="{3D1AD506-C0E7-44A7-8FB0-BAE2D59B67D9}" type="pres">
      <dgm:prSet presAssocID="{4E9D7165-F6A1-4C8F-ADD0-496467D192E4}" presName="connectorText" presStyleLbl="sibTrans2D1" presStyleIdx="3" presStyleCnt="5"/>
      <dgm:spPr/>
    </dgm:pt>
    <dgm:pt modelId="{AF7B06DE-D887-4D37-B6DF-37731E4749B9}" type="pres">
      <dgm:prSet presAssocID="{6BF47FDB-F438-47DD-98C6-E429CAB1D029}" presName="node" presStyleLbl="node1" presStyleIdx="4" presStyleCnt="6">
        <dgm:presLayoutVars>
          <dgm:bulletEnabled val="1"/>
        </dgm:presLayoutVars>
      </dgm:prSet>
      <dgm:spPr>
        <a:xfrm>
          <a:off x="160680" y="1220832"/>
          <a:ext cx="1219623" cy="731774"/>
        </a:xfrm>
        <a:prstGeom prst="roundRect">
          <a:avLst>
            <a:gd name="adj" fmla="val 10000"/>
          </a:avLst>
        </a:prstGeom>
      </dgm:spPr>
    </dgm:pt>
    <dgm:pt modelId="{9F7F9E6A-CFB6-4A9C-911C-5E896162BF52}" type="pres">
      <dgm:prSet presAssocID="{8122B792-568E-46B4-9DB5-3746D0AC9A4F}" presName="sibTrans" presStyleLbl="sibTrans2D1" presStyleIdx="4" presStyleCnt="5"/>
      <dgm:spPr/>
    </dgm:pt>
    <dgm:pt modelId="{CB509BBE-FDD5-40FD-AEB0-31EEC757A2F2}" type="pres">
      <dgm:prSet presAssocID="{8122B792-568E-46B4-9DB5-3746D0AC9A4F}" presName="connectorText" presStyleLbl="sibTrans2D1" presStyleIdx="4" presStyleCnt="5"/>
      <dgm:spPr/>
    </dgm:pt>
    <dgm:pt modelId="{5D414B51-B6E4-4200-A0E3-D0EC812F7EC6}" type="pres">
      <dgm:prSet presAssocID="{D1318A38-014F-492E-A3DF-C5BF3CC95E30}" presName="node" presStyleLbl="node1" presStyleIdx="5" presStyleCnt="6">
        <dgm:presLayoutVars>
          <dgm:bulletEnabled val="1"/>
        </dgm:presLayoutVars>
      </dgm:prSet>
      <dgm:spPr>
        <a:xfrm>
          <a:off x="160680" y="2440455"/>
          <a:ext cx="1219623" cy="731774"/>
        </a:xfrm>
        <a:prstGeom prst="roundRect">
          <a:avLst>
            <a:gd name="adj" fmla="val 10000"/>
          </a:avLst>
        </a:prstGeom>
      </dgm:spPr>
    </dgm:pt>
  </dgm:ptLst>
  <dgm:cxnLst>
    <dgm:cxn modelId="{3E65230F-C623-4979-9EFD-5541C99506AD}" type="presOf" srcId="{8857A016-9D6A-43B8-9B86-2ADF0C747854}" destId="{D525CB26-174E-4194-B5D3-439255F2F2C1}" srcOrd="1" destOrd="0" presId="urn:microsoft.com/office/officeart/2005/8/layout/process5"/>
    <dgm:cxn modelId="{34C01219-1A50-42E6-A37D-6658139DDA2B}" type="presOf" srcId="{D1318A38-014F-492E-A3DF-C5BF3CC95E30}" destId="{5D414B51-B6E4-4200-A0E3-D0EC812F7EC6}" srcOrd="0" destOrd="0" presId="urn:microsoft.com/office/officeart/2005/8/layout/process5"/>
    <dgm:cxn modelId="{9F8A4C21-BFA5-414F-9590-205B0D4F2BB0}" type="presOf" srcId="{A2871C5B-62E2-415D-923F-946217F83F4F}" destId="{FEF2E7A8-8D23-47CC-A292-1F0ED9D9155E}" srcOrd="0" destOrd="0" presId="urn:microsoft.com/office/officeart/2005/8/layout/process5"/>
    <dgm:cxn modelId="{B662AD21-7F4D-4053-9553-0B19539A9083}" type="presOf" srcId="{4E9D7165-F6A1-4C8F-ADD0-496467D192E4}" destId="{5D9453F6-07B3-4DDA-B968-5513F0F3B196}" srcOrd="0" destOrd="0" presId="urn:microsoft.com/office/officeart/2005/8/layout/process5"/>
    <dgm:cxn modelId="{E112492A-FE32-4E7E-9077-6439E802EE82}" type="presOf" srcId="{37CD9F03-3F81-4DFF-948C-47401729DCE9}" destId="{06E0758C-97A8-4494-814B-0AE38F5B521E}" srcOrd="0" destOrd="0" presId="urn:microsoft.com/office/officeart/2005/8/layout/process5"/>
    <dgm:cxn modelId="{615A872D-C1F5-4822-8E86-EB95C4312372}" type="presOf" srcId="{4B31CD6F-D8CB-4678-BD0D-B30D822C1AF8}" destId="{B6C76903-3817-4D83-A918-F89C62F41439}" srcOrd="0" destOrd="0" presId="urn:microsoft.com/office/officeart/2005/8/layout/process5"/>
    <dgm:cxn modelId="{D6FADF48-2C09-4F16-B43B-4E5864EFE6A1}" srcId="{E3E7717B-5D02-4118-9239-D017FBED2E65}" destId="{6BF47FDB-F438-47DD-98C6-E429CAB1D029}" srcOrd="4" destOrd="0" parTransId="{53619946-D9C3-4EF3-A982-5ACB81E8D15E}" sibTransId="{8122B792-568E-46B4-9DB5-3746D0AC9A4F}"/>
    <dgm:cxn modelId="{CC86DB4F-9710-4983-B315-BD467750AFCE}" type="presOf" srcId="{8122B792-568E-46B4-9DB5-3746D0AC9A4F}" destId="{CB509BBE-FDD5-40FD-AEB0-31EEC757A2F2}" srcOrd="1" destOrd="0" presId="urn:microsoft.com/office/officeart/2005/8/layout/process5"/>
    <dgm:cxn modelId="{A5A45F53-5B0F-41B5-8E8B-9265A5D49C94}" srcId="{E3E7717B-5D02-4118-9239-D017FBED2E65}" destId="{4B31CD6F-D8CB-4678-BD0D-B30D822C1AF8}" srcOrd="0" destOrd="0" parTransId="{580B55F7-8A52-4882-B51B-FD208284028D}" sibTransId="{8857A016-9D6A-43B8-9B86-2ADF0C747854}"/>
    <dgm:cxn modelId="{2A1EFB59-90CC-4620-B770-7CF922A376FA}" type="presOf" srcId="{4E9D7165-F6A1-4C8F-ADD0-496467D192E4}" destId="{3D1AD506-C0E7-44A7-8FB0-BAE2D59B67D9}" srcOrd="1" destOrd="0" presId="urn:microsoft.com/office/officeart/2005/8/layout/process5"/>
    <dgm:cxn modelId="{21E7E164-D963-49D2-BB55-868504D758CE}" srcId="{E3E7717B-5D02-4118-9239-D017FBED2E65}" destId="{37CD9F03-3F81-4DFF-948C-47401729DCE9}" srcOrd="2" destOrd="0" parTransId="{D34D0867-5F24-4695-9B22-979535183AD4}" sibTransId="{24C1DA8B-B1D5-4FCD-A515-76F2D90B3DD2}"/>
    <dgm:cxn modelId="{53D19B72-4152-45A5-9376-B308AF9FED8B}" type="presOf" srcId="{E3E7717B-5D02-4118-9239-D017FBED2E65}" destId="{9BC266F3-8C89-49C2-864E-4C2711DE0ECE}" srcOrd="0" destOrd="0" presId="urn:microsoft.com/office/officeart/2005/8/layout/process5"/>
    <dgm:cxn modelId="{E038537A-4430-46B5-9A59-C6E963B9B4CB}" type="presOf" srcId="{24C1DA8B-B1D5-4FCD-A515-76F2D90B3DD2}" destId="{C2DE7C29-559D-4294-84C7-01285F8267FE}" srcOrd="0" destOrd="0" presId="urn:microsoft.com/office/officeart/2005/8/layout/process5"/>
    <dgm:cxn modelId="{0F6C2E7F-DE03-4B99-AA4F-8B054FB878CE}" srcId="{E3E7717B-5D02-4118-9239-D017FBED2E65}" destId="{8193D800-4B40-4C7E-B947-C6CAB4C40CAC}" srcOrd="1" destOrd="0" parTransId="{AC6B9175-0755-4C75-914D-0B0AD4AF7D1C}" sibTransId="{6BE25B24-A073-45D6-B5C9-09D557B4392B}"/>
    <dgm:cxn modelId="{B7073580-19B1-4338-8A3D-41FBC55CF5A3}" type="presOf" srcId="{8857A016-9D6A-43B8-9B86-2ADF0C747854}" destId="{0C21CCA8-B616-41D9-B333-7E4524E149C3}" srcOrd="0" destOrd="0" presId="urn:microsoft.com/office/officeart/2005/8/layout/process5"/>
    <dgm:cxn modelId="{89876980-65C1-46C1-8F81-8F513AF18408}" srcId="{E3E7717B-5D02-4118-9239-D017FBED2E65}" destId="{A2871C5B-62E2-415D-923F-946217F83F4F}" srcOrd="3" destOrd="0" parTransId="{A8245AE5-7A01-49A4-8587-35BD493D03F5}" sibTransId="{4E9D7165-F6A1-4C8F-ADD0-496467D192E4}"/>
    <dgm:cxn modelId="{3D257284-671D-4F92-99C1-449F87A70966}" type="presOf" srcId="{24C1DA8B-B1D5-4FCD-A515-76F2D90B3DD2}" destId="{6A683311-AD74-4CF4-A8C7-225C3D722F19}" srcOrd="1" destOrd="0" presId="urn:microsoft.com/office/officeart/2005/8/layout/process5"/>
    <dgm:cxn modelId="{D29CAE88-7761-47E5-AF7A-67F734EE1840}" type="presOf" srcId="{8193D800-4B40-4C7E-B947-C6CAB4C40CAC}" destId="{62CA9AFB-9B0E-4AA6-90DF-67A9F0C1B86B}" srcOrd="0" destOrd="0" presId="urn:microsoft.com/office/officeart/2005/8/layout/process5"/>
    <dgm:cxn modelId="{A7D44696-2F70-4215-8F07-78D61DA239BD}" type="presOf" srcId="{6BF47FDB-F438-47DD-98C6-E429CAB1D029}" destId="{AF7B06DE-D887-4D37-B6DF-37731E4749B9}" srcOrd="0" destOrd="0" presId="urn:microsoft.com/office/officeart/2005/8/layout/process5"/>
    <dgm:cxn modelId="{0E9245B5-D799-4559-B374-CCD74D61A3E8}" type="presOf" srcId="{6BE25B24-A073-45D6-B5C9-09D557B4392B}" destId="{B960A896-74F9-4204-B726-8966F0F23152}" srcOrd="1" destOrd="0" presId="urn:microsoft.com/office/officeart/2005/8/layout/process5"/>
    <dgm:cxn modelId="{F7CD2ED4-A6F2-4F70-809C-F4DD2C22F8BB}" type="presOf" srcId="{8122B792-568E-46B4-9DB5-3746D0AC9A4F}" destId="{9F7F9E6A-CFB6-4A9C-911C-5E896162BF52}" srcOrd="0" destOrd="0" presId="urn:microsoft.com/office/officeart/2005/8/layout/process5"/>
    <dgm:cxn modelId="{1D30E6DD-40F3-46D0-88A1-E11B89774982}" type="presOf" srcId="{6BE25B24-A073-45D6-B5C9-09D557B4392B}" destId="{FF639803-D9D7-40A7-9826-788CA20AEADB}" srcOrd="0" destOrd="0" presId="urn:microsoft.com/office/officeart/2005/8/layout/process5"/>
    <dgm:cxn modelId="{47B441F7-73B6-40BD-BCFC-FEC9559CF576}" srcId="{E3E7717B-5D02-4118-9239-D017FBED2E65}" destId="{D1318A38-014F-492E-A3DF-C5BF3CC95E30}" srcOrd="5" destOrd="0" parTransId="{89390E4D-9CC4-48D2-9E3B-047A002E2A51}" sibTransId="{0A0F1171-092B-4242-8CA9-2FC7B31D512B}"/>
    <dgm:cxn modelId="{88A9EC61-B9C3-4B5B-9AF3-610786A9A0AA}" type="presParOf" srcId="{9BC266F3-8C89-49C2-864E-4C2711DE0ECE}" destId="{B6C76903-3817-4D83-A918-F89C62F41439}" srcOrd="0" destOrd="0" presId="urn:microsoft.com/office/officeart/2005/8/layout/process5"/>
    <dgm:cxn modelId="{7ACF35AA-557A-4A92-92A1-1AC62DF479B8}" type="presParOf" srcId="{9BC266F3-8C89-49C2-864E-4C2711DE0ECE}" destId="{0C21CCA8-B616-41D9-B333-7E4524E149C3}" srcOrd="1" destOrd="0" presId="urn:microsoft.com/office/officeart/2005/8/layout/process5"/>
    <dgm:cxn modelId="{C27F65C4-33F4-41A5-9CA7-44C87977AB73}" type="presParOf" srcId="{0C21CCA8-B616-41D9-B333-7E4524E149C3}" destId="{D525CB26-174E-4194-B5D3-439255F2F2C1}" srcOrd="0" destOrd="0" presId="urn:microsoft.com/office/officeart/2005/8/layout/process5"/>
    <dgm:cxn modelId="{AE03456A-3037-4C0D-899C-7AB16A569A95}" type="presParOf" srcId="{9BC266F3-8C89-49C2-864E-4C2711DE0ECE}" destId="{62CA9AFB-9B0E-4AA6-90DF-67A9F0C1B86B}" srcOrd="2" destOrd="0" presId="urn:microsoft.com/office/officeart/2005/8/layout/process5"/>
    <dgm:cxn modelId="{3286F108-695A-482D-B74F-E1AE6ECADBA6}" type="presParOf" srcId="{9BC266F3-8C89-49C2-864E-4C2711DE0ECE}" destId="{FF639803-D9D7-40A7-9826-788CA20AEADB}" srcOrd="3" destOrd="0" presId="urn:microsoft.com/office/officeart/2005/8/layout/process5"/>
    <dgm:cxn modelId="{FA8F3EC7-6D65-47EB-84D5-9AA7D7922AB2}" type="presParOf" srcId="{FF639803-D9D7-40A7-9826-788CA20AEADB}" destId="{B960A896-74F9-4204-B726-8966F0F23152}" srcOrd="0" destOrd="0" presId="urn:microsoft.com/office/officeart/2005/8/layout/process5"/>
    <dgm:cxn modelId="{A432A2B0-FC3F-453D-9F91-7B713B5A5DF6}" type="presParOf" srcId="{9BC266F3-8C89-49C2-864E-4C2711DE0ECE}" destId="{06E0758C-97A8-4494-814B-0AE38F5B521E}" srcOrd="4" destOrd="0" presId="urn:microsoft.com/office/officeart/2005/8/layout/process5"/>
    <dgm:cxn modelId="{03A7E325-A04C-451A-A72E-367908616D5F}" type="presParOf" srcId="{9BC266F3-8C89-49C2-864E-4C2711DE0ECE}" destId="{C2DE7C29-559D-4294-84C7-01285F8267FE}" srcOrd="5" destOrd="0" presId="urn:microsoft.com/office/officeart/2005/8/layout/process5"/>
    <dgm:cxn modelId="{E4CF1387-2D1E-41CA-93C6-0F4C28A1140C}" type="presParOf" srcId="{C2DE7C29-559D-4294-84C7-01285F8267FE}" destId="{6A683311-AD74-4CF4-A8C7-225C3D722F19}" srcOrd="0" destOrd="0" presId="urn:microsoft.com/office/officeart/2005/8/layout/process5"/>
    <dgm:cxn modelId="{E36B7F6B-7938-4817-B187-CAC428BFCF38}" type="presParOf" srcId="{9BC266F3-8C89-49C2-864E-4C2711DE0ECE}" destId="{FEF2E7A8-8D23-47CC-A292-1F0ED9D9155E}" srcOrd="6" destOrd="0" presId="urn:microsoft.com/office/officeart/2005/8/layout/process5"/>
    <dgm:cxn modelId="{FDAF3207-C52E-437A-A060-70D096C1252E}" type="presParOf" srcId="{9BC266F3-8C89-49C2-864E-4C2711DE0ECE}" destId="{5D9453F6-07B3-4DDA-B968-5513F0F3B196}" srcOrd="7" destOrd="0" presId="urn:microsoft.com/office/officeart/2005/8/layout/process5"/>
    <dgm:cxn modelId="{B232BBD1-38C5-430A-892A-318FEBEEC904}" type="presParOf" srcId="{5D9453F6-07B3-4DDA-B968-5513F0F3B196}" destId="{3D1AD506-C0E7-44A7-8FB0-BAE2D59B67D9}" srcOrd="0" destOrd="0" presId="urn:microsoft.com/office/officeart/2005/8/layout/process5"/>
    <dgm:cxn modelId="{D706A903-B160-4A93-8F41-7CB8FC86EAB2}" type="presParOf" srcId="{9BC266F3-8C89-49C2-864E-4C2711DE0ECE}" destId="{AF7B06DE-D887-4D37-B6DF-37731E4749B9}" srcOrd="8" destOrd="0" presId="urn:microsoft.com/office/officeart/2005/8/layout/process5"/>
    <dgm:cxn modelId="{58A363F8-DD8F-4FFE-AF1E-0841A3A206A8}" type="presParOf" srcId="{9BC266F3-8C89-49C2-864E-4C2711DE0ECE}" destId="{9F7F9E6A-CFB6-4A9C-911C-5E896162BF52}" srcOrd="9" destOrd="0" presId="urn:microsoft.com/office/officeart/2005/8/layout/process5"/>
    <dgm:cxn modelId="{99C89086-78A6-4E0F-96EC-4EA133701EEF}" type="presParOf" srcId="{9F7F9E6A-CFB6-4A9C-911C-5E896162BF52}" destId="{CB509BBE-FDD5-40FD-AEB0-31EEC757A2F2}" srcOrd="0" destOrd="0" presId="urn:microsoft.com/office/officeart/2005/8/layout/process5"/>
    <dgm:cxn modelId="{CCAB4BFF-B9A2-4ECE-9761-41511594FCCB}" type="presParOf" srcId="{9BC266F3-8C89-49C2-864E-4C2711DE0ECE}" destId="{5D414B51-B6E4-4200-A0E3-D0EC812F7EC6}" srcOrd="10" destOrd="0" presId="urn:microsoft.com/office/officeart/2005/8/layout/process5"/>
  </dgm:cxnLst>
  <dgm:bg>
    <a:solidFill>
      <a:srgbClr val="6AB04C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3E7717B-5D02-4118-9239-D017FBED2E65}" type="doc">
      <dgm:prSet loTypeId="urn:microsoft.com/office/officeart/2005/8/layout/process5" loCatId="process" qsTypeId="urn:microsoft.com/office/officeart/2005/8/quickstyle/simple2" qsCatId="simple" csTypeId="urn:microsoft.com/office/officeart/2005/8/colors/accent2_2" csCatId="accent2" phldr="1"/>
      <dgm:spPr/>
    </dgm:pt>
    <dgm:pt modelId="{4B31CD6F-D8CB-4678-BD0D-B30D822C1AF8}">
      <dgm:prSet phldrT="[Text]"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900" b="0" i="0" u="none"/>
            <a:t>Raw steel</a:t>
          </a:r>
          <a:endParaRPr lang="en-US" sz="900"/>
        </a:p>
      </dgm:t>
    </dgm:pt>
    <dgm:pt modelId="{580B55F7-8A52-4882-B51B-FD208284028D}" type="parTrans" cxnId="{A5A45F53-5B0F-41B5-8E8B-9265A5D49C94}">
      <dgm:prSet/>
      <dgm:spPr/>
      <dgm:t>
        <a:bodyPr/>
        <a:lstStyle/>
        <a:p>
          <a:endParaRPr lang="en-US"/>
        </a:p>
      </dgm:t>
    </dgm:pt>
    <dgm:pt modelId="{8857A016-9D6A-43B8-9B86-2ADF0C747854}" type="sibTrans" cxnId="{A5A45F53-5B0F-41B5-8E8B-9265A5D49C94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0A0A4D0A-6529-489A-B6FE-46FEDDDA332C}">
      <dgm:prSet phldrT="[Text]"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800" b="0" i="0" u="none"/>
            <a:t>Milling cam lobes (DMU 50)</a:t>
          </a:r>
          <a:endParaRPr lang="en-US" sz="800"/>
        </a:p>
      </dgm:t>
    </dgm:pt>
    <dgm:pt modelId="{67800E8C-3181-48D2-9AEF-454050A00467}" type="parTrans" cxnId="{78D70F67-A9EE-423B-BB61-8C0ED5CE704F}">
      <dgm:prSet/>
      <dgm:spPr/>
      <dgm:t>
        <a:bodyPr/>
        <a:lstStyle/>
        <a:p>
          <a:endParaRPr lang="en-US"/>
        </a:p>
      </dgm:t>
    </dgm:pt>
    <dgm:pt modelId="{49C138C3-87AE-456B-BB25-FF9B8CB4B82F}" type="sibTrans" cxnId="{78D70F67-A9EE-423B-BB61-8C0ED5CE704F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37CD9F03-3F81-4DFF-948C-47401729DCE9}">
      <dgm:prSet custT="1"/>
      <dgm:spPr>
        <a:solidFill>
          <a:srgbClr val="BE2EDD"/>
        </a:solidFill>
      </dgm:spPr>
      <dgm:t>
        <a:bodyPr/>
        <a:lstStyle/>
        <a:p>
          <a:r>
            <a:rPr lang="en-US" sz="800" b="0" i="0" u="none"/>
            <a:t>Grinding lobes &amp; journals (Studer S41)</a:t>
          </a:r>
          <a:endParaRPr lang="en-US" sz="800"/>
        </a:p>
      </dgm:t>
    </dgm:pt>
    <dgm:pt modelId="{D34D0867-5F24-4695-9B22-979535183AD4}" type="parTrans" cxnId="{21E7E164-D963-49D2-BB55-868504D758CE}">
      <dgm:prSet/>
      <dgm:spPr/>
      <dgm:t>
        <a:bodyPr/>
        <a:lstStyle/>
        <a:p>
          <a:endParaRPr lang="en-US"/>
        </a:p>
      </dgm:t>
    </dgm:pt>
    <dgm:pt modelId="{24C1DA8B-B1D5-4FCD-A515-76F2D90B3DD2}" type="sibTrans" cxnId="{21E7E164-D963-49D2-BB55-868504D758CE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A2871C5B-62E2-415D-923F-946217F83F4F}">
      <dgm:prSet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800" b="0" i="0" u="none"/>
            <a:t>Cleaning/QC</a:t>
          </a:r>
          <a:endParaRPr lang="en-US" sz="800"/>
        </a:p>
      </dgm:t>
    </dgm:pt>
    <dgm:pt modelId="{A8245AE5-7A01-49A4-8587-35BD493D03F5}" type="parTrans" cxnId="{89876980-65C1-46C1-8F81-8F513AF18408}">
      <dgm:prSet/>
      <dgm:spPr/>
      <dgm:t>
        <a:bodyPr/>
        <a:lstStyle/>
        <a:p>
          <a:endParaRPr lang="en-US"/>
        </a:p>
      </dgm:t>
    </dgm:pt>
    <dgm:pt modelId="{4E9D7165-F6A1-4C8F-ADD0-496467D192E4}" type="sibTrans" cxnId="{89876980-65C1-46C1-8F81-8F513AF18408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6BF47FDB-F438-47DD-98C6-E429CAB1D029}">
      <dgm:prSet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800" b="0" i="0" u="none"/>
            <a:t>Storage</a:t>
          </a:r>
          <a:endParaRPr lang="en-US" sz="800"/>
        </a:p>
      </dgm:t>
    </dgm:pt>
    <dgm:pt modelId="{53619946-D9C3-4EF3-A982-5ACB81E8D15E}" type="parTrans" cxnId="{D6FADF48-2C09-4F16-B43B-4E5864EFE6A1}">
      <dgm:prSet/>
      <dgm:spPr/>
      <dgm:t>
        <a:bodyPr/>
        <a:lstStyle/>
        <a:p>
          <a:endParaRPr lang="en-US"/>
        </a:p>
      </dgm:t>
    </dgm:pt>
    <dgm:pt modelId="{8122B792-568E-46B4-9DB5-3746D0AC9A4F}" type="sibTrans" cxnId="{D6FADF48-2C09-4F16-B43B-4E5864EFE6A1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D1318A38-014F-492E-A3DF-C5BF3CC95E30}">
      <dgm:prSet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800" b="0" i="0" u="none"/>
            <a:t>Assembly</a:t>
          </a:r>
          <a:endParaRPr lang="en-US" sz="800"/>
        </a:p>
      </dgm:t>
    </dgm:pt>
    <dgm:pt modelId="{89390E4D-9CC4-48D2-9E3B-047A002E2A51}" type="parTrans" cxnId="{47B441F7-73B6-40BD-BCFC-FEC9559CF576}">
      <dgm:prSet/>
      <dgm:spPr/>
      <dgm:t>
        <a:bodyPr/>
        <a:lstStyle/>
        <a:p>
          <a:endParaRPr lang="en-US"/>
        </a:p>
      </dgm:t>
    </dgm:pt>
    <dgm:pt modelId="{0A0F1171-092B-4242-8CA9-2FC7B31D512B}" type="sibTrans" cxnId="{47B441F7-73B6-40BD-BCFC-FEC9559CF576}">
      <dgm:prSet/>
      <dgm:spPr/>
      <dgm:t>
        <a:bodyPr/>
        <a:lstStyle/>
        <a:p>
          <a:endParaRPr lang="en-US"/>
        </a:p>
      </dgm:t>
    </dgm:pt>
    <dgm:pt modelId="{8193D800-4B40-4C7E-B947-C6CAB4C40CAC}">
      <dgm:prSet phldrT="[Text]" custT="1"/>
      <dgm:spPr>
        <a:solidFill>
          <a:srgbClr val="BE2EDD"/>
        </a:solidFill>
      </dgm:spPr>
      <dgm:t>
        <a:bodyPr/>
        <a:lstStyle/>
        <a:p>
          <a:pPr>
            <a:buNone/>
          </a:pPr>
          <a:r>
            <a:rPr lang="en-US" sz="900" b="1" i="0" u="none"/>
            <a:t>Turning</a:t>
          </a:r>
          <a:r>
            <a:rPr lang="en-US" sz="800" b="1" i="0" u="none"/>
            <a:t> (DMG CTX)</a:t>
          </a:r>
          <a:endParaRPr lang="en-US" sz="800"/>
        </a:p>
      </dgm:t>
    </dgm:pt>
    <dgm:pt modelId="{6BE25B24-A073-45D6-B5C9-09D557B4392B}" type="sibTrans" cxnId="{0F6C2E7F-DE03-4B99-AA4F-8B054FB878CE}">
      <dgm:prSet custT="1"/>
      <dgm:spPr>
        <a:solidFill>
          <a:srgbClr val="E056FD"/>
        </a:solidFill>
      </dgm:spPr>
      <dgm:t>
        <a:bodyPr/>
        <a:lstStyle/>
        <a:p>
          <a:endParaRPr lang="en-US" sz="800"/>
        </a:p>
      </dgm:t>
    </dgm:pt>
    <dgm:pt modelId="{AC6B9175-0755-4C75-914D-0B0AD4AF7D1C}" type="parTrans" cxnId="{0F6C2E7F-DE03-4B99-AA4F-8B054FB878CE}">
      <dgm:prSet/>
      <dgm:spPr/>
      <dgm:t>
        <a:bodyPr/>
        <a:lstStyle/>
        <a:p>
          <a:endParaRPr lang="en-US"/>
        </a:p>
      </dgm:t>
    </dgm:pt>
    <dgm:pt modelId="{9BC266F3-8C89-49C2-864E-4C2711DE0ECE}" type="pres">
      <dgm:prSet presAssocID="{E3E7717B-5D02-4118-9239-D017FBED2E65}" presName="diagram" presStyleCnt="0">
        <dgm:presLayoutVars>
          <dgm:dir/>
          <dgm:resizeHandles val="exact"/>
        </dgm:presLayoutVars>
      </dgm:prSet>
      <dgm:spPr/>
    </dgm:pt>
    <dgm:pt modelId="{B6C76903-3817-4D83-A918-F89C62F41439}" type="pres">
      <dgm:prSet presAssocID="{4B31CD6F-D8CB-4678-BD0D-B30D822C1AF8}" presName="node" presStyleLbl="node1" presStyleIdx="0" presStyleCnt="7">
        <dgm:presLayoutVars>
          <dgm:bulletEnabled val="1"/>
        </dgm:presLayoutVars>
      </dgm:prSet>
      <dgm:spPr/>
    </dgm:pt>
    <dgm:pt modelId="{0C21CCA8-B616-41D9-B333-7E4524E149C3}" type="pres">
      <dgm:prSet presAssocID="{8857A016-9D6A-43B8-9B86-2ADF0C747854}" presName="sibTrans" presStyleLbl="sibTrans2D1" presStyleIdx="0" presStyleCnt="6"/>
      <dgm:spPr/>
    </dgm:pt>
    <dgm:pt modelId="{D525CB26-174E-4194-B5D3-439255F2F2C1}" type="pres">
      <dgm:prSet presAssocID="{8857A016-9D6A-43B8-9B86-2ADF0C747854}" presName="connectorText" presStyleLbl="sibTrans2D1" presStyleIdx="0" presStyleCnt="6"/>
      <dgm:spPr/>
    </dgm:pt>
    <dgm:pt modelId="{62CA9AFB-9B0E-4AA6-90DF-67A9F0C1B86B}" type="pres">
      <dgm:prSet presAssocID="{8193D800-4B40-4C7E-B947-C6CAB4C40CAC}" presName="node" presStyleLbl="node1" presStyleIdx="1" presStyleCnt="7">
        <dgm:presLayoutVars>
          <dgm:bulletEnabled val="1"/>
        </dgm:presLayoutVars>
      </dgm:prSet>
      <dgm:spPr/>
    </dgm:pt>
    <dgm:pt modelId="{FF639803-D9D7-40A7-9826-788CA20AEADB}" type="pres">
      <dgm:prSet presAssocID="{6BE25B24-A073-45D6-B5C9-09D557B4392B}" presName="sibTrans" presStyleLbl="sibTrans2D1" presStyleIdx="1" presStyleCnt="6"/>
      <dgm:spPr/>
    </dgm:pt>
    <dgm:pt modelId="{B960A896-74F9-4204-B726-8966F0F23152}" type="pres">
      <dgm:prSet presAssocID="{6BE25B24-A073-45D6-B5C9-09D557B4392B}" presName="connectorText" presStyleLbl="sibTrans2D1" presStyleIdx="1" presStyleCnt="6"/>
      <dgm:spPr/>
    </dgm:pt>
    <dgm:pt modelId="{805B7075-5789-42C6-B82F-BEDB88B706E7}" type="pres">
      <dgm:prSet presAssocID="{0A0A4D0A-6529-489A-B6FE-46FEDDDA332C}" presName="node" presStyleLbl="node1" presStyleIdx="2" presStyleCnt="7">
        <dgm:presLayoutVars>
          <dgm:bulletEnabled val="1"/>
        </dgm:presLayoutVars>
      </dgm:prSet>
      <dgm:spPr/>
    </dgm:pt>
    <dgm:pt modelId="{7D59474C-4690-453A-A719-523319A931F2}" type="pres">
      <dgm:prSet presAssocID="{49C138C3-87AE-456B-BB25-FF9B8CB4B82F}" presName="sibTrans" presStyleLbl="sibTrans2D1" presStyleIdx="2" presStyleCnt="6"/>
      <dgm:spPr/>
    </dgm:pt>
    <dgm:pt modelId="{9E65EDCA-C7BC-47F4-BA53-A023DE1C490B}" type="pres">
      <dgm:prSet presAssocID="{49C138C3-87AE-456B-BB25-FF9B8CB4B82F}" presName="connectorText" presStyleLbl="sibTrans2D1" presStyleIdx="2" presStyleCnt="6"/>
      <dgm:spPr/>
    </dgm:pt>
    <dgm:pt modelId="{06E0758C-97A8-4494-814B-0AE38F5B521E}" type="pres">
      <dgm:prSet presAssocID="{37CD9F03-3F81-4DFF-948C-47401729DCE9}" presName="node" presStyleLbl="node1" presStyleIdx="3" presStyleCnt="7">
        <dgm:presLayoutVars>
          <dgm:bulletEnabled val="1"/>
        </dgm:presLayoutVars>
      </dgm:prSet>
      <dgm:spPr/>
    </dgm:pt>
    <dgm:pt modelId="{C2DE7C29-559D-4294-84C7-01285F8267FE}" type="pres">
      <dgm:prSet presAssocID="{24C1DA8B-B1D5-4FCD-A515-76F2D90B3DD2}" presName="sibTrans" presStyleLbl="sibTrans2D1" presStyleIdx="3" presStyleCnt="6"/>
      <dgm:spPr/>
    </dgm:pt>
    <dgm:pt modelId="{6A683311-AD74-4CF4-A8C7-225C3D722F19}" type="pres">
      <dgm:prSet presAssocID="{24C1DA8B-B1D5-4FCD-A515-76F2D90B3DD2}" presName="connectorText" presStyleLbl="sibTrans2D1" presStyleIdx="3" presStyleCnt="6"/>
      <dgm:spPr/>
    </dgm:pt>
    <dgm:pt modelId="{FEF2E7A8-8D23-47CC-A292-1F0ED9D9155E}" type="pres">
      <dgm:prSet presAssocID="{A2871C5B-62E2-415D-923F-946217F83F4F}" presName="node" presStyleLbl="node1" presStyleIdx="4" presStyleCnt="7">
        <dgm:presLayoutVars>
          <dgm:bulletEnabled val="1"/>
        </dgm:presLayoutVars>
      </dgm:prSet>
      <dgm:spPr/>
    </dgm:pt>
    <dgm:pt modelId="{5D9453F6-07B3-4DDA-B968-5513F0F3B196}" type="pres">
      <dgm:prSet presAssocID="{4E9D7165-F6A1-4C8F-ADD0-496467D192E4}" presName="sibTrans" presStyleLbl="sibTrans2D1" presStyleIdx="4" presStyleCnt="6"/>
      <dgm:spPr/>
    </dgm:pt>
    <dgm:pt modelId="{3D1AD506-C0E7-44A7-8FB0-BAE2D59B67D9}" type="pres">
      <dgm:prSet presAssocID="{4E9D7165-F6A1-4C8F-ADD0-496467D192E4}" presName="connectorText" presStyleLbl="sibTrans2D1" presStyleIdx="4" presStyleCnt="6"/>
      <dgm:spPr/>
    </dgm:pt>
    <dgm:pt modelId="{AF7B06DE-D887-4D37-B6DF-37731E4749B9}" type="pres">
      <dgm:prSet presAssocID="{6BF47FDB-F438-47DD-98C6-E429CAB1D029}" presName="node" presStyleLbl="node1" presStyleIdx="5" presStyleCnt="7">
        <dgm:presLayoutVars>
          <dgm:bulletEnabled val="1"/>
        </dgm:presLayoutVars>
      </dgm:prSet>
      <dgm:spPr/>
    </dgm:pt>
    <dgm:pt modelId="{9F7F9E6A-CFB6-4A9C-911C-5E896162BF52}" type="pres">
      <dgm:prSet presAssocID="{8122B792-568E-46B4-9DB5-3746D0AC9A4F}" presName="sibTrans" presStyleLbl="sibTrans2D1" presStyleIdx="5" presStyleCnt="6"/>
      <dgm:spPr/>
    </dgm:pt>
    <dgm:pt modelId="{CB509BBE-FDD5-40FD-AEB0-31EEC757A2F2}" type="pres">
      <dgm:prSet presAssocID="{8122B792-568E-46B4-9DB5-3746D0AC9A4F}" presName="connectorText" presStyleLbl="sibTrans2D1" presStyleIdx="5" presStyleCnt="6"/>
      <dgm:spPr/>
    </dgm:pt>
    <dgm:pt modelId="{5D414B51-B6E4-4200-A0E3-D0EC812F7EC6}" type="pres">
      <dgm:prSet presAssocID="{D1318A38-014F-492E-A3DF-C5BF3CC95E30}" presName="node" presStyleLbl="node1" presStyleIdx="6" presStyleCnt="7">
        <dgm:presLayoutVars>
          <dgm:bulletEnabled val="1"/>
        </dgm:presLayoutVars>
      </dgm:prSet>
      <dgm:spPr/>
    </dgm:pt>
  </dgm:ptLst>
  <dgm:cxnLst>
    <dgm:cxn modelId="{3E65230F-C623-4979-9EFD-5541C99506AD}" type="presOf" srcId="{8857A016-9D6A-43B8-9B86-2ADF0C747854}" destId="{D525CB26-174E-4194-B5D3-439255F2F2C1}" srcOrd="1" destOrd="0" presId="urn:microsoft.com/office/officeart/2005/8/layout/process5"/>
    <dgm:cxn modelId="{34C01219-1A50-42E6-A37D-6658139DDA2B}" type="presOf" srcId="{D1318A38-014F-492E-A3DF-C5BF3CC95E30}" destId="{5D414B51-B6E4-4200-A0E3-D0EC812F7EC6}" srcOrd="0" destOrd="0" presId="urn:microsoft.com/office/officeart/2005/8/layout/process5"/>
    <dgm:cxn modelId="{9F8A4C21-BFA5-414F-9590-205B0D4F2BB0}" type="presOf" srcId="{A2871C5B-62E2-415D-923F-946217F83F4F}" destId="{FEF2E7A8-8D23-47CC-A292-1F0ED9D9155E}" srcOrd="0" destOrd="0" presId="urn:microsoft.com/office/officeart/2005/8/layout/process5"/>
    <dgm:cxn modelId="{B662AD21-7F4D-4053-9553-0B19539A9083}" type="presOf" srcId="{4E9D7165-F6A1-4C8F-ADD0-496467D192E4}" destId="{5D9453F6-07B3-4DDA-B968-5513F0F3B196}" srcOrd="0" destOrd="0" presId="urn:microsoft.com/office/officeart/2005/8/layout/process5"/>
    <dgm:cxn modelId="{E112492A-FE32-4E7E-9077-6439E802EE82}" type="presOf" srcId="{37CD9F03-3F81-4DFF-948C-47401729DCE9}" destId="{06E0758C-97A8-4494-814B-0AE38F5B521E}" srcOrd="0" destOrd="0" presId="urn:microsoft.com/office/officeart/2005/8/layout/process5"/>
    <dgm:cxn modelId="{615A872D-C1F5-4822-8E86-EB95C4312372}" type="presOf" srcId="{4B31CD6F-D8CB-4678-BD0D-B30D822C1AF8}" destId="{B6C76903-3817-4D83-A918-F89C62F41439}" srcOrd="0" destOrd="0" presId="urn:microsoft.com/office/officeart/2005/8/layout/process5"/>
    <dgm:cxn modelId="{1D42EB38-0186-4E83-BD3E-7136E9D1AFFC}" type="presOf" srcId="{49C138C3-87AE-456B-BB25-FF9B8CB4B82F}" destId="{7D59474C-4690-453A-A719-523319A931F2}" srcOrd="0" destOrd="0" presId="urn:microsoft.com/office/officeart/2005/8/layout/process5"/>
    <dgm:cxn modelId="{D6FADF48-2C09-4F16-B43B-4E5864EFE6A1}" srcId="{E3E7717B-5D02-4118-9239-D017FBED2E65}" destId="{6BF47FDB-F438-47DD-98C6-E429CAB1D029}" srcOrd="5" destOrd="0" parTransId="{53619946-D9C3-4EF3-A982-5ACB81E8D15E}" sibTransId="{8122B792-568E-46B4-9DB5-3746D0AC9A4F}"/>
    <dgm:cxn modelId="{6A38984F-23FB-45C9-882B-452ABF70F8EB}" type="presOf" srcId="{49C138C3-87AE-456B-BB25-FF9B8CB4B82F}" destId="{9E65EDCA-C7BC-47F4-BA53-A023DE1C490B}" srcOrd="1" destOrd="0" presId="urn:microsoft.com/office/officeart/2005/8/layout/process5"/>
    <dgm:cxn modelId="{CC86DB4F-9710-4983-B315-BD467750AFCE}" type="presOf" srcId="{8122B792-568E-46B4-9DB5-3746D0AC9A4F}" destId="{CB509BBE-FDD5-40FD-AEB0-31EEC757A2F2}" srcOrd="1" destOrd="0" presId="urn:microsoft.com/office/officeart/2005/8/layout/process5"/>
    <dgm:cxn modelId="{A5A45F53-5B0F-41B5-8E8B-9265A5D49C94}" srcId="{E3E7717B-5D02-4118-9239-D017FBED2E65}" destId="{4B31CD6F-D8CB-4678-BD0D-B30D822C1AF8}" srcOrd="0" destOrd="0" parTransId="{580B55F7-8A52-4882-B51B-FD208284028D}" sibTransId="{8857A016-9D6A-43B8-9B86-2ADF0C747854}"/>
    <dgm:cxn modelId="{2A1EFB59-90CC-4620-B770-7CF922A376FA}" type="presOf" srcId="{4E9D7165-F6A1-4C8F-ADD0-496467D192E4}" destId="{3D1AD506-C0E7-44A7-8FB0-BAE2D59B67D9}" srcOrd="1" destOrd="0" presId="urn:microsoft.com/office/officeart/2005/8/layout/process5"/>
    <dgm:cxn modelId="{21E7E164-D963-49D2-BB55-868504D758CE}" srcId="{E3E7717B-5D02-4118-9239-D017FBED2E65}" destId="{37CD9F03-3F81-4DFF-948C-47401729DCE9}" srcOrd="3" destOrd="0" parTransId="{D34D0867-5F24-4695-9B22-979535183AD4}" sibTransId="{24C1DA8B-B1D5-4FCD-A515-76F2D90B3DD2}"/>
    <dgm:cxn modelId="{78D70F67-A9EE-423B-BB61-8C0ED5CE704F}" srcId="{E3E7717B-5D02-4118-9239-D017FBED2E65}" destId="{0A0A4D0A-6529-489A-B6FE-46FEDDDA332C}" srcOrd="2" destOrd="0" parTransId="{67800E8C-3181-48D2-9AEF-454050A00467}" sibTransId="{49C138C3-87AE-456B-BB25-FF9B8CB4B82F}"/>
    <dgm:cxn modelId="{35A3F26F-C9D2-47EF-9E9F-AD90B0F25EFB}" type="presOf" srcId="{0A0A4D0A-6529-489A-B6FE-46FEDDDA332C}" destId="{805B7075-5789-42C6-B82F-BEDB88B706E7}" srcOrd="0" destOrd="0" presId="urn:microsoft.com/office/officeart/2005/8/layout/process5"/>
    <dgm:cxn modelId="{53D19B72-4152-45A5-9376-B308AF9FED8B}" type="presOf" srcId="{E3E7717B-5D02-4118-9239-D017FBED2E65}" destId="{9BC266F3-8C89-49C2-864E-4C2711DE0ECE}" srcOrd="0" destOrd="0" presId="urn:microsoft.com/office/officeart/2005/8/layout/process5"/>
    <dgm:cxn modelId="{E038537A-4430-46B5-9A59-C6E963B9B4CB}" type="presOf" srcId="{24C1DA8B-B1D5-4FCD-A515-76F2D90B3DD2}" destId="{C2DE7C29-559D-4294-84C7-01285F8267FE}" srcOrd="0" destOrd="0" presId="urn:microsoft.com/office/officeart/2005/8/layout/process5"/>
    <dgm:cxn modelId="{0F6C2E7F-DE03-4B99-AA4F-8B054FB878CE}" srcId="{E3E7717B-5D02-4118-9239-D017FBED2E65}" destId="{8193D800-4B40-4C7E-B947-C6CAB4C40CAC}" srcOrd="1" destOrd="0" parTransId="{AC6B9175-0755-4C75-914D-0B0AD4AF7D1C}" sibTransId="{6BE25B24-A073-45D6-B5C9-09D557B4392B}"/>
    <dgm:cxn modelId="{B7073580-19B1-4338-8A3D-41FBC55CF5A3}" type="presOf" srcId="{8857A016-9D6A-43B8-9B86-2ADF0C747854}" destId="{0C21CCA8-B616-41D9-B333-7E4524E149C3}" srcOrd="0" destOrd="0" presId="urn:microsoft.com/office/officeart/2005/8/layout/process5"/>
    <dgm:cxn modelId="{89876980-65C1-46C1-8F81-8F513AF18408}" srcId="{E3E7717B-5D02-4118-9239-D017FBED2E65}" destId="{A2871C5B-62E2-415D-923F-946217F83F4F}" srcOrd="4" destOrd="0" parTransId="{A8245AE5-7A01-49A4-8587-35BD493D03F5}" sibTransId="{4E9D7165-F6A1-4C8F-ADD0-496467D192E4}"/>
    <dgm:cxn modelId="{3D257284-671D-4F92-99C1-449F87A70966}" type="presOf" srcId="{24C1DA8B-B1D5-4FCD-A515-76F2D90B3DD2}" destId="{6A683311-AD74-4CF4-A8C7-225C3D722F19}" srcOrd="1" destOrd="0" presId="urn:microsoft.com/office/officeart/2005/8/layout/process5"/>
    <dgm:cxn modelId="{D29CAE88-7761-47E5-AF7A-67F734EE1840}" type="presOf" srcId="{8193D800-4B40-4C7E-B947-C6CAB4C40CAC}" destId="{62CA9AFB-9B0E-4AA6-90DF-67A9F0C1B86B}" srcOrd="0" destOrd="0" presId="urn:microsoft.com/office/officeart/2005/8/layout/process5"/>
    <dgm:cxn modelId="{A7D44696-2F70-4215-8F07-78D61DA239BD}" type="presOf" srcId="{6BF47FDB-F438-47DD-98C6-E429CAB1D029}" destId="{AF7B06DE-D887-4D37-B6DF-37731E4749B9}" srcOrd="0" destOrd="0" presId="urn:microsoft.com/office/officeart/2005/8/layout/process5"/>
    <dgm:cxn modelId="{0E9245B5-D799-4559-B374-CCD74D61A3E8}" type="presOf" srcId="{6BE25B24-A073-45D6-B5C9-09D557B4392B}" destId="{B960A896-74F9-4204-B726-8966F0F23152}" srcOrd="1" destOrd="0" presId="urn:microsoft.com/office/officeart/2005/8/layout/process5"/>
    <dgm:cxn modelId="{F7CD2ED4-A6F2-4F70-809C-F4DD2C22F8BB}" type="presOf" srcId="{8122B792-568E-46B4-9DB5-3746D0AC9A4F}" destId="{9F7F9E6A-CFB6-4A9C-911C-5E896162BF52}" srcOrd="0" destOrd="0" presId="urn:microsoft.com/office/officeart/2005/8/layout/process5"/>
    <dgm:cxn modelId="{1D30E6DD-40F3-46D0-88A1-E11B89774982}" type="presOf" srcId="{6BE25B24-A073-45D6-B5C9-09D557B4392B}" destId="{FF639803-D9D7-40A7-9826-788CA20AEADB}" srcOrd="0" destOrd="0" presId="urn:microsoft.com/office/officeart/2005/8/layout/process5"/>
    <dgm:cxn modelId="{47B441F7-73B6-40BD-BCFC-FEC9559CF576}" srcId="{E3E7717B-5D02-4118-9239-D017FBED2E65}" destId="{D1318A38-014F-492E-A3DF-C5BF3CC95E30}" srcOrd="6" destOrd="0" parTransId="{89390E4D-9CC4-48D2-9E3B-047A002E2A51}" sibTransId="{0A0F1171-092B-4242-8CA9-2FC7B31D512B}"/>
    <dgm:cxn modelId="{88A9EC61-B9C3-4B5B-9AF3-610786A9A0AA}" type="presParOf" srcId="{9BC266F3-8C89-49C2-864E-4C2711DE0ECE}" destId="{B6C76903-3817-4D83-A918-F89C62F41439}" srcOrd="0" destOrd="0" presId="urn:microsoft.com/office/officeart/2005/8/layout/process5"/>
    <dgm:cxn modelId="{7ACF35AA-557A-4A92-92A1-1AC62DF479B8}" type="presParOf" srcId="{9BC266F3-8C89-49C2-864E-4C2711DE0ECE}" destId="{0C21CCA8-B616-41D9-B333-7E4524E149C3}" srcOrd="1" destOrd="0" presId="urn:microsoft.com/office/officeart/2005/8/layout/process5"/>
    <dgm:cxn modelId="{C27F65C4-33F4-41A5-9CA7-44C87977AB73}" type="presParOf" srcId="{0C21CCA8-B616-41D9-B333-7E4524E149C3}" destId="{D525CB26-174E-4194-B5D3-439255F2F2C1}" srcOrd="0" destOrd="0" presId="urn:microsoft.com/office/officeart/2005/8/layout/process5"/>
    <dgm:cxn modelId="{AE03456A-3037-4C0D-899C-7AB16A569A95}" type="presParOf" srcId="{9BC266F3-8C89-49C2-864E-4C2711DE0ECE}" destId="{62CA9AFB-9B0E-4AA6-90DF-67A9F0C1B86B}" srcOrd="2" destOrd="0" presId="urn:microsoft.com/office/officeart/2005/8/layout/process5"/>
    <dgm:cxn modelId="{3286F108-695A-482D-B74F-E1AE6ECADBA6}" type="presParOf" srcId="{9BC266F3-8C89-49C2-864E-4C2711DE0ECE}" destId="{FF639803-D9D7-40A7-9826-788CA20AEADB}" srcOrd="3" destOrd="0" presId="urn:microsoft.com/office/officeart/2005/8/layout/process5"/>
    <dgm:cxn modelId="{FA8F3EC7-6D65-47EB-84D5-9AA7D7922AB2}" type="presParOf" srcId="{FF639803-D9D7-40A7-9826-788CA20AEADB}" destId="{B960A896-74F9-4204-B726-8966F0F23152}" srcOrd="0" destOrd="0" presId="urn:microsoft.com/office/officeart/2005/8/layout/process5"/>
    <dgm:cxn modelId="{8AFF7F72-9673-4C78-95A8-EFEBCB8A702E}" type="presParOf" srcId="{9BC266F3-8C89-49C2-864E-4C2711DE0ECE}" destId="{805B7075-5789-42C6-B82F-BEDB88B706E7}" srcOrd="4" destOrd="0" presId="urn:microsoft.com/office/officeart/2005/8/layout/process5"/>
    <dgm:cxn modelId="{70BDB731-6FC3-4A33-B87D-83AA70A23C7B}" type="presParOf" srcId="{9BC266F3-8C89-49C2-864E-4C2711DE0ECE}" destId="{7D59474C-4690-453A-A719-523319A931F2}" srcOrd="5" destOrd="0" presId="urn:microsoft.com/office/officeart/2005/8/layout/process5"/>
    <dgm:cxn modelId="{F4FC56EC-74A4-4EA0-BD94-CDDB691BC610}" type="presParOf" srcId="{7D59474C-4690-453A-A719-523319A931F2}" destId="{9E65EDCA-C7BC-47F4-BA53-A023DE1C490B}" srcOrd="0" destOrd="0" presId="urn:microsoft.com/office/officeart/2005/8/layout/process5"/>
    <dgm:cxn modelId="{A432A2B0-FC3F-453D-9F91-7B713B5A5DF6}" type="presParOf" srcId="{9BC266F3-8C89-49C2-864E-4C2711DE0ECE}" destId="{06E0758C-97A8-4494-814B-0AE38F5B521E}" srcOrd="6" destOrd="0" presId="urn:microsoft.com/office/officeart/2005/8/layout/process5"/>
    <dgm:cxn modelId="{03A7E325-A04C-451A-A72E-367908616D5F}" type="presParOf" srcId="{9BC266F3-8C89-49C2-864E-4C2711DE0ECE}" destId="{C2DE7C29-559D-4294-84C7-01285F8267FE}" srcOrd="7" destOrd="0" presId="urn:microsoft.com/office/officeart/2005/8/layout/process5"/>
    <dgm:cxn modelId="{E4CF1387-2D1E-41CA-93C6-0F4C28A1140C}" type="presParOf" srcId="{C2DE7C29-559D-4294-84C7-01285F8267FE}" destId="{6A683311-AD74-4CF4-A8C7-225C3D722F19}" srcOrd="0" destOrd="0" presId="urn:microsoft.com/office/officeart/2005/8/layout/process5"/>
    <dgm:cxn modelId="{E36B7F6B-7938-4817-B187-CAC428BFCF38}" type="presParOf" srcId="{9BC266F3-8C89-49C2-864E-4C2711DE0ECE}" destId="{FEF2E7A8-8D23-47CC-A292-1F0ED9D9155E}" srcOrd="8" destOrd="0" presId="urn:microsoft.com/office/officeart/2005/8/layout/process5"/>
    <dgm:cxn modelId="{FDAF3207-C52E-437A-A060-70D096C1252E}" type="presParOf" srcId="{9BC266F3-8C89-49C2-864E-4C2711DE0ECE}" destId="{5D9453F6-07B3-4DDA-B968-5513F0F3B196}" srcOrd="9" destOrd="0" presId="urn:microsoft.com/office/officeart/2005/8/layout/process5"/>
    <dgm:cxn modelId="{B232BBD1-38C5-430A-892A-318FEBEEC904}" type="presParOf" srcId="{5D9453F6-07B3-4DDA-B968-5513F0F3B196}" destId="{3D1AD506-C0E7-44A7-8FB0-BAE2D59B67D9}" srcOrd="0" destOrd="0" presId="urn:microsoft.com/office/officeart/2005/8/layout/process5"/>
    <dgm:cxn modelId="{D706A903-B160-4A93-8F41-7CB8FC86EAB2}" type="presParOf" srcId="{9BC266F3-8C89-49C2-864E-4C2711DE0ECE}" destId="{AF7B06DE-D887-4D37-B6DF-37731E4749B9}" srcOrd="10" destOrd="0" presId="urn:microsoft.com/office/officeart/2005/8/layout/process5"/>
    <dgm:cxn modelId="{58A363F8-DD8F-4FFE-AF1E-0841A3A206A8}" type="presParOf" srcId="{9BC266F3-8C89-49C2-864E-4C2711DE0ECE}" destId="{9F7F9E6A-CFB6-4A9C-911C-5E896162BF52}" srcOrd="11" destOrd="0" presId="urn:microsoft.com/office/officeart/2005/8/layout/process5"/>
    <dgm:cxn modelId="{99C89086-78A6-4E0F-96EC-4EA133701EEF}" type="presParOf" srcId="{9F7F9E6A-CFB6-4A9C-911C-5E896162BF52}" destId="{CB509BBE-FDD5-40FD-AEB0-31EEC757A2F2}" srcOrd="0" destOrd="0" presId="urn:microsoft.com/office/officeart/2005/8/layout/process5"/>
    <dgm:cxn modelId="{CCAB4BFF-B9A2-4ECE-9761-41511594FCCB}" type="presParOf" srcId="{9BC266F3-8C89-49C2-864E-4C2711DE0ECE}" destId="{5D414B51-B6E4-4200-A0E3-D0EC812F7EC6}" srcOrd="12" destOrd="0" presId="urn:microsoft.com/office/officeart/2005/8/layout/process5"/>
  </dgm:cxnLst>
  <dgm:bg>
    <a:solidFill>
      <a:srgbClr val="535C68"/>
    </a:solidFill>
  </dgm:bg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6C76903-3817-4D83-A918-F89C62F41439}">
      <dsp:nvSpPr>
        <dsp:cNvPr id="0" name=""/>
        <dsp:cNvSpPr/>
      </dsp:nvSpPr>
      <dsp:spPr>
        <a:xfrm>
          <a:off x="4810" y="483778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Raw steel</a:t>
          </a:r>
        </a:p>
      </dsp:txBody>
      <dsp:txXfrm>
        <a:off x="30080" y="509048"/>
        <a:ext cx="1387403" cy="812226"/>
      </dsp:txXfrm>
    </dsp:sp>
    <dsp:sp modelId="{0C21CCA8-B616-41D9-B333-7E4524E149C3}">
      <dsp:nvSpPr>
        <dsp:cNvPr id="0" name=""/>
        <dsp:cNvSpPr/>
      </dsp:nvSpPr>
      <dsp:spPr>
        <a:xfrm>
          <a:off x="1569293" y="736856"/>
          <a:ext cx="304844" cy="356610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>
        <a:off x="1569293" y="808178"/>
        <a:ext cx="213391" cy="213966"/>
      </dsp:txXfrm>
    </dsp:sp>
    <dsp:sp modelId="{62CA9AFB-9B0E-4AA6-90DF-67A9F0C1B86B}">
      <dsp:nvSpPr>
        <dsp:cNvPr id="0" name=""/>
        <dsp:cNvSpPr/>
      </dsp:nvSpPr>
      <dsp:spPr>
        <a:xfrm>
          <a:off x="2017932" y="483778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Turning (DMG CTX)</a:t>
          </a:r>
        </a:p>
      </dsp:txBody>
      <dsp:txXfrm>
        <a:off x="2043202" y="509048"/>
        <a:ext cx="1387403" cy="812226"/>
      </dsp:txXfrm>
    </dsp:sp>
    <dsp:sp modelId="{FF639803-D9D7-40A7-9826-788CA20AEADB}">
      <dsp:nvSpPr>
        <dsp:cNvPr id="0" name=""/>
        <dsp:cNvSpPr/>
      </dsp:nvSpPr>
      <dsp:spPr>
        <a:xfrm>
          <a:off x="3582414" y="736856"/>
          <a:ext cx="304844" cy="356610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>
        <a:off x="3582414" y="808178"/>
        <a:ext cx="213391" cy="213966"/>
      </dsp:txXfrm>
    </dsp:sp>
    <dsp:sp modelId="{06E0758C-97A8-4494-814B-0AE38F5B521E}">
      <dsp:nvSpPr>
        <dsp:cNvPr id="0" name=""/>
        <dsp:cNvSpPr/>
      </dsp:nvSpPr>
      <dsp:spPr>
        <a:xfrm>
          <a:off x="4031053" y="483778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Grinding (Studer S41)</a:t>
          </a:r>
        </a:p>
      </dsp:txBody>
      <dsp:txXfrm>
        <a:off x="4056323" y="509048"/>
        <a:ext cx="1387403" cy="812226"/>
      </dsp:txXfrm>
    </dsp:sp>
    <dsp:sp modelId="{C2DE7C29-559D-4294-84C7-01285F8267FE}">
      <dsp:nvSpPr>
        <dsp:cNvPr id="0" name=""/>
        <dsp:cNvSpPr/>
      </dsp:nvSpPr>
      <dsp:spPr>
        <a:xfrm rot="5400000">
          <a:off x="4597603" y="1447200"/>
          <a:ext cx="304844" cy="356610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-5400000">
        <a:off x="4643043" y="1473083"/>
        <a:ext cx="213966" cy="213391"/>
      </dsp:txXfrm>
    </dsp:sp>
    <dsp:sp modelId="{FEF2E7A8-8D23-47CC-A292-1F0ED9D9155E}">
      <dsp:nvSpPr>
        <dsp:cNvPr id="0" name=""/>
        <dsp:cNvSpPr/>
      </dsp:nvSpPr>
      <dsp:spPr>
        <a:xfrm>
          <a:off x="4031053" y="1921721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Cleaning/QC</a:t>
          </a:r>
        </a:p>
      </dsp:txBody>
      <dsp:txXfrm>
        <a:off x="4056323" y="1946991"/>
        <a:ext cx="1387403" cy="812226"/>
      </dsp:txXfrm>
    </dsp:sp>
    <dsp:sp modelId="{5D9453F6-07B3-4DDA-B968-5513F0F3B196}">
      <dsp:nvSpPr>
        <dsp:cNvPr id="0" name=""/>
        <dsp:cNvSpPr/>
      </dsp:nvSpPr>
      <dsp:spPr>
        <a:xfrm rot="10800000">
          <a:off x="3599670" y="2174799"/>
          <a:ext cx="304844" cy="356610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10800000">
        <a:off x="3691123" y="2246121"/>
        <a:ext cx="213391" cy="213966"/>
      </dsp:txXfrm>
    </dsp:sp>
    <dsp:sp modelId="{AF7B06DE-D887-4D37-B6DF-37731E4749B9}">
      <dsp:nvSpPr>
        <dsp:cNvPr id="0" name=""/>
        <dsp:cNvSpPr/>
      </dsp:nvSpPr>
      <dsp:spPr>
        <a:xfrm>
          <a:off x="2017932" y="1921721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Storage</a:t>
          </a:r>
        </a:p>
      </dsp:txBody>
      <dsp:txXfrm>
        <a:off x="2043202" y="1946991"/>
        <a:ext cx="1387403" cy="812226"/>
      </dsp:txXfrm>
    </dsp:sp>
    <dsp:sp modelId="{9F7F9E6A-CFB6-4A9C-911C-5E896162BF52}">
      <dsp:nvSpPr>
        <dsp:cNvPr id="0" name=""/>
        <dsp:cNvSpPr/>
      </dsp:nvSpPr>
      <dsp:spPr>
        <a:xfrm rot="10800000">
          <a:off x="1586549" y="2174799"/>
          <a:ext cx="304844" cy="356610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10800000">
        <a:off x="1678002" y="2246121"/>
        <a:ext cx="213391" cy="213966"/>
      </dsp:txXfrm>
    </dsp:sp>
    <dsp:sp modelId="{5D414B51-B6E4-4200-A0E3-D0EC812F7EC6}">
      <dsp:nvSpPr>
        <dsp:cNvPr id="0" name=""/>
        <dsp:cNvSpPr/>
      </dsp:nvSpPr>
      <dsp:spPr>
        <a:xfrm>
          <a:off x="4810" y="1921721"/>
          <a:ext cx="1437943" cy="862766"/>
        </a:xfrm>
        <a:prstGeom prst="roundRect">
          <a:avLst>
            <a:gd name="adj" fmla="val 10000"/>
          </a:avLst>
        </a:prstGeom>
        <a:solidFill>
          <a:srgbClr val="EB4D4B"/>
        </a:solidFill>
        <a:ln w="19050" cap="flat" cmpd="sng" algn="ctr">
          <a:solidFill>
            <a:sysClr val="window" lastClr="FFFFFF"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Assembly</a:t>
          </a:r>
        </a:p>
      </dsp:txBody>
      <dsp:txXfrm>
        <a:off x="30080" y="1946991"/>
        <a:ext cx="1387403" cy="812226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6C76903-3817-4D83-A918-F89C62F41439}">
      <dsp:nvSpPr>
        <dsp:cNvPr id="0" name=""/>
        <dsp:cNvSpPr/>
      </dsp:nvSpPr>
      <dsp:spPr>
        <a:xfrm>
          <a:off x="382427" y="1548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b="0" i="0" u="none" kern="1200"/>
            <a:t>Raw steel</a:t>
          </a:r>
          <a:endParaRPr lang="en-US" sz="900" kern="1200"/>
        </a:p>
      </dsp:txBody>
      <dsp:txXfrm>
        <a:off x="404496" y="23617"/>
        <a:ext cx="1211696" cy="709362"/>
      </dsp:txXfrm>
    </dsp:sp>
    <dsp:sp modelId="{0C21CCA8-B616-41D9-B333-7E4524E149C3}">
      <dsp:nvSpPr>
        <dsp:cNvPr id="0" name=""/>
        <dsp:cNvSpPr/>
      </dsp:nvSpPr>
      <dsp:spPr>
        <a:xfrm>
          <a:off x="1748775" y="222575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>
        <a:off x="1748775" y="284864"/>
        <a:ext cx="186365" cy="186868"/>
      </dsp:txXfrm>
    </dsp:sp>
    <dsp:sp modelId="{62CA9AFB-9B0E-4AA6-90DF-67A9F0C1B86B}">
      <dsp:nvSpPr>
        <dsp:cNvPr id="0" name=""/>
        <dsp:cNvSpPr/>
      </dsp:nvSpPr>
      <dsp:spPr>
        <a:xfrm>
          <a:off x="2140595" y="1548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b="1" i="0" u="none" kern="1200"/>
            <a:t>Turning</a:t>
          </a:r>
          <a:r>
            <a:rPr lang="en-US" sz="800" b="1" i="0" u="none" kern="1200"/>
            <a:t> (DMG CTX)</a:t>
          </a:r>
          <a:endParaRPr lang="en-US" sz="800" kern="1200"/>
        </a:p>
      </dsp:txBody>
      <dsp:txXfrm>
        <a:off x="2162664" y="23617"/>
        <a:ext cx="1211696" cy="709362"/>
      </dsp:txXfrm>
    </dsp:sp>
    <dsp:sp modelId="{FF639803-D9D7-40A7-9826-788CA20AEADB}">
      <dsp:nvSpPr>
        <dsp:cNvPr id="0" name=""/>
        <dsp:cNvSpPr/>
      </dsp:nvSpPr>
      <dsp:spPr>
        <a:xfrm>
          <a:off x="3506942" y="222575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>
        <a:off x="3506942" y="284864"/>
        <a:ext cx="186365" cy="186868"/>
      </dsp:txXfrm>
    </dsp:sp>
    <dsp:sp modelId="{805B7075-5789-42C6-B82F-BEDB88B706E7}">
      <dsp:nvSpPr>
        <dsp:cNvPr id="0" name=""/>
        <dsp:cNvSpPr/>
      </dsp:nvSpPr>
      <dsp:spPr>
        <a:xfrm>
          <a:off x="3898763" y="1548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/>
            <a:t>Milling cam lobes (DMU 50)</a:t>
          </a:r>
          <a:endParaRPr lang="en-US" sz="800" kern="1200"/>
        </a:p>
      </dsp:txBody>
      <dsp:txXfrm>
        <a:off x="3920832" y="23617"/>
        <a:ext cx="1211696" cy="709362"/>
      </dsp:txXfrm>
    </dsp:sp>
    <dsp:sp modelId="{7D59474C-4690-453A-A719-523319A931F2}">
      <dsp:nvSpPr>
        <dsp:cNvPr id="0" name=""/>
        <dsp:cNvSpPr/>
      </dsp:nvSpPr>
      <dsp:spPr>
        <a:xfrm rot="5400000">
          <a:off x="4393561" y="842957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-5400000">
        <a:off x="4433246" y="865562"/>
        <a:ext cx="186868" cy="186365"/>
      </dsp:txXfrm>
    </dsp:sp>
    <dsp:sp modelId="{06E0758C-97A8-4494-814B-0AE38F5B521E}">
      <dsp:nvSpPr>
        <dsp:cNvPr id="0" name=""/>
        <dsp:cNvSpPr/>
      </dsp:nvSpPr>
      <dsp:spPr>
        <a:xfrm>
          <a:off x="3898763" y="1257382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/>
            <a:t>Grinding lobes &amp; journals (Studer S41)</a:t>
          </a:r>
          <a:endParaRPr lang="en-US" sz="800" kern="1200"/>
        </a:p>
      </dsp:txBody>
      <dsp:txXfrm>
        <a:off x="3920832" y="1279451"/>
        <a:ext cx="1211696" cy="709362"/>
      </dsp:txXfrm>
    </dsp:sp>
    <dsp:sp modelId="{C2DE7C29-559D-4294-84C7-01285F8267FE}">
      <dsp:nvSpPr>
        <dsp:cNvPr id="0" name=""/>
        <dsp:cNvSpPr/>
      </dsp:nvSpPr>
      <dsp:spPr>
        <a:xfrm rot="10800000">
          <a:off x="3522012" y="1478409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10800000">
        <a:off x="3601883" y="1540698"/>
        <a:ext cx="186365" cy="186868"/>
      </dsp:txXfrm>
    </dsp:sp>
    <dsp:sp modelId="{FEF2E7A8-8D23-47CC-A292-1F0ED9D9155E}">
      <dsp:nvSpPr>
        <dsp:cNvPr id="0" name=""/>
        <dsp:cNvSpPr/>
      </dsp:nvSpPr>
      <dsp:spPr>
        <a:xfrm>
          <a:off x="2140595" y="1257382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/>
            <a:t>Cleaning/QC</a:t>
          </a:r>
          <a:endParaRPr lang="en-US" sz="800" kern="1200"/>
        </a:p>
      </dsp:txBody>
      <dsp:txXfrm>
        <a:off x="2162664" y="1279451"/>
        <a:ext cx="1211696" cy="709362"/>
      </dsp:txXfrm>
    </dsp:sp>
    <dsp:sp modelId="{5D9453F6-07B3-4DDA-B968-5513F0F3B196}">
      <dsp:nvSpPr>
        <dsp:cNvPr id="0" name=""/>
        <dsp:cNvSpPr/>
      </dsp:nvSpPr>
      <dsp:spPr>
        <a:xfrm rot="10800000">
          <a:off x="1763845" y="1478409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10800000">
        <a:off x="1843716" y="1540698"/>
        <a:ext cx="186365" cy="186868"/>
      </dsp:txXfrm>
    </dsp:sp>
    <dsp:sp modelId="{AF7B06DE-D887-4D37-B6DF-37731E4749B9}">
      <dsp:nvSpPr>
        <dsp:cNvPr id="0" name=""/>
        <dsp:cNvSpPr/>
      </dsp:nvSpPr>
      <dsp:spPr>
        <a:xfrm>
          <a:off x="382427" y="1257382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/>
            <a:t>Storage</a:t>
          </a:r>
          <a:endParaRPr lang="en-US" sz="800" kern="1200"/>
        </a:p>
      </dsp:txBody>
      <dsp:txXfrm>
        <a:off x="404496" y="1279451"/>
        <a:ext cx="1211696" cy="709362"/>
      </dsp:txXfrm>
    </dsp:sp>
    <dsp:sp modelId="{9F7F9E6A-CFB6-4A9C-911C-5E896162BF52}">
      <dsp:nvSpPr>
        <dsp:cNvPr id="0" name=""/>
        <dsp:cNvSpPr/>
      </dsp:nvSpPr>
      <dsp:spPr>
        <a:xfrm rot="5400000">
          <a:off x="877226" y="2098791"/>
          <a:ext cx="266236" cy="311446"/>
        </a:xfrm>
        <a:prstGeom prst="rightArrow">
          <a:avLst>
            <a:gd name="adj1" fmla="val 60000"/>
            <a:gd name="adj2" fmla="val 50000"/>
          </a:avLst>
        </a:prstGeom>
        <a:solidFill>
          <a:srgbClr val="E056FD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800" kern="1200"/>
        </a:p>
      </dsp:txBody>
      <dsp:txXfrm rot="-5400000">
        <a:off x="916911" y="2121396"/>
        <a:ext cx="186868" cy="186365"/>
      </dsp:txXfrm>
    </dsp:sp>
    <dsp:sp modelId="{5D414B51-B6E4-4200-A0E3-D0EC812F7EC6}">
      <dsp:nvSpPr>
        <dsp:cNvPr id="0" name=""/>
        <dsp:cNvSpPr/>
      </dsp:nvSpPr>
      <dsp:spPr>
        <a:xfrm>
          <a:off x="382427" y="2513216"/>
          <a:ext cx="1255834" cy="753500"/>
        </a:xfrm>
        <a:prstGeom prst="roundRect">
          <a:avLst>
            <a:gd name="adj" fmla="val 10000"/>
          </a:avLst>
        </a:prstGeom>
        <a:solidFill>
          <a:srgbClr val="BE2EDD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b="0" i="0" u="none" kern="1200"/>
            <a:t>Assembly</a:t>
          </a:r>
          <a:endParaRPr lang="en-US" sz="800" kern="1200"/>
        </a:p>
      </dsp:txBody>
      <dsp:txXfrm>
        <a:off x="404496" y="2535285"/>
        <a:ext cx="1211696" cy="70936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5">
  <dgm:title val=""/>
  <dgm:desc val=""/>
  <dgm:catLst>
    <dgm:cat type="process" pri="17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axis="self" func="var" arg="dir" op="equ" val="norm">
        <dgm:alg type="snake">
          <dgm:param type="grDir" val="tL"/>
          <dgm:param type="flowDir" val="row"/>
          <dgm:param type="contDir" val="revDir"/>
          <dgm:param type="bkpt" val="endCnv"/>
        </dgm:alg>
      </dgm:if>
      <dgm:else name="Name2">
        <dgm:alg type="snake">
          <dgm:param type="grDir" val="tR"/>
          <dgm:param type="flowDir" val="row"/>
          <dgm:param type="contDir" val="revDir"/>
          <dgm:param type="bkpt" val="endCnv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w" for="ch" forName="sibTrans" refType="w" refFor="ch" refPtType="node" op="equ" fact="0.4"/>
      <dgm:constr type="sp" refType="w" refFor="ch" refForName="sibTrans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rocess5">
  <dgm:title val=""/>
  <dgm:desc val=""/>
  <dgm:catLst>
    <dgm:cat type="process" pri="17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axis="self" func="var" arg="dir" op="equ" val="norm">
        <dgm:alg type="snake">
          <dgm:param type="grDir" val="tL"/>
          <dgm:param type="flowDir" val="row"/>
          <dgm:param type="contDir" val="revDir"/>
          <dgm:param type="bkpt" val="endCnv"/>
        </dgm:alg>
      </dgm:if>
      <dgm:else name="Name2">
        <dgm:alg type="snake">
          <dgm:param type="grDir" val="tR"/>
          <dgm:param type="flowDir" val="row"/>
          <dgm:param type="contDir" val="revDir"/>
          <dgm:param type="bkpt" val="endCnv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w" for="ch" forName="sibTrans" refType="w" refFor="ch" refPtType="node" op="equ" fact="0.4"/>
      <dgm:constr type="sp" refType="w" refFor="ch" refForName="sibTrans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46382</xdr:colOff>
      <xdr:row>6</xdr:row>
      <xdr:rowOff>115625</xdr:rowOff>
    </xdr:from>
    <xdr:to>
      <xdr:col>10</xdr:col>
      <xdr:colOff>589722</xdr:colOff>
      <xdr:row>6</xdr:row>
      <xdr:rowOff>115625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121E66-72F7-4FFA-820E-288607124362}"/>
            </a:ext>
          </a:extLst>
        </xdr:cNvPr>
        <xdr:cNvCxnSpPr/>
      </xdr:nvCxnSpPr>
      <xdr:spPr>
        <a:xfrm>
          <a:off x="6736742" y="1212905"/>
          <a:ext cx="115294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680499</xdr:colOff>
      <xdr:row>5</xdr:row>
      <xdr:rowOff>21204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10195F4-AC0D-4C3F-94DF-96F310A4B0DA}"/>
                </a:ext>
              </a:extLst>
            </xdr:cNvPr>
            <xdr:cNvSpPr txBox="1"/>
          </xdr:nvSpPr>
          <xdr:spPr>
            <a:xfrm>
              <a:off x="8719599" y="935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10195F4-AC0D-4C3F-94DF-96F310A4B0DA}"/>
                </a:ext>
              </a:extLst>
            </xdr:cNvPr>
            <xdr:cNvSpPr txBox="1"/>
          </xdr:nvSpPr>
          <xdr:spPr>
            <a:xfrm>
              <a:off x="8719599" y="935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696732</xdr:colOff>
      <xdr:row>7</xdr:row>
      <xdr:rowOff>2318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00E743F-A4E7-4EA4-B75B-2532939BAEF2}"/>
                </a:ext>
              </a:extLst>
            </xdr:cNvPr>
            <xdr:cNvSpPr txBox="1"/>
          </xdr:nvSpPr>
          <xdr:spPr>
            <a:xfrm>
              <a:off x="8735832" y="1282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00E743F-A4E7-4EA4-B75B-2532939BAEF2}"/>
                </a:ext>
              </a:extLst>
            </xdr:cNvPr>
            <xdr:cNvSpPr txBox="1"/>
          </xdr:nvSpPr>
          <xdr:spPr>
            <a:xfrm>
              <a:off x="8735832" y="1282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9</xdr:col>
      <xdr:colOff>46382</xdr:colOff>
      <xdr:row>6</xdr:row>
      <xdr:rowOff>115625</xdr:rowOff>
    </xdr:from>
    <xdr:to>
      <xdr:col>10</xdr:col>
      <xdr:colOff>589722</xdr:colOff>
      <xdr:row>6</xdr:row>
      <xdr:rowOff>115625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CCD3E44-E5E2-4399-9A86-061324F72FD3}"/>
            </a:ext>
          </a:extLst>
        </xdr:cNvPr>
        <xdr:cNvCxnSpPr/>
      </xdr:nvCxnSpPr>
      <xdr:spPr>
        <a:xfrm>
          <a:off x="6736742" y="1212905"/>
          <a:ext cx="115294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46382</xdr:colOff>
      <xdr:row>22</xdr:row>
      <xdr:rowOff>115625</xdr:rowOff>
    </xdr:from>
    <xdr:to>
      <xdr:col>10</xdr:col>
      <xdr:colOff>589722</xdr:colOff>
      <xdr:row>22</xdr:row>
      <xdr:rowOff>115625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95524FA-FF6B-4EB7-85BB-BAECC19F5A7B}"/>
            </a:ext>
          </a:extLst>
        </xdr:cNvPr>
        <xdr:cNvCxnSpPr/>
      </xdr:nvCxnSpPr>
      <xdr:spPr>
        <a:xfrm>
          <a:off x="8085482" y="1212905"/>
          <a:ext cx="95482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672879</xdr:colOff>
      <xdr:row>21</xdr:row>
      <xdr:rowOff>21204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97B4897-8CFE-483B-80BE-487114CDA262}"/>
                </a:ext>
              </a:extLst>
            </xdr:cNvPr>
            <xdr:cNvSpPr txBox="1"/>
          </xdr:nvSpPr>
          <xdr:spPr>
            <a:xfrm>
              <a:off x="8711979" y="3983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97B4897-8CFE-483B-80BE-487114CDA262}"/>
                </a:ext>
              </a:extLst>
            </xdr:cNvPr>
            <xdr:cNvSpPr txBox="1"/>
          </xdr:nvSpPr>
          <xdr:spPr>
            <a:xfrm>
              <a:off x="8711979" y="3983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673872</xdr:colOff>
      <xdr:row>23</xdr:row>
      <xdr:rowOff>2318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994F6284-C188-4897-9C18-F9BD29510AA0}"/>
                </a:ext>
              </a:extLst>
            </xdr:cNvPr>
            <xdr:cNvSpPr txBox="1"/>
          </xdr:nvSpPr>
          <xdr:spPr>
            <a:xfrm>
              <a:off x="8712972" y="4330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994F6284-C188-4897-9C18-F9BD29510AA0}"/>
                </a:ext>
              </a:extLst>
            </xdr:cNvPr>
            <xdr:cNvSpPr txBox="1"/>
          </xdr:nvSpPr>
          <xdr:spPr>
            <a:xfrm>
              <a:off x="8712972" y="4330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9</xdr:col>
      <xdr:colOff>46382</xdr:colOff>
      <xdr:row>22</xdr:row>
      <xdr:rowOff>115625</xdr:rowOff>
    </xdr:from>
    <xdr:to>
      <xdr:col>10</xdr:col>
      <xdr:colOff>589722</xdr:colOff>
      <xdr:row>22</xdr:row>
      <xdr:rowOff>115625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BD86C80-0F09-40A1-A1B3-C895EB35AE60}"/>
            </a:ext>
          </a:extLst>
        </xdr:cNvPr>
        <xdr:cNvCxnSpPr/>
      </xdr:nvCxnSpPr>
      <xdr:spPr>
        <a:xfrm>
          <a:off x="8085482" y="1212905"/>
          <a:ext cx="95482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46382</xdr:colOff>
      <xdr:row>6</xdr:row>
      <xdr:rowOff>115625</xdr:rowOff>
    </xdr:from>
    <xdr:to>
      <xdr:col>10</xdr:col>
      <xdr:colOff>589722</xdr:colOff>
      <xdr:row>6</xdr:row>
      <xdr:rowOff>115625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978A67-3FE1-3479-C0C7-7E0FEA209701}"/>
            </a:ext>
          </a:extLst>
        </xdr:cNvPr>
        <xdr:cNvCxnSpPr/>
      </xdr:nvCxnSpPr>
      <xdr:spPr>
        <a:xfrm>
          <a:off x="6736742" y="1212905"/>
          <a:ext cx="115294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627159</xdr:colOff>
      <xdr:row>5</xdr:row>
      <xdr:rowOff>36444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87B2AF4-310C-CFC4-CE11-BA21858196DF}"/>
                </a:ext>
              </a:extLst>
            </xdr:cNvPr>
            <xdr:cNvSpPr txBox="1"/>
          </xdr:nvSpPr>
          <xdr:spPr>
            <a:xfrm>
              <a:off x="7363239" y="95084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87B2AF4-310C-CFC4-CE11-BA21858196DF}"/>
                </a:ext>
              </a:extLst>
            </xdr:cNvPr>
            <xdr:cNvSpPr txBox="1"/>
          </xdr:nvSpPr>
          <xdr:spPr>
            <a:xfrm>
              <a:off x="7363239" y="95084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628152</xdr:colOff>
      <xdr:row>7</xdr:row>
      <xdr:rowOff>2318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3C3E7F1-A320-84AE-8CB7-1CAC5BCE8236}"/>
                </a:ext>
              </a:extLst>
            </xdr:cNvPr>
            <xdr:cNvSpPr txBox="1"/>
          </xdr:nvSpPr>
          <xdr:spPr>
            <a:xfrm>
              <a:off x="7364232" y="129771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3C3E7F1-A320-84AE-8CB7-1CAC5BCE8236}"/>
                </a:ext>
              </a:extLst>
            </xdr:cNvPr>
            <xdr:cNvSpPr txBox="1"/>
          </xdr:nvSpPr>
          <xdr:spPr>
            <a:xfrm>
              <a:off x="7364232" y="129771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9</xdr:col>
      <xdr:colOff>61622</xdr:colOff>
      <xdr:row>22</xdr:row>
      <xdr:rowOff>100385</xdr:rowOff>
    </xdr:from>
    <xdr:to>
      <xdr:col>10</xdr:col>
      <xdr:colOff>604962</xdr:colOff>
      <xdr:row>22</xdr:row>
      <xdr:rowOff>100385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FD4BE3B-D444-4189-A95B-78AFAEB6048B}"/>
            </a:ext>
          </a:extLst>
        </xdr:cNvPr>
        <xdr:cNvCxnSpPr/>
      </xdr:nvCxnSpPr>
      <xdr:spPr>
        <a:xfrm>
          <a:off x="6843422" y="4245665"/>
          <a:ext cx="1297720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634779</xdr:colOff>
      <xdr:row>21</xdr:row>
      <xdr:rowOff>36444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F70005A-72E3-47CA-95F3-DE58E87C67C2}"/>
                </a:ext>
              </a:extLst>
            </xdr:cNvPr>
            <xdr:cNvSpPr txBox="1"/>
          </xdr:nvSpPr>
          <xdr:spPr>
            <a:xfrm>
              <a:off x="7370859" y="3983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F70005A-72E3-47CA-95F3-DE58E87C67C2}"/>
                </a:ext>
              </a:extLst>
            </xdr:cNvPr>
            <xdr:cNvSpPr txBox="1"/>
          </xdr:nvSpPr>
          <xdr:spPr>
            <a:xfrm>
              <a:off x="7370859" y="3983604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635772</xdr:colOff>
      <xdr:row>23</xdr:row>
      <xdr:rowOff>17558</xdr:rowOff>
    </xdr:from>
    <xdr:ext cx="1326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43D4ECF-0B93-4451-95CB-6DB493124336}"/>
                </a:ext>
              </a:extLst>
            </xdr:cNvPr>
            <xdr:cNvSpPr txBox="1"/>
          </xdr:nvSpPr>
          <xdr:spPr>
            <a:xfrm>
              <a:off x="7371852" y="4330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43D4ECF-0B93-4451-95CB-6DB493124336}"/>
                </a:ext>
              </a:extLst>
            </xdr:cNvPr>
            <xdr:cNvSpPr txBox="1"/>
          </xdr:nvSpPr>
          <xdr:spPr>
            <a:xfrm>
              <a:off x="7371852" y="4330478"/>
              <a:ext cx="1326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178775</xdr:rowOff>
    </xdr:from>
    <xdr:to>
      <xdr:col>7</xdr:col>
      <xdr:colOff>422030</xdr:colOff>
      <xdr:row>23</xdr:row>
      <xdr:rowOff>60374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AABCB71-14D9-D5B0-F71B-F5B3F2F455AA}"/>
            </a:ext>
          </a:extLst>
        </xdr:cNvPr>
        <xdr:cNvGrpSpPr/>
      </xdr:nvGrpSpPr>
      <xdr:grpSpPr>
        <a:xfrm>
          <a:off x="0" y="1110108"/>
          <a:ext cx="5473808" cy="3268266"/>
          <a:chOff x="4943623" y="1428455"/>
          <a:chExt cx="4955930" cy="3173439"/>
        </a:xfrm>
      </xdr:grpSpPr>
      <xdr:graphicFrame macro="">
        <xdr:nvGraphicFramePr>
          <xdr:cNvPr id="4" name="Diagram 3">
            <a:extLst>
              <a:ext uri="{FF2B5EF4-FFF2-40B4-BE49-F238E27FC236}">
                <a16:creationId xmlns:a16="http://schemas.microsoft.com/office/drawing/2014/main" id="{C650E26A-077A-6650-4809-AC90ECD81794}"/>
              </a:ext>
            </a:extLst>
          </xdr:cNvPr>
          <xdr:cNvGraphicFramePr/>
        </xdr:nvGraphicFramePr>
        <xdr:xfrm>
          <a:off x="4943623" y="1428455"/>
          <a:ext cx="4955930" cy="3173439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615135B-2D3A-9318-43AB-BD8D7551F30F}"/>
              </a:ext>
            </a:extLst>
          </xdr:cNvPr>
          <xdr:cNvSpPr txBox="1"/>
        </xdr:nvSpPr>
        <xdr:spPr>
          <a:xfrm>
            <a:off x="6346544" y="4169276"/>
            <a:ext cx="2166630" cy="33226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/>
              <a:t>Crankshaft</a:t>
            </a:r>
            <a:r>
              <a:rPr lang="en-US" sz="1400" baseline="0"/>
              <a:t> - Example chain</a:t>
            </a:r>
          </a:p>
          <a:p>
            <a:endParaRPr lang="en-US" sz="1100"/>
          </a:p>
        </xdr:txBody>
      </xdr:sp>
    </xdr:grpSp>
    <xdr:clientData/>
  </xdr:twoCellAnchor>
  <xdr:twoCellAnchor>
    <xdr:from>
      <xdr:col>7</xdr:col>
      <xdr:colOff>510540</xdr:colOff>
      <xdr:row>5</xdr:row>
      <xdr:rowOff>175260</xdr:rowOff>
    </xdr:from>
    <xdr:to>
      <xdr:col>12</xdr:col>
      <xdr:colOff>262010</xdr:colOff>
      <xdr:row>23</xdr:row>
      <xdr:rowOff>56859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D4238AB-10B5-49A5-953F-8A18C6203AA0}"/>
            </a:ext>
          </a:extLst>
        </xdr:cNvPr>
        <xdr:cNvGrpSpPr/>
      </xdr:nvGrpSpPr>
      <xdr:grpSpPr>
        <a:xfrm>
          <a:off x="5562318" y="1106593"/>
          <a:ext cx="5537025" cy="3268266"/>
          <a:chOff x="4943623" y="1428455"/>
          <a:chExt cx="4955930" cy="3173439"/>
        </a:xfrm>
      </xdr:grpSpPr>
      <xdr:graphicFrame macro="">
        <xdr:nvGraphicFramePr>
          <xdr:cNvPr id="10" name="Diagram 9">
            <a:extLst>
              <a:ext uri="{FF2B5EF4-FFF2-40B4-BE49-F238E27FC236}">
                <a16:creationId xmlns:a16="http://schemas.microsoft.com/office/drawing/2014/main" id="{4431C135-60C4-7979-609E-61B6D2DF601E}"/>
              </a:ext>
            </a:extLst>
          </xdr:cNvPr>
          <xdr:cNvGraphicFramePr/>
        </xdr:nvGraphicFramePr>
        <xdr:xfrm>
          <a:off x="4943623" y="1428455"/>
          <a:ext cx="4955930" cy="3173439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6" r:lo="rId7" r:qs="rId8" r:cs="rId9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360DCDF2-F74D-FA86-632E-E5A30FE64982}"/>
              </a:ext>
            </a:extLst>
          </xdr:cNvPr>
          <xdr:cNvSpPr txBox="1"/>
        </xdr:nvSpPr>
        <xdr:spPr>
          <a:xfrm>
            <a:off x="6709936" y="4058526"/>
            <a:ext cx="2166630" cy="33226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/>
              <a:t>Camshaft</a:t>
            </a:r>
            <a:r>
              <a:rPr lang="en-US" sz="1400" baseline="0"/>
              <a:t> - Example chain</a:t>
            </a:r>
          </a:p>
          <a:p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987287</xdr:colOff>
      <xdr:row>8</xdr:row>
      <xdr:rowOff>30480</xdr:rowOff>
    </xdr:from>
    <xdr:to>
      <xdr:col>3</xdr:col>
      <xdr:colOff>1066800</xdr:colOff>
      <xdr:row>8</xdr:row>
      <xdr:rowOff>225287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1D4D53-C718-7F95-90E5-E209F9727874}"/>
            </a:ext>
          </a:extLst>
        </xdr:cNvPr>
        <xdr:cNvCxnSpPr/>
      </xdr:nvCxnSpPr>
      <xdr:spPr>
        <a:xfrm flipV="1">
          <a:off x="10561983" y="2111071"/>
          <a:ext cx="1073426" cy="194807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6"/>
  <sheetViews>
    <sheetView showGridLines="0" zoomScale="190" zoomScaleNormal="190" workbookViewId="0">
      <selection activeCell="A6" sqref="A6"/>
    </sheetView>
  </sheetViews>
  <sheetFormatPr baseColWidth="10" defaultColWidth="8.83203125" defaultRowHeight="15" x14ac:dyDescent="0.2"/>
  <cols>
    <col min="1" max="1" width="22.1640625" customWidth="1"/>
    <col min="2" max="2" width="27" bestFit="1" customWidth="1"/>
    <col min="3" max="3" width="20" customWidth="1"/>
    <col min="4" max="4" width="12.5" bestFit="1" customWidth="1"/>
    <col min="5" max="5" width="20.6640625" bestFit="1" customWidth="1"/>
  </cols>
  <sheetData>
    <row r="1" spans="1:5" x14ac:dyDescent="0.2">
      <c r="A1" s="8"/>
      <c r="B1" s="9"/>
      <c r="C1" s="10"/>
      <c r="D1" s="11"/>
      <c r="E1" s="12"/>
    </row>
    <row r="2" spans="1:5" ht="21" x14ac:dyDescent="0.25">
      <c r="A2" s="8"/>
      <c r="B2" s="15" t="s">
        <v>0</v>
      </c>
      <c r="C2" s="16" t="s">
        <v>1</v>
      </c>
      <c r="D2" s="17" t="s">
        <v>2</v>
      </c>
      <c r="E2" s="18" t="s">
        <v>4</v>
      </c>
    </row>
    <row r="3" spans="1:5" ht="51" x14ac:dyDescent="0.2">
      <c r="A3" s="20" t="s">
        <v>3</v>
      </c>
      <c r="B3" s="13" t="s">
        <v>8</v>
      </c>
      <c r="C3" s="14" t="s">
        <v>14</v>
      </c>
      <c r="D3" s="23" t="s">
        <v>6</v>
      </c>
      <c r="E3" s="24" t="s">
        <v>7</v>
      </c>
    </row>
    <row r="4" spans="1:5" ht="51" x14ac:dyDescent="0.2">
      <c r="A4" s="22"/>
      <c r="B4" s="19" t="s">
        <v>9</v>
      </c>
      <c r="C4" s="2" t="s">
        <v>15</v>
      </c>
      <c r="D4" s="5" t="s">
        <v>5</v>
      </c>
      <c r="E4" s="6" t="s">
        <v>12</v>
      </c>
    </row>
    <row r="5" spans="1:5" ht="16" x14ac:dyDescent="0.2">
      <c r="A5" s="22"/>
      <c r="B5" s="21" t="s">
        <v>10</v>
      </c>
      <c r="C5" s="7" t="s">
        <v>11</v>
      </c>
      <c r="D5" s="4" t="s">
        <v>5</v>
      </c>
      <c r="E5" s="3" t="s">
        <v>13</v>
      </c>
    </row>
    <row r="6" spans="1:5" ht="16" x14ac:dyDescent="0.2">
      <c r="B6" s="1"/>
      <c r="C6" s="1"/>
      <c r="D6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B03F-CF45-42B6-B05B-8292CE9E65FF}">
  <sheetPr>
    <tabColor rgb="FF92D050"/>
  </sheetPr>
  <dimension ref="A2:H23"/>
  <sheetViews>
    <sheetView topLeftCell="A9" zoomScaleNormal="100" workbookViewId="0">
      <selection activeCell="E21" sqref="A21:E22"/>
    </sheetView>
  </sheetViews>
  <sheetFormatPr baseColWidth="10" defaultColWidth="8.83203125" defaultRowHeight="15" x14ac:dyDescent="0.2"/>
  <cols>
    <col min="1" max="1" width="27" bestFit="1" customWidth="1"/>
    <col min="2" max="2" width="25" bestFit="1" customWidth="1"/>
    <col min="3" max="3" width="29.33203125" bestFit="1" customWidth="1"/>
    <col min="4" max="4" width="17.83203125" bestFit="1" customWidth="1"/>
    <col min="5" max="5" width="32.5" bestFit="1" customWidth="1"/>
    <col min="6" max="6" width="23.1640625" bestFit="1" customWidth="1"/>
    <col min="7" max="7" width="28.6640625" bestFit="1" customWidth="1"/>
    <col min="8" max="9" width="19.1640625" bestFit="1" customWidth="1"/>
  </cols>
  <sheetData>
    <row r="2" spans="1:8" ht="32" x14ac:dyDescent="0.2">
      <c r="C2" s="29" t="s">
        <v>75</v>
      </c>
      <c r="D2" s="31" t="s">
        <v>86</v>
      </c>
      <c r="E2" s="36" t="s">
        <v>87</v>
      </c>
      <c r="F2" s="30" t="s">
        <v>88</v>
      </c>
      <c r="G2" s="30" t="s">
        <v>89</v>
      </c>
    </row>
    <row r="3" spans="1:8" x14ac:dyDescent="0.2">
      <c r="A3" s="10" t="s">
        <v>16</v>
      </c>
      <c r="B3" s="10">
        <v>11</v>
      </c>
      <c r="C3" s="34" t="s">
        <v>76</v>
      </c>
      <c r="D3" s="33">
        <v>450000</v>
      </c>
      <c r="E3" s="36" t="s">
        <v>80</v>
      </c>
    </row>
    <row r="4" spans="1:8" ht="32" x14ac:dyDescent="0.2">
      <c r="A4" s="25" t="s">
        <v>17</v>
      </c>
      <c r="B4" s="25">
        <v>2295</v>
      </c>
      <c r="C4" s="35" t="s">
        <v>77</v>
      </c>
      <c r="D4" s="32">
        <v>350000</v>
      </c>
      <c r="E4" s="37" t="s">
        <v>81</v>
      </c>
    </row>
    <row r="5" spans="1:8" ht="16" x14ac:dyDescent="0.2">
      <c r="A5" t="s">
        <v>18</v>
      </c>
      <c r="C5" s="34" t="s">
        <v>78</v>
      </c>
      <c r="D5" s="33">
        <v>250000</v>
      </c>
      <c r="E5" s="37" t="s">
        <v>79</v>
      </c>
    </row>
    <row r="6" spans="1:8" x14ac:dyDescent="0.2">
      <c r="A6" t="s">
        <v>19</v>
      </c>
      <c r="C6" s="34" t="s">
        <v>83</v>
      </c>
      <c r="D6" s="33">
        <v>350000</v>
      </c>
      <c r="E6" s="36" t="s">
        <v>82</v>
      </c>
    </row>
    <row r="7" spans="1:8" x14ac:dyDescent="0.2">
      <c r="A7" t="s">
        <v>20</v>
      </c>
      <c r="C7" s="34" t="s">
        <v>85</v>
      </c>
      <c r="D7" s="33">
        <v>80000</v>
      </c>
      <c r="E7" s="36" t="s">
        <v>84</v>
      </c>
    </row>
    <row r="8" spans="1:8" x14ac:dyDescent="0.2">
      <c r="A8" t="s">
        <v>21</v>
      </c>
    </row>
    <row r="9" spans="1:8" x14ac:dyDescent="0.2">
      <c r="A9" t="s">
        <v>22</v>
      </c>
    </row>
    <row r="10" spans="1:8" x14ac:dyDescent="0.2">
      <c r="A10" t="s">
        <v>23</v>
      </c>
    </row>
    <row r="11" spans="1:8" x14ac:dyDescent="0.2">
      <c r="A11" t="s">
        <v>24</v>
      </c>
    </row>
    <row r="12" spans="1:8" x14ac:dyDescent="0.2">
      <c r="A12" t="s">
        <v>25</v>
      </c>
    </row>
    <row r="14" spans="1:8" x14ac:dyDescent="0.2">
      <c r="A14" s="25" t="s">
        <v>26</v>
      </c>
      <c r="B14" s="8" t="s">
        <v>27</v>
      </c>
      <c r="C14" s="10" t="s">
        <v>28</v>
      </c>
      <c r="D14" s="26" t="s">
        <v>29</v>
      </c>
      <c r="E14" s="12" t="s">
        <v>30</v>
      </c>
      <c r="F14" s="27" t="s">
        <v>31</v>
      </c>
      <c r="G14" s="28" t="s">
        <v>32</v>
      </c>
      <c r="H14" s="29" t="s">
        <v>33</v>
      </c>
    </row>
    <row r="15" spans="1:8" x14ac:dyDescent="0.2">
      <c r="A15" s="25" t="s">
        <v>34</v>
      </c>
      <c r="B15" s="8" t="s">
        <v>35</v>
      </c>
      <c r="C15" s="10" t="s">
        <v>36</v>
      </c>
      <c r="D15" s="26" t="s">
        <v>37</v>
      </c>
      <c r="E15" s="12" t="s">
        <v>38</v>
      </c>
      <c r="F15" s="27" t="s">
        <v>39</v>
      </c>
      <c r="G15" s="28" t="s">
        <v>40</v>
      </c>
      <c r="H15" s="29"/>
    </row>
    <row r="16" spans="1:8" x14ac:dyDescent="0.2">
      <c r="A16" s="25" t="s">
        <v>41</v>
      </c>
      <c r="B16" s="8" t="s">
        <v>42</v>
      </c>
      <c r="C16" s="10" t="s">
        <v>36</v>
      </c>
      <c r="D16" s="26" t="s">
        <v>43</v>
      </c>
      <c r="E16" s="12" t="s">
        <v>44</v>
      </c>
      <c r="F16" s="27" t="s">
        <v>36</v>
      </c>
      <c r="G16" s="28" t="s">
        <v>45</v>
      </c>
      <c r="H16" s="29"/>
    </row>
    <row r="17" spans="1:8" x14ac:dyDescent="0.2">
      <c r="A17" s="25" t="s">
        <v>46</v>
      </c>
      <c r="B17" s="8" t="s">
        <v>42</v>
      </c>
      <c r="C17" s="10" t="s">
        <v>36</v>
      </c>
      <c r="D17" s="26" t="s">
        <v>47</v>
      </c>
      <c r="E17" s="12" t="s">
        <v>48</v>
      </c>
      <c r="F17" s="27" t="s">
        <v>36</v>
      </c>
      <c r="G17" s="28" t="s">
        <v>40</v>
      </c>
      <c r="H17" s="29" t="s">
        <v>49</v>
      </c>
    </row>
    <row r="18" spans="1:8" x14ac:dyDescent="0.2">
      <c r="A18" s="25" t="s">
        <v>50</v>
      </c>
      <c r="B18" s="8" t="s">
        <v>42</v>
      </c>
      <c r="C18" s="10" t="s">
        <v>36</v>
      </c>
      <c r="D18" s="26" t="s">
        <v>51</v>
      </c>
      <c r="E18" s="12" t="s">
        <v>52</v>
      </c>
      <c r="F18" s="27" t="s">
        <v>36</v>
      </c>
      <c r="G18" s="28" t="s">
        <v>53</v>
      </c>
      <c r="H18" s="29"/>
    </row>
    <row r="19" spans="1:8" x14ac:dyDescent="0.2">
      <c r="A19" s="25" t="s">
        <v>54</v>
      </c>
      <c r="B19" s="8" t="s">
        <v>42</v>
      </c>
      <c r="C19" s="10" t="s">
        <v>36</v>
      </c>
      <c r="D19" s="26" t="s">
        <v>55</v>
      </c>
      <c r="E19" s="12" t="s">
        <v>56</v>
      </c>
      <c r="F19" s="27" t="s">
        <v>57</v>
      </c>
      <c r="G19" s="28" t="s">
        <v>58</v>
      </c>
      <c r="H19" s="29"/>
    </row>
    <row r="20" spans="1:8" x14ac:dyDescent="0.2">
      <c r="A20" s="25" t="s">
        <v>59</v>
      </c>
      <c r="B20" s="8" t="s">
        <v>42</v>
      </c>
      <c r="C20" s="10" t="s">
        <v>36</v>
      </c>
      <c r="D20" s="26" t="s">
        <v>60</v>
      </c>
      <c r="E20" s="12" t="s">
        <v>60</v>
      </c>
      <c r="F20" s="27" t="s">
        <v>57</v>
      </c>
      <c r="G20" s="28" t="s">
        <v>45</v>
      </c>
      <c r="H20" s="29" t="s">
        <v>61</v>
      </c>
    </row>
    <row r="21" spans="1:8" x14ac:dyDescent="0.2">
      <c r="A21" s="25" t="s">
        <v>62</v>
      </c>
      <c r="B21" s="8" t="s">
        <v>63</v>
      </c>
      <c r="C21" s="10" t="s">
        <v>64</v>
      </c>
      <c r="D21" s="26" t="s">
        <v>60</v>
      </c>
      <c r="E21" s="12" t="s">
        <v>65</v>
      </c>
      <c r="F21" s="27" t="s">
        <v>63</v>
      </c>
      <c r="G21" s="28" t="s">
        <v>66</v>
      </c>
      <c r="H21" s="29"/>
    </row>
    <row r="22" spans="1:8" x14ac:dyDescent="0.2">
      <c r="A22" s="25" t="s">
        <v>67</v>
      </c>
      <c r="B22" s="8" t="s">
        <v>35</v>
      </c>
      <c r="C22" s="10" t="s">
        <v>64</v>
      </c>
      <c r="D22" s="26" t="s">
        <v>68</v>
      </c>
      <c r="E22" s="12" t="s">
        <v>60</v>
      </c>
      <c r="F22" s="27"/>
      <c r="G22" s="28" t="s">
        <v>69</v>
      </c>
      <c r="H22" s="29" t="s">
        <v>70</v>
      </c>
    </row>
    <row r="23" spans="1:8" x14ac:dyDescent="0.2">
      <c r="A23" s="25" t="s">
        <v>71</v>
      </c>
      <c r="B23" s="8" t="s">
        <v>72</v>
      </c>
      <c r="C23" s="10" t="s">
        <v>51</v>
      </c>
      <c r="D23" s="26" t="s">
        <v>43</v>
      </c>
      <c r="E23" s="12" t="s">
        <v>43</v>
      </c>
      <c r="F23" s="27" t="s">
        <v>73</v>
      </c>
      <c r="G23" s="28" t="s">
        <v>74</v>
      </c>
      <c r="H23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529D-6574-47EF-A9CE-A56C94ACA5C4}">
  <sheetPr>
    <tabColor theme="9" tint="0.39997558519241921"/>
  </sheetPr>
  <dimension ref="A1:H10"/>
  <sheetViews>
    <sheetView topLeftCell="A4" zoomScale="70" zoomScaleNormal="70" workbookViewId="0">
      <selection activeCell="B6" sqref="B6"/>
    </sheetView>
  </sheetViews>
  <sheetFormatPr baseColWidth="10" defaultColWidth="8.83203125" defaultRowHeight="15" x14ac:dyDescent="0.2"/>
  <cols>
    <col min="1" max="1" width="18.83203125" customWidth="1"/>
    <col min="2" max="2" width="22.5" customWidth="1"/>
    <col min="3" max="3" width="21.83203125" customWidth="1"/>
    <col min="4" max="4" width="24.5" customWidth="1"/>
    <col min="5" max="5" width="19.83203125" customWidth="1"/>
    <col min="6" max="6" width="13.6640625" customWidth="1"/>
    <col min="7" max="7" width="18.1640625" customWidth="1"/>
    <col min="8" max="8" width="15.5" customWidth="1"/>
  </cols>
  <sheetData>
    <row r="1" spans="1:8" ht="21" x14ac:dyDescent="0.25">
      <c r="A1" s="41" t="s">
        <v>125</v>
      </c>
      <c r="B1" s="39"/>
      <c r="C1" s="31"/>
      <c r="D1" s="31"/>
      <c r="E1" s="42" t="s">
        <v>146</v>
      </c>
      <c r="F1" s="43"/>
      <c r="G1" s="44"/>
      <c r="H1" s="44"/>
    </row>
    <row r="2" spans="1:8" ht="17" x14ac:dyDescent="0.2">
      <c r="A2" s="45" t="s">
        <v>95</v>
      </c>
      <c r="B2" s="46" t="s">
        <v>96</v>
      </c>
      <c r="C2" s="47" t="s">
        <v>97</v>
      </c>
      <c r="D2" s="48" t="s">
        <v>98</v>
      </c>
      <c r="E2" s="49" t="s">
        <v>95</v>
      </c>
      <c r="F2" s="50" t="s">
        <v>96</v>
      </c>
      <c r="G2" s="51" t="s">
        <v>97</v>
      </c>
      <c r="H2" s="52" t="s">
        <v>98</v>
      </c>
    </row>
    <row r="3" spans="1:8" ht="72" customHeight="1" x14ac:dyDescent="0.2">
      <c r="A3" s="53" t="s">
        <v>99</v>
      </c>
      <c r="B3" s="54" t="s">
        <v>100</v>
      </c>
      <c r="C3" s="55" t="s">
        <v>147</v>
      </c>
      <c r="D3" s="56" t="s">
        <v>101</v>
      </c>
      <c r="E3" s="57" t="s">
        <v>126</v>
      </c>
      <c r="F3" s="58" t="s">
        <v>100</v>
      </c>
      <c r="G3" s="59" t="s">
        <v>127</v>
      </c>
      <c r="H3" s="60" t="s">
        <v>128</v>
      </c>
    </row>
    <row r="4" spans="1:8" ht="115.25" customHeight="1" x14ac:dyDescent="0.2">
      <c r="A4" s="53" t="s">
        <v>102</v>
      </c>
      <c r="B4" s="61" t="s">
        <v>103</v>
      </c>
      <c r="C4" s="55" t="s">
        <v>104</v>
      </c>
      <c r="D4" s="56" t="s">
        <v>105</v>
      </c>
      <c r="E4" s="57" t="s">
        <v>102</v>
      </c>
      <c r="F4" s="62" t="s">
        <v>103</v>
      </c>
      <c r="G4" s="59" t="s">
        <v>129</v>
      </c>
      <c r="H4" s="60" t="s">
        <v>130</v>
      </c>
    </row>
    <row r="5" spans="1:8" ht="115.25" customHeight="1" x14ac:dyDescent="0.2">
      <c r="A5" s="53" t="s">
        <v>106</v>
      </c>
      <c r="B5" s="61" t="s">
        <v>103</v>
      </c>
      <c r="C5" s="55" t="s">
        <v>107</v>
      </c>
      <c r="D5" s="56" t="s">
        <v>108</v>
      </c>
      <c r="E5" s="57" t="s">
        <v>131</v>
      </c>
      <c r="F5" s="62" t="s">
        <v>77</v>
      </c>
      <c r="G5" s="59" t="s">
        <v>132</v>
      </c>
      <c r="H5" s="60" t="s">
        <v>133</v>
      </c>
    </row>
    <row r="6" spans="1:8" ht="115.25" customHeight="1" x14ac:dyDescent="0.2">
      <c r="A6" s="53" t="s">
        <v>109</v>
      </c>
      <c r="B6" s="61" t="s">
        <v>77</v>
      </c>
      <c r="C6" s="55" t="s">
        <v>110</v>
      </c>
      <c r="D6" s="56" t="s">
        <v>111</v>
      </c>
      <c r="E6" s="57" t="s">
        <v>134</v>
      </c>
      <c r="F6" s="58" t="s">
        <v>113</v>
      </c>
      <c r="G6" s="59" t="s">
        <v>135</v>
      </c>
      <c r="H6" s="60" t="s">
        <v>136</v>
      </c>
    </row>
    <row r="7" spans="1:8" ht="57.5" customHeight="1" x14ac:dyDescent="0.2">
      <c r="A7" s="53" t="s">
        <v>112</v>
      </c>
      <c r="B7" s="54" t="s">
        <v>113</v>
      </c>
      <c r="C7" s="55" t="s">
        <v>114</v>
      </c>
      <c r="D7" s="56" t="s">
        <v>115</v>
      </c>
      <c r="E7" s="57" t="s">
        <v>137</v>
      </c>
      <c r="F7" s="62" t="s">
        <v>76</v>
      </c>
      <c r="G7" s="59" t="s">
        <v>138</v>
      </c>
      <c r="H7" s="60" t="s">
        <v>139</v>
      </c>
    </row>
    <row r="8" spans="1:8" ht="100.75" customHeight="1" x14ac:dyDescent="0.2">
      <c r="A8" s="53" t="s">
        <v>116</v>
      </c>
      <c r="B8" s="61" t="s">
        <v>76</v>
      </c>
      <c r="C8" s="55" t="s">
        <v>117</v>
      </c>
      <c r="D8" s="56" t="s">
        <v>118</v>
      </c>
      <c r="E8" s="57" t="s">
        <v>140</v>
      </c>
      <c r="F8" s="62" t="s">
        <v>76</v>
      </c>
      <c r="G8" s="59" t="s">
        <v>141</v>
      </c>
      <c r="H8" s="60" t="s">
        <v>142</v>
      </c>
    </row>
    <row r="9" spans="1:8" ht="86.5" customHeight="1" x14ac:dyDescent="0.2">
      <c r="A9" s="53" t="s">
        <v>119</v>
      </c>
      <c r="B9" s="61" t="s">
        <v>76</v>
      </c>
      <c r="C9" s="55" t="s">
        <v>120</v>
      </c>
      <c r="D9" s="56" t="s">
        <v>121</v>
      </c>
      <c r="E9" s="57" t="s">
        <v>143</v>
      </c>
      <c r="F9" s="58" t="s">
        <v>100</v>
      </c>
      <c r="G9" s="59" t="s">
        <v>144</v>
      </c>
      <c r="H9" s="60" t="s">
        <v>145</v>
      </c>
    </row>
    <row r="10" spans="1:8" ht="34" x14ac:dyDescent="0.2">
      <c r="A10" s="53" t="s">
        <v>122</v>
      </c>
      <c r="B10" s="54" t="s">
        <v>100</v>
      </c>
      <c r="C10" s="55" t="s">
        <v>123</v>
      </c>
      <c r="D10" s="56" t="s">
        <v>124</v>
      </c>
      <c r="E10" s="63"/>
      <c r="F10" s="63"/>
      <c r="G10" s="63"/>
      <c r="H10" s="6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BFAF-DDCC-46FC-8C4C-DC5D8E2F2B91}">
  <sheetPr>
    <tabColor theme="9" tint="0.39997558519241921"/>
  </sheetPr>
  <dimension ref="A1:J5"/>
  <sheetViews>
    <sheetView topLeftCell="A6" zoomScale="135" zoomScaleNormal="135" workbookViewId="0">
      <selection activeCell="D26" sqref="D26"/>
    </sheetView>
  </sheetViews>
  <sheetFormatPr baseColWidth="10" defaultColWidth="8.83203125" defaultRowHeight="15" x14ac:dyDescent="0.2"/>
  <cols>
    <col min="2" max="2" width="2.83203125" bestFit="1" customWidth="1"/>
    <col min="3" max="3" width="17.33203125" bestFit="1" customWidth="1"/>
    <col min="4" max="4" width="2.83203125" bestFit="1" customWidth="1"/>
    <col min="5" max="5" width="22.6640625" bestFit="1" customWidth="1"/>
    <col min="7" max="7" width="2.83203125" bestFit="1" customWidth="1"/>
    <col min="8" max="8" width="31.83203125" bestFit="1" customWidth="1"/>
    <col min="9" max="9" width="2.83203125" bestFit="1" customWidth="1"/>
    <col min="10" max="10" width="23.5" bestFit="1" customWidth="1"/>
  </cols>
  <sheetData>
    <row r="1" spans="1:10" ht="14.5" customHeight="1" x14ac:dyDescent="0.2">
      <c r="A1" s="248" t="s">
        <v>148</v>
      </c>
      <c r="B1" s="248"/>
      <c r="C1" s="248"/>
      <c r="D1" s="248"/>
      <c r="E1" s="248"/>
      <c r="F1" s="249" t="s">
        <v>149</v>
      </c>
      <c r="G1" s="249"/>
      <c r="H1" s="249"/>
      <c r="I1" s="249"/>
      <c r="J1" s="249"/>
    </row>
    <row r="2" spans="1:10" x14ac:dyDescent="0.2">
      <c r="A2" s="248"/>
      <c r="B2" s="248"/>
      <c r="C2" s="248"/>
      <c r="D2" s="248"/>
      <c r="E2" s="248"/>
      <c r="F2" s="249"/>
      <c r="G2" s="249"/>
      <c r="H2" s="249"/>
      <c r="I2" s="249"/>
      <c r="J2" s="249"/>
    </row>
    <row r="3" spans="1:10" x14ac:dyDescent="0.2">
      <c r="A3" t="s">
        <v>150</v>
      </c>
      <c r="B3" t="s">
        <v>151</v>
      </c>
      <c r="C3" s="64" t="s">
        <v>152</v>
      </c>
      <c r="D3" t="s">
        <v>151</v>
      </c>
      <c r="E3" t="s">
        <v>153</v>
      </c>
      <c r="F3" t="s">
        <v>150</v>
      </c>
      <c r="G3" t="s">
        <v>151</v>
      </c>
      <c r="H3" t="s">
        <v>152</v>
      </c>
      <c r="I3" t="s">
        <v>151</v>
      </c>
      <c r="J3" t="s">
        <v>158</v>
      </c>
    </row>
    <row r="4" spans="1:10" x14ac:dyDescent="0.2">
      <c r="B4" t="s">
        <v>151</v>
      </c>
      <c r="C4" t="s">
        <v>154</v>
      </c>
      <c r="D4" t="s">
        <v>151</v>
      </c>
      <c r="E4" t="s">
        <v>155</v>
      </c>
      <c r="G4" t="s">
        <v>151</v>
      </c>
      <c r="H4" t="s">
        <v>159</v>
      </c>
      <c r="I4" t="s">
        <v>151</v>
      </c>
      <c r="J4" t="s">
        <v>155</v>
      </c>
    </row>
    <row r="5" spans="1:10" x14ac:dyDescent="0.2">
      <c r="B5" t="s">
        <v>151</v>
      </c>
      <c r="C5" t="s">
        <v>156</v>
      </c>
      <c r="D5" t="s">
        <v>151</v>
      </c>
      <c r="E5" t="s">
        <v>157</v>
      </c>
      <c r="G5" t="s">
        <v>151</v>
      </c>
      <c r="H5" t="s">
        <v>156</v>
      </c>
      <c r="I5" t="s">
        <v>151</v>
      </c>
      <c r="J5" t="s">
        <v>157</v>
      </c>
    </row>
  </sheetData>
  <mergeCells count="2">
    <mergeCell ref="A1:E2"/>
    <mergeCell ref="F1:J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E269-3ABC-416C-96D7-0FAB0DEAAE18}">
  <sheetPr>
    <tabColor rgb="FFFFC000"/>
  </sheetPr>
  <dimension ref="A1:E10"/>
  <sheetViews>
    <sheetView topLeftCell="A2" zoomScale="115" zoomScaleNormal="115" workbookViewId="0">
      <selection activeCell="A4" sqref="A4"/>
    </sheetView>
  </sheetViews>
  <sheetFormatPr baseColWidth="10" defaultColWidth="8.83203125" defaultRowHeight="15" x14ac:dyDescent="0.2"/>
  <cols>
    <col min="1" max="1" width="130" customWidth="1"/>
    <col min="2" max="2" width="9.5" bestFit="1" customWidth="1"/>
    <col min="3" max="3" width="14.5" customWidth="1"/>
    <col min="4" max="4" width="15.6640625" customWidth="1"/>
  </cols>
  <sheetData>
    <row r="1" spans="1:5" ht="19" x14ac:dyDescent="0.25">
      <c r="A1" s="40" t="s">
        <v>90</v>
      </c>
    </row>
    <row r="2" spans="1:5" ht="19" x14ac:dyDescent="0.25">
      <c r="A2" s="40" t="s">
        <v>91</v>
      </c>
    </row>
    <row r="3" spans="1:5" ht="19" x14ac:dyDescent="0.25">
      <c r="A3" s="40" t="s">
        <v>94</v>
      </c>
      <c r="B3">
        <v>816</v>
      </c>
    </row>
    <row r="4" spans="1:5" ht="19" x14ac:dyDescent="0.25">
      <c r="A4" s="40" t="s">
        <v>92</v>
      </c>
      <c r="B4">
        <v>56.951999999999998</v>
      </c>
    </row>
    <row r="5" spans="1:5" ht="19" x14ac:dyDescent="0.25">
      <c r="A5" s="40" t="s">
        <v>93</v>
      </c>
    </row>
    <row r="6" spans="1:5" ht="19" x14ac:dyDescent="0.25">
      <c r="A6" s="40"/>
    </row>
    <row r="7" spans="1:5" ht="40" x14ac:dyDescent="0.25">
      <c r="A7" s="70" t="s">
        <v>165</v>
      </c>
    </row>
    <row r="8" spans="1:5" ht="19" x14ac:dyDescent="0.25">
      <c r="A8" s="38" t="s">
        <v>160</v>
      </c>
      <c r="B8" s="66"/>
      <c r="C8" s="67" t="s">
        <v>161</v>
      </c>
      <c r="D8" s="67" t="s">
        <v>162</v>
      </c>
    </row>
    <row r="9" spans="1:5" ht="19" x14ac:dyDescent="0.25">
      <c r="A9" s="65" t="s">
        <v>164</v>
      </c>
      <c r="B9" s="68" t="s">
        <v>77</v>
      </c>
      <c r="C9" s="69">
        <v>3</v>
      </c>
      <c r="D9" s="69"/>
      <c r="E9" t="s">
        <v>166</v>
      </c>
    </row>
    <row r="10" spans="1:5" ht="19" x14ac:dyDescent="0.25">
      <c r="A10" s="39" t="s">
        <v>163</v>
      </c>
      <c r="B10" s="68" t="s">
        <v>76</v>
      </c>
      <c r="C10" s="69">
        <v>3</v>
      </c>
      <c r="D10" s="69">
        <v>3</v>
      </c>
      <c r="E10" t="s">
        <v>167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33D9-C5CE-4E23-B232-1B7087EDFD2F}">
  <sheetPr>
    <tabColor rgb="FFFFFF00"/>
  </sheetPr>
  <dimension ref="A2:O25"/>
  <sheetViews>
    <sheetView showGridLines="0" zoomScaleNormal="100" workbookViewId="0">
      <selection activeCell="A27" sqref="A27"/>
    </sheetView>
  </sheetViews>
  <sheetFormatPr baseColWidth="10" defaultColWidth="8.83203125" defaultRowHeight="15" x14ac:dyDescent="0.2"/>
  <cols>
    <col min="1" max="1" width="30.6640625" bestFit="1" customWidth="1"/>
    <col min="3" max="3" width="4.5" bestFit="1" customWidth="1"/>
    <col min="4" max="4" width="5.83203125" customWidth="1"/>
    <col min="5" max="5" width="8.1640625" customWidth="1"/>
    <col min="7" max="7" width="8.33203125" customWidth="1"/>
    <col min="8" max="8" width="15.83203125" bestFit="1" customWidth="1"/>
    <col min="9" max="9" width="9" customWidth="1"/>
    <col min="10" max="10" width="10.83203125" customWidth="1"/>
    <col min="11" max="11" width="8.83203125" bestFit="1" customWidth="1"/>
    <col min="12" max="12" width="8.6640625" customWidth="1"/>
    <col min="13" max="13" width="13.33203125" bestFit="1" customWidth="1"/>
    <col min="15" max="15" width="19.1640625" bestFit="1" customWidth="1"/>
  </cols>
  <sheetData>
    <row r="2" spans="1:15" ht="19" x14ac:dyDescent="0.2">
      <c r="A2" s="203" t="s">
        <v>186</v>
      </c>
      <c r="B2" s="203"/>
      <c r="C2" s="203"/>
      <c r="D2" s="203"/>
      <c r="E2" s="203"/>
      <c r="F2" s="203"/>
      <c r="H2" s="210" t="s">
        <v>201</v>
      </c>
      <c r="I2" s="210"/>
      <c r="J2" s="111" t="s">
        <v>172</v>
      </c>
      <c r="K2" s="111">
        <f xml:space="preserve"> 2295</f>
        <v>2295</v>
      </c>
      <c r="O2" s="82" t="s">
        <v>194</v>
      </c>
    </row>
    <row r="3" spans="1:15" x14ac:dyDescent="0.2">
      <c r="A3" s="63" t="s">
        <v>187</v>
      </c>
      <c r="B3" s="79">
        <v>3</v>
      </c>
      <c r="C3" s="83" t="s">
        <v>168</v>
      </c>
      <c r="D3" s="63"/>
      <c r="E3" s="63"/>
      <c r="F3" s="63"/>
      <c r="O3" s="64" t="s">
        <v>195</v>
      </c>
    </row>
    <row r="4" spans="1:15" ht="16" x14ac:dyDescent="0.2">
      <c r="A4" s="63" t="s">
        <v>169</v>
      </c>
      <c r="B4" s="79">
        <v>257</v>
      </c>
      <c r="C4" s="83" t="s">
        <v>168</v>
      </c>
      <c r="D4" s="63" t="s">
        <v>172</v>
      </c>
      <c r="E4" s="63"/>
      <c r="F4" s="63"/>
      <c r="H4" s="204" t="s">
        <v>412</v>
      </c>
      <c r="I4" s="205"/>
      <c r="J4" s="205"/>
      <c r="K4" s="205"/>
      <c r="L4" s="205"/>
      <c r="M4" s="206"/>
    </row>
    <row r="5" spans="1:15" x14ac:dyDescent="0.2">
      <c r="A5" s="63" t="s">
        <v>170</v>
      </c>
      <c r="B5" s="79">
        <f>8.25</f>
        <v>8.25</v>
      </c>
      <c r="C5" s="83" t="s">
        <v>171</v>
      </c>
      <c r="D5" s="63" t="s">
        <v>172</v>
      </c>
      <c r="E5" s="83">
        <f>B5*60</f>
        <v>495</v>
      </c>
      <c r="F5" s="63" t="s">
        <v>173</v>
      </c>
      <c r="H5" s="63" t="s">
        <v>190</v>
      </c>
      <c r="I5" s="207" t="s">
        <v>192</v>
      </c>
      <c r="J5" s="208"/>
      <c r="K5" s="63" t="s">
        <v>189</v>
      </c>
      <c r="L5" s="71" t="s">
        <v>193</v>
      </c>
      <c r="M5" s="63" t="s">
        <v>191</v>
      </c>
    </row>
    <row r="6" spans="1:15" x14ac:dyDescent="0.2">
      <c r="A6" s="63" t="s">
        <v>174</v>
      </c>
      <c r="B6" s="79">
        <v>0.5</v>
      </c>
      <c r="C6" s="83" t="s">
        <v>171</v>
      </c>
      <c r="D6" s="63" t="s">
        <v>172</v>
      </c>
      <c r="E6" s="83">
        <f>B6*60</f>
        <v>30</v>
      </c>
      <c r="F6" s="63" t="s">
        <v>173</v>
      </c>
      <c r="H6" s="80">
        <v>1</v>
      </c>
      <c r="I6" s="94">
        <f>E8</f>
        <v>450</v>
      </c>
      <c r="J6" s="80" t="s">
        <v>173</v>
      </c>
      <c r="K6" s="80">
        <f>ROUND(I6/$K$2, 3)</f>
        <v>0.19600000000000001</v>
      </c>
      <c r="L6" s="94">
        <f>ROUND(K6*60, 2)</f>
        <v>11.76</v>
      </c>
      <c r="M6" s="81" t="str">
        <f>IF(L6&lt;35,"No","Yes")</f>
        <v>No</v>
      </c>
    </row>
    <row r="7" spans="1:15" x14ac:dyDescent="0.2">
      <c r="A7" s="63" t="s">
        <v>188</v>
      </c>
      <c r="B7" s="79">
        <v>0.25</v>
      </c>
      <c r="C7" s="83" t="s">
        <v>171</v>
      </c>
      <c r="D7" s="63" t="s">
        <v>172</v>
      </c>
      <c r="E7" s="83">
        <f>B7*60</f>
        <v>15</v>
      </c>
      <c r="F7" s="63" t="s">
        <v>173</v>
      </c>
      <c r="H7" s="80">
        <v>2</v>
      </c>
      <c r="I7" s="94">
        <f>E8*2</f>
        <v>900</v>
      </c>
      <c r="J7" s="80" t="s">
        <v>173</v>
      </c>
      <c r="K7" s="80">
        <f t="shared" ref="K7:K8" si="0">ROUND(I7/$K$2, 3)</f>
        <v>0.39200000000000002</v>
      </c>
      <c r="L7" s="94">
        <f t="shared" ref="L7:L8" si="1">ROUND(K7*60, 2)</f>
        <v>23.52</v>
      </c>
      <c r="M7" s="81" t="str">
        <f t="shared" ref="M7:M8" si="2">IF(L7&lt;35,"No","Yes")</f>
        <v>No</v>
      </c>
    </row>
    <row r="8" spans="1:15" ht="16" x14ac:dyDescent="0.2">
      <c r="A8" s="63" t="s">
        <v>202</v>
      </c>
      <c r="B8" s="79">
        <f>B5-B6-B7</f>
        <v>7.5</v>
      </c>
      <c r="C8" s="83" t="s">
        <v>171</v>
      </c>
      <c r="D8" s="63" t="s">
        <v>172</v>
      </c>
      <c r="E8" s="83">
        <f>B8*60</f>
        <v>450</v>
      </c>
      <c r="F8" s="63" t="s">
        <v>173</v>
      </c>
      <c r="H8" s="87">
        <v>3</v>
      </c>
      <c r="I8" s="95">
        <f>E8*3</f>
        <v>1350</v>
      </c>
      <c r="J8" s="87" t="s">
        <v>173</v>
      </c>
      <c r="K8" s="80">
        <f t="shared" si="0"/>
        <v>0.58799999999999997</v>
      </c>
      <c r="L8" s="94">
        <f t="shared" si="1"/>
        <v>35.28</v>
      </c>
      <c r="M8" s="93" t="str">
        <f t="shared" si="2"/>
        <v>Yes</v>
      </c>
    </row>
    <row r="9" spans="1:15" x14ac:dyDescent="0.2">
      <c r="B9" s="92"/>
      <c r="C9" s="90"/>
      <c r="E9" s="90"/>
    </row>
    <row r="11" spans="1:15" x14ac:dyDescent="0.2">
      <c r="A11" s="209" t="s">
        <v>203</v>
      </c>
      <c r="B11" s="209"/>
      <c r="C11" s="209"/>
      <c r="D11" s="209"/>
    </row>
    <row r="12" spans="1:15" x14ac:dyDescent="0.2">
      <c r="A12" s="63" t="s">
        <v>96</v>
      </c>
      <c r="B12" s="84">
        <v>0.91</v>
      </c>
      <c r="C12" s="63"/>
      <c r="D12" s="63"/>
    </row>
    <row r="13" spans="1:15" x14ac:dyDescent="0.2">
      <c r="A13" s="63" t="s">
        <v>197</v>
      </c>
      <c r="B13" s="84">
        <v>0.9</v>
      </c>
      <c r="C13" s="63"/>
      <c r="D13" s="63"/>
    </row>
    <row r="14" spans="1:15" x14ac:dyDescent="0.2">
      <c r="A14" s="63" t="s">
        <v>185</v>
      </c>
      <c r="B14" s="84">
        <v>0.98</v>
      </c>
      <c r="C14" s="63"/>
      <c r="D14" s="63"/>
    </row>
    <row r="15" spans="1:15" x14ac:dyDescent="0.2">
      <c r="A15" s="71" t="s">
        <v>204</v>
      </c>
      <c r="B15" s="79"/>
      <c r="C15" s="96">
        <f>ROUND(B12*B13*B14,2)</f>
        <v>0.8</v>
      </c>
      <c r="D15" s="86">
        <f>ROUND(C15,2)</f>
        <v>0.8</v>
      </c>
      <c r="F15" s="190"/>
    </row>
    <row r="16" spans="1:15" x14ac:dyDescent="0.2">
      <c r="A16" s="71" t="s">
        <v>205</v>
      </c>
      <c r="B16" s="79"/>
      <c r="C16" s="85"/>
      <c r="D16" s="86">
        <v>1</v>
      </c>
      <c r="F16" s="191"/>
    </row>
    <row r="17" spans="1:6" x14ac:dyDescent="0.2">
      <c r="A17" s="100" t="s">
        <v>206</v>
      </c>
      <c r="B17" s="101"/>
      <c r="C17" s="100"/>
      <c r="D17" s="101">
        <f>D15*D16*D16</f>
        <v>0.8</v>
      </c>
      <c r="F17" s="191"/>
    </row>
    <row r="20" spans="1:6" ht="16" x14ac:dyDescent="0.2">
      <c r="A20" s="203" t="s">
        <v>213</v>
      </c>
      <c r="B20" s="203"/>
      <c r="C20" s="203"/>
      <c r="D20" s="203"/>
      <c r="E20" s="203"/>
      <c r="F20" s="203"/>
    </row>
    <row r="21" spans="1:6" x14ac:dyDescent="0.2">
      <c r="A21" s="63" t="s">
        <v>202</v>
      </c>
      <c r="B21" s="79">
        <f>E8</f>
        <v>450</v>
      </c>
      <c r="C21" s="63" t="s">
        <v>173</v>
      </c>
      <c r="D21" s="63" t="s">
        <v>172</v>
      </c>
      <c r="E21" s="112">
        <f>B21*60</f>
        <v>27000</v>
      </c>
      <c r="F21" s="63" t="s">
        <v>178</v>
      </c>
    </row>
    <row r="22" spans="1:6" x14ac:dyDescent="0.2">
      <c r="A22" s="63" t="s">
        <v>190</v>
      </c>
      <c r="B22" s="79">
        <v>3</v>
      </c>
      <c r="C22" s="63"/>
      <c r="D22" s="63"/>
      <c r="E22" s="83">
        <v>3</v>
      </c>
      <c r="F22" s="63"/>
    </row>
    <row r="23" spans="1:6" x14ac:dyDescent="0.2">
      <c r="A23" s="63" t="s">
        <v>196</v>
      </c>
      <c r="B23" s="84">
        <f>D17</f>
        <v>0.8</v>
      </c>
      <c r="C23" s="63"/>
      <c r="D23" s="63"/>
      <c r="E23" s="102">
        <v>0.8</v>
      </c>
      <c r="F23" s="63"/>
    </row>
    <row r="24" spans="1:6" x14ac:dyDescent="0.2">
      <c r="A24" s="200" t="s">
        <v>411</v>
      </c>
      <c r="B24" s="201"/>
      <c r="C24" s="201"/>
      <c r="D24" s="202"/>
      <c r="E24" s="103">
        <f>ROUND(((E21*E22*E23)/K2), 2)</f>
        <v>28.24</v>
      </c>
      <c r="F24" s="100" t="s">
        <v>178</v>
      </c>
    </row>
    <row r="25" spans="1:6" x14ac:dyDescent="0.2">
      <c r="A25" s="199" t="s">
        <v>214</v>
      </c>
      <c r="B25" s="199"/>
      <c r="C25" s="199"/>
      <c r="D25" s="199"/>
      <c r="E25" s="192">
        <f>2*E24</f>
        <v>56.48</v>
      </c>
      <c r="F25" s="100" t="s">
        <v>178</v>
      </c>
    </row>
  </sheetData>
  <mergeCells count="8">
    <mergeCell ref="A25:D25"/>
    <mergeCell ref="A24:D24"/>
    <mergeCell ref="A2:F2"/>
    <mergeCell ref="H4:M4"/>
    <mergeCell ref="I5:J5"/>
    <mergeCell ref="A11:D11"/>
    <mergeCell ref="H2:I2"/>
    <mergeCell ref="A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55F9-D710-4265-89F8-ACE076AE6B9E}">
  <sheetPr>
    <tabColor rgb="FFFFFF00"/>
  </sheetPr>
  <dimension ref="A1:F46"/>
  <sheetViews>
    <sheetView zoomScaleNormal="100" workbookViewId="0">
      <selection activeCell="F2" sqref="F2"/>
    </sheetView>
  </sheetViews>
  <sheetFormatPr baseColWidth="10" defaultColWidth="8.83203125" defaultRowHeight="15" x14ac:dyDescent="0.2"/>
  <cols>
    <col min="1" max="1" width="4" bestFit="1" customWidth="1"/>
    <col min="2" max="2" width="40.83203125" customWidth="1"/>
    <col min="3" max="3" width="8.1640625" bestFit="1" customWidth="1"/>
    <col min="4" max="4" width="11.33203125" bestFit="1" customWidth="1"/>
    <col min="5" max="5" width="14.1640625" bestFit="1" customWidth="1"/>
    <col min="6" max="6" width="11.1640625" customWidth="1"/>
  </cols>
  <sheetData>
    <row r="1" spans="1:6" x14ac:dyDescent="0.2">
      <c r="B1" s="174" t="s">
        <v>324</v>
      </c>
      <c r="C1" s="174">
        <v>2295</v>
      </c>
    </row>
    <row r="2" spans="1:6" x14ac:dyDescent="0.2">
      <c r="B2" s="175" t="s">
        <v>325</v>
      </c>
      <c r="C2" s="175">
        <v>1</v>
      </c>
    </row>
    <row r="3" spans="1:6" x14ac:dyDescent="0.2">
      <c r="B3" s="176" t="s">
        <v>326</v>
      </c>
      <c r="C3" s="176">
        <v>1</v>
      </c>
    </row>
    <row r="5" spans="1:6" x14ac:dyDescent="0.2">
      <c r="A5" s="141" t="s">
        <v>329</v>
      </c>
      <c r="B5" s="141" t="s">
        <v>330</v>
      </c>
      <c r="C5" s="140" t="s">
        <v>240</v>
      </c>
      <c r="D5" s="140" t="s">
        <v>331</v>
      </c>
      <c r="E5" s="140" t="s">
        <v>332</v>
      </c>
      <c r="F5" s="74" t="s">
        <v>374</v>
      </c>
    </row>
    <row r="6" spans="1:6" ht="16" thickBot="1" x14ac:dyDescent="0.25">
      <c r="A6" s="146">
        <v>1</v>
      </c>
      <c r="B6" s="146" t="s">
        <v>333</v>
      </c>
      <c r="C6" s="146">
        <v>1</v>
      </c>
      <c r="D6" s="146">
        <v>140</v>
      </c>
      <c r="E6" s="147" t="s">
        <v>334</v>
      </c>
      <c r="F6" s="148"/>
    </row>
    <row r="7" spans="1:6" x14ac:dyDescent="0.2">
      <c r="A7" s="149">
        <v>2</v>
      </c>
      <c r="B7" s="150" t="s">
        <v>335</v>
      </c>
      <c r="C7" s="151">
        <v>1</v>
      </c>
      <c r="D7" s="152">
        <v>28</v>
      </c>
      <c r="E7" s="153">
        <v>850</v>
      </c>
      <c r="F7" s="154">
        <f>C7*E7</f>
        <v>850</v>
      </c>
    </row>
    <row r="8" spans="1:6" x14ac:dyDescent="0.2">
      <c r="A8" s="155">
        <v>4</v>
      </c>
      <c r="B8" s="142" t="s">
        <v>336</v>
      </c>
      <c r="C8" s="143">
        <v>10</v>
      </c>
      <c r="D8" s="144">
        <v>0.02</v>
      </c>
      <c r="E8" s="145">
        <v>2.8</v>
      </c>
      <c r="F8" s="156">
        <f t="shared" ref="F8:F45" si="0">C8*E8</f>
        <v>28</v>
      </c>
    </row>
    <row r="9" spans="1:6" x14ac:dyDescent="0.2">
      <c r="A9" s="155">
        <v>5</v>
      </c>
      <c r="B9" s="142" t="s">
        <v>337</v>
      </c>
      <c r="C9" s="143">
        <v>4</v>
      </c>
      <c r="D9" s="144">
        <v>0.35</v>
      </c>
      <c r="E9" s="145">
        <v>16.510000000000002</v>
      </c>
      <c r="F9" s="156">
        <f t="shared" si="0"/>
        <v>66.040000000000006</v>
      </c>
    </row>
    <row r="10" spans="1:6" x14ac:dyDescent="0.2">
      <c r="A10" s="155">
        <v>6</v>
      </c>
      <c r="B10" s="142" t="s">
        <v>338</v>
      </c>
      <c r="C10" s="143">
        <v>4</v>
      </c>
      <c r="D10" s="144">
        <v>9.5000000000000001E-2</v>
      </c>
      <c r="E10" s="145">
        <v>29.65</v>
      </c>
      <c r="F10" s="156">
        <f t="shared" si="0"/>
        <v>118.6</v>
      </c>
    </row>
    <row r="11" spans="1:6" x14ac:dyDescent="0.2">
      <c r="A11" s="155">
        <v>7</v>
      </c>
      <c r="B11" s="142" t="s">
        <v>339</v>
      </c>
      <c r="C11" s="143">
        <v>8</v>
      </c>
      <c r="D11" s="144">
        <v>0.02</v>
      </c>
      <c r="E11" s="145">
        <v>2.8</v>
      </c>
      <c r="F11" s="156">
        <f t="shared" si="0"/>
        <v>22.4</v>
      </c>
    </row>
    <row r="12" spans="1:6" x14ac:dyDescent="0.2">
      <c r="A12" s="155">
        <v>8</v>
      </c>
      <c r="B12" s="142" t="s">
        <v>340</v>
      </c>
      <c r="C12" s="143">
        <v>4</v>
      </c>
      <c r="D12" s="144">
        <v>0.25</v>
      </c>
      <c r="E12" s="145">
        <v>40</v>
      </c>
      <c r="F12" s="156">
        <f t="shared" si="0"/>
        <v>160</v>
      </c>
    </row>
    <row r="13" spans="1:6" x14ac:dyDescent="0.2">
      <c r="A13" s="155">
        <v>9</v>
      </c>
      <c r="B13" s="142" t="s">
        <v>341</v>
      </c>
      <c r="C13" s="143">
        <v>8</v>
      </c>
      <c r="D13" s="144">
        <v>0.02</v>
      </c>
      <c r="E13" s="145">
        <v>0.1</v>
      </c>
      <c r="F13" s="156">
        <f t="shared" si="0"/>
        <v>0.8</v>
      </c>
    </row>
    <row r="14" spans="1:6" x14ac:dyDescent="0.2">
      <c r="A14" s="155">
        <v>10</v>
      </c>
      <c r="B14" s="142" t="s">
        <v>342</v>
      </c>
      <c r="C14" s="143">
        <v>4</v>
      </c>
      <c r="D14" s="144">
        <v>0.02</v>
      </c>
      <c r="E14" s="145">
        <v>3.8</v>
      </c>
      <c r="F14" s="156">
        <f t="shared" si="0"/>
        <v>15.2</v>
      </c>
    </row>
    <row r="15" spans="1:6" x14ac:dyDescent="0.2">
      <c r="A15" s="155">
        <v>11</v>
      </c>
      <c r="B15" s="142" t="s">
        <v>343</v>
      </c>
      <c r="C15" s="143">
        <v>5</v>
      </c>
      <c r="D15" s="144">
        <v>0.32600000000000001</v>
      </c>
      <c r="E15" s="145">
        <v>23.51</v>
      </c>
      <c r="F15" s="156">
        <f t="shared" si="0"/>
        <v>117.55000000000001</v>
      </c>
    </row>
    <row r="16" spans="1:6" x14ac:dyDescent="0.2">
      <c r="A16" s="155">
        <v>12</v>
      </c>
      <c r="B16" s="142" t="s">
        <v>344</v>
      </c>
      <c r="C16" s="143">
        <v>10</v>
      </c>
      <c r="D16" s="144">
        <v>0.05</v>
      </c>
      <c r="E16" s="145">
        <v>1.98</v>
      </c>
      <c r="F16" s="156">
        <f t="shared" si="0"/>
        <v>19.8</v>
      </c>
    </row>
    <row r="17" spans="1:6" x14ac:dyDescent="0.2">
      <c r="A17" s="155">
        <v>13</v>
      </c>
      <c r="B17" s="142" t="s">
        <v>345</v>
      </c>
      <c r="C17" s="143">
        <v>1</v>
      </c>
      <c r="D17" s="144">
        <v>1.2</v>
      </c>
      <c r="E17" s="145">
        <v>125.64</v>
      </c>
      <c r="F17" s="156">
        <f t="shared" si="0"/>
        <v>125.64</v>
      </c>
    </row>
    <row r="18" spans="1:6" x14ac:dyDescent="0.2">
      <c r="A18" s="155">
        <v>14</v>
      </c>
      <c r="B18" s="142" t="s">
        <v>346</v>
      </c>
      <c r="C18" s="143">
        <v>20</v>
      </c>
      <c r="D18" s="144">
        <v>0.02</v>
      </c>
      <c r="E18" s="145">
        <v>0.05</v>
      </c>
      <c r="F18" s="156">
        <f t="shared" si="0"/>
        <v>1</v>
      </c>
    </row>
    <row r="19" spans="1:6" x14ac:dyDescent="0.2">
      <c r="A19" s="155">
        <v>15</v>
      </c>
      <c r="B19" s="142" t="s">
        <v>347</v>
      </c>
      <c r="C19" s="143">
        <v>1</v>
      </c>
      <c r="D19" s="144">
        <v>0.35</v>
      </c>
      <c r="E19" s="145">
        <v>89.5</v>
      </c>
      <c r="F19" s="156">
        <f t="shared" si="0"/>
        <v>89.5</v>
      </c>
    </row>
    <row r="20" spans="1:6" x14ac:dyDescent="0.2">
      <c r="A20" s="155">
        <v>16</v>
      </c>
      <c r="B20" s="142" t="s">
        <v>348</v>
      </c>
      <c r="C20" s="143">
        <v>6</v>
      </c>
      <c r="D20" s="144">
        <v>0.02</v>
      </c>
      <c r="E20" s="145">
        <v>0.05</v>
      </c>
      <c r="F20" s="156">
        <f t="shared" si="0"/>
        <v>0.30000000000000004</v>
      </c>
    </row>
    <row r="21" spans="1:6" x14ac:dyDescent="0.2">
      <c r="A21" s="155">
        <v>17</v>
      </c>
      <c r="B21" s="142" t="s">
        <v>349</v>
      </c>
      <c r="C21" s="143">
        <v>1</v>
      </c>
      <c r="D21" s="144">
        <v>0.125</v>
      </c>
      <c r="E21" s="145">
        <v>121.54</v>
      </c>
      <c r="F21" s="156">
        <f t="shared" si="0"/>
        <v>121.54</v>
      </c>
    </row>
    <row r="22" spans="1:6" x14ac:dyDescent="0.2">
      <c r="A22" s="155">
        <v>18</v>
      </c>
      <c r="B22" s="142" t="s">
        <v>350</v>
      </c>
      <c r="C22" s="143">
        <v>6</v>
      </c>
      <c r="D22" s="144">
        <v>0.02</v>
      </c>
      <c r="E22" s="145">
        <v>0.05</v>
      </c>
      <c r="F22" s="156">
        <f t="shared" si="0"/>
        <v>0.30000000000000004</v>
      </c>
    </row>
    <row r="23" spans="1:6" x14ac:dyDescent="0.2">
      <c r="A23" s="155">
        <v>19</v>
      </c>
      <c r="B23" s="142" t="s">
        <v>351</v>
      </c>
      <c r="C23" s="143">
        <v>1</v>
      </c>
      <c r="D23" s="144">
        <v>0.124</v>
      </c>
      <c r="E23" s="145">
        <v>2.56</v>
      </c>
      <c r="F23" s="156">
        <f t="shared" si="0"/>
        <v>2.56</v>
      </c>
    </row>
    <row r="24" spans="1:6" x14ac:dyDescent="0.2">
      <c r="A24" s="155">
        <v>20</v>
      </c>
      <c r="B24" s="142" t="s">
        <v>352</v>
      </c>
      <c r="C24" s="143">
        <v>1</v>
      </c>
      <c r="D24" s="144">
        <v>0.45</v>
      </c>
      <c r="E24" s="145">
        <v>26.35</v>
      </c>
      <c r="F24" s="156">
        <f t="shared" si="0"/>
        <v>26.35</v>
      </c>
    </row>
    <row r="25" spans="1:6" x14ac:dyDescent="0.2">
      <c r="A25" s="155">
        <v>21</v>
      </c>
      <c r="B25" s="142" t="s">
        <v>353</v>
      </c>
      <c r="C25" s="143">
        <v>1</v>
      </c>
      <c r="D25" s="144">
        <v>0.4</v>
      </c>
      <c r="E25" s="145">
        <v>56.45</v>
      </c>
      <c r="F25" s="156">
        <f t="shared" si="0"/>
        <v>56.45</v>
      </c>
    </row>
    <row r="26" spans="1:6" x14ac:dyDescent="0.2">
      <c r="A26" s="155">
        <v>22</v>
      </c>
      <c r="B26" s="142" t="s">
        <v>354</v>
      </c>
      <c r="C26" s="143">
        <v>4</v>
      </c>
      <c r="D26" s="144">
        <v>0.02</v>
      </c>
      <c r="E26" s="145">
        <v>0.06</v>
      </c>
      <c r="F26" s="156">
        <f t="shared" si="0"/>
        <v>0.24</v>
      </c>
    </row>
    <row r="27" spans="1:6" x14ac:dyDescent="0.2">
      <c r="A27" s="155">
        <v>23</v>
      </c>
      <c r="B27" s="142" t="s">
        <v>355</v>
      </c>
      <c r="C27" s="143">
        <v>1</v>
      </c>
      <c r="D27" s="144">
        <v>0.2</v>
      </c>
      <c r="E27" s="145">
        <v>12.99</v>
      </c>
      <c r="F27" s="156">
        <f t="shared" si="0"/>
        <v>12.99</v>
      </c>
    </row>
    <row r="28" spans="1:6" x14ac:dyDescent="0.2">
      <c r="A28" s="155">
        <v>24</v>
      </c>
      <c r="B28" s="142" t="s">
        <v>356</v>
      </c>
      <c r="C28" s="143">
        <v>1</v>
      </c>
      <c r="D28" s="144">
        <v>0.35</v>
      </c>
      <c r="E28" s="145">
        <v>23.54</v>
      </c>
      <c r="F28" s="156">
        <f t="shared" si="0"/>
        <v>23.54</v>
      </c>
    </row>
    <row r="29" spans="1:6" x14ac:dyDescent="0.2">
      <c r="A29" s="155">
        <v>25</v>
      </c>
      <c r="B29" s="142" t="s">
        <v>357</v>
      </c>
      <c r="C29" s="143">
        <v>1</v>
      </c>
      <c r="D29" s="144">
        <v>0.85</v>
      </c>
      <c r="E29" s="145">
        <v>46.5</v>
      </c>
      <c r="F29" s="156">
        <f t="shared" si="0"/>
        <v>46.5</v>
      </c>
    </row>
    <row r="30" spans="1:6" x14ac:dyDescent="0.2">
      <c r="A30" s="155">
        <v>26</v>
      </c>
      <c r="B30" s="142" t="s">
        <v>358</v>
      </c>
      <c r="C30" s="143">
        <v>2</v>
      </c>
      <c r="D30" s="144">
        <v>0.02</v>
      </c>
      <c r="E30" s="145">
        <v>0.06</v>
      </c>
      <c r="F30" s="156">
        <f t="shared" si="0"/>
        <v>0.12</v>
      </c>
    </row>
    <row r="31" spans="1:6" x14ac:dyDescent="0.2">
      <c r="A31" s="155">
        <v>27</v>
      </c>
      <c r="B31" s="142" t="s">
        <v>359</v>
      </c>
      <c r="C31" s="143">
        <v>1</v>
      </c>
      <c r="D31" s="144">
        <v>0.65</v>
      </c>
      <c r="E31" s="145">
        <v>35.65</v>
      </c>
      <c r="F31" s="156">
        <f t="shared" si="0"/>
        <v>35.65</v>
      </c>
    </row>
    <row r="32" spans="1:6" x14ac:dyDescent="0.2">
      <c r="A32" s="155">
        <v>28</v>
      </c>
      <c r="B32" s="142" t="s">
        <v>360</v>
      </c>
      <c r="C32" s="143">
        <v>1</v>
      </c>
      <c r="D32" s="144">
        <v>0.03</v>
      </c>
      <c r="E32" s="145">
        <v>1.54</v>
      </c>
      <c r="F32" s="156">
        <f t="shared" si="0"/>
        <v>1.54</v>
      </c>
    </row>
    <row r="33" spans="1:6" x14ac:dyDescent="0.2">
      <c r="A33" s="155">
        <v>30</v>
      </c>
      <c r="B33" s="142" t="s">
        <v>361</v>
      </c>
      <c r="C33" s="143">
        <v>1</v>
      </c>
      <c r="D33" s="144">
        <v>0.98</v>
      </c>
      <c r="E33" s="145">
        <v>65.540000000000006</v>
      </c>
      <c r="F33" s="156">
        <f t="shared" si="0"/>
        <v>65.540000000000006</v>
      </c>
    </row>
    <row r="34" spans="1:6" x14ac:dyDescent="0.2">
      <c r="A34" s="155">
        <v>31</v>
      </c>
      <c r="B34" s="142" t="s">
        <v>362</v>
      </c>
      <c r="C34" s="143">
        <v>3</v>
      </c>
      <c r="D34" s="144">
        <v>0.02</v>
      </c>
      <c r="E34" s="145">
        <v>0.06</v>
      </c>
      <c r="F34" s="156">
        <f t="shared" si="0"/>
        <v>0.18</v>
      </c>
    </row>
    <row r="35" spans="1:6" x14ac:dyDescent="0.2">
      <c r="A35" s="155">
        <v>32</v>
      </c>
      <c r="B35" s="142" t="s">
        <v>363</v>
      </c>
      <c r="C35" s="143">
        <v>2</v>
      </c>
      <c r="D35" s="144">
        <v>0.2</v>
      </c>
      <c r="E35" s="145">
        <v>12.5</v>
      </c>
      <c r="F35" s="156">
        <f t="shared" si="0"/>
        <v>25</v>
      </c>
    </row>
    <row r="36" spans="1:6" x14ac:dyDescent="0.2">
      <c r="A36" s="155">
        <v>33</v>
      </c>
      <c r="B36" s="142" t="s">
        <v>364</v>
      </c>
      <c r="C36" s="143">
        <v>2</v>
      </c>
      <c r="D36" s="144">
        <v>0.2</v>
      </c>
      <c r="E36" s="145">
        <v>12.5</v>
      </c>
      <c r="F36" s="156">
        <f t="shared" si="0"/>
        <v>25</v>
      </c>
    </row>
    <row r="37" spans="1:6" x14ac:dyDescent="0.2">
      <c r="A37" s="155">
        <v>34</v>
      </c>
      <c r="B37" s="142" t="s">
        <v>365</v>
      </c>
      <c r="C37" s="143">
        <v>1</v>
      </c>
      <c r="D37" s="144">
        <v>0.3</v>
      </c>
      <c r="E37" s="145">
        <v>14.5</v>
      </c>
      <c r="F37" s="156">
        <f t="shared" si="0"/>
        <v>14.5</v>
      </c>
    </row>
    <row r="38" spans="1:6" x14ac:dyDescent="0.2">
      <c r="A38" s="155">
        <v>35</v>
      </c>
      <c r="B38" s="142" t="s">
        <v>366</v>
      </c>
      <c r="C38" s="143">
        <v>1</v>
      </c>
      <c r="D38" s="144">
        <v>0.3</v>
      </c>
      <c r="E38" s="145">
        <v>16.5</v>
      </c>
      <c r="F38" s="156">
        <f t="shared" si="0"/>
        <v>16.5</v>
      </c>
    </row>
    <row r="39" spans="1:6" x14ac:dyDescent="0.2">
      <c r="A39" s="155">
        <v>36</v>
      </c>
      <c r="B39" s="142" t="s">
        <v>367</v>
      </c>
      <c r="C39" s="143">
        <v>10</v>
      </c>
      <c r="D39" s="144">
        <v>0.02</v>
      </c>
      <c r="E39" s="145">
        <v>0.1</v>
      </c>
      <c r="F39" s="156">
        <f t="shared" si="0"/>
        <v>1</v>
      </c>
    </row>
    <row r="40" spans="1:6" x14ac:dyDescent="0.2">
      <c r="A40" s="155">
        <v>37</v>
      </c>
      <c r="B40" s="142" t="s">
        <v>368</v>
      </c>
      <c r="C40" s="143">
        <v>10</v>
      </c>
      <c r="D40" s="144">
        <v>0.02</v>
      </c>
      <c r="E40" s="145">
        <v>0.03</v>
      </c>
      <c r="F40" s="156">
        <f t="shared" si="0"/>
        <v>0.3</v>
      </c>
    </row>
    <row r="41" spans="1:6" x14ac:dyDescent="0.2">
      <c r="A41" s="155">
        <v>38</v>
      </c>
      <c r="B41" s="142" t="s">
        <v>369</v>
      </c>
      <c r="C41" s="143">
        <v>1</v>
      </c>
      <c r="D41" s="144">
        <v>1.2</v>
      </c>
      <c r="E41" s="145">
        <v>86.95</v>
      </c>
      <c r="F41" s="156">
        <f t="shared" si="0"/>
        <v>86.95</v>
      </c>
    </row>
    <row r="42" spans="1:6" x14ac:dyDescent="0.2">
      <c r="A42" s="155">
        <v>39</v>
      </c>
      <c r="B42" s="142" t="s">
        <v>370</v>
      </c>
      <c r="C42" s="143">
        <v>4</v>
      </c>
      <c r="D42" s="144">
        <v>0.02</v>
      </c>
      <c r="E42" s="145">
        <v>0.03</v>
      </c>
      <c r="F42" s="156">
        <f t="shared" si="0"/>
        <v>0.12</v>
      </c>
    </row>
    <row r="43" spans="1:6" x14ac:dyDescent="0.2">
      <c r="A43" s="155">
        <v>40</v>
      </c>
      <c r="B43" s="142" t="s">
        <v>371</v>
      </c>
      <c r="C43" s="143">
        <v>1</v>
      </c>
      <c r="D43" s="144">
        <v>12.5</v>
      </c>
      <c r="E43" s="145">
        <v>890</v>
      </c>
      <c r="F43" s="156">
        <f t="shared" si="0"/>
        <v>890</v>
      </c>
    </row>
    <row r="44" spans="1:6" x14ac:dyDescent="0.2">
      <c r="A44" s="155">
        <v>41</v>
      </c>
      <c r="B44" s="142" t="s">
        <v>372</v>
      </c>
      <c r="C44" s="143">
        <v>10</v>
      </c>
      <c r="D44" s="144">
        <v>0.05</v>
      </c>
      <c r="E44" s="145">
        <v>2.54</v>
      </c>
      <c r="F44" s="156">
        <f t="shared" si="0"/>
        <v>25.4</v>
      </c>
    </row>
    <row r="45" spans="1:6" ht="16" thickBot="1" x14ac:dyDescent="0.25">
      <c r="A45" s="157">
        <v>42</v>
      </c>
      <c r="B45" s="158" t="s">
        <v>373</v>
      </c>
      <c r="C45" s="159">
        <v>10</v>
      </c>
      <c r="D45" s="160">
        <v>0.02</v>
      </c>
      <c r="E45" s="161">
        <v>0.03</v>
      </c>
      <c r="F45" s="162">
        <f t="shared" si="0"/>
        <v>0.3</v>
      </c>
    </row>
    <row r="46" spans="1:6" ht="16" thickBot="1" x14ac:dyDescent="0.25">
      <c r="A46" s="163">
        <f>A45</f>
        <v>42</v>
      </c>
      <c r="B46" s="164" t="s">
        <v>375</v>
      </c>
      <c r="C46" s="165"/>
      <c r="D46" s="166">
        <f>D6</f>
        <v>140</v>
      </c>
      <c r="E46" s="167">
        <f>SUM(E7:E45)</f>
        <v>2614.9599999999996</v>
      </c>
      <c r="F46" s="168">
        <f>SUM(F7:F45)</f>
        <v>3093.4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E0E3-E060-4CFD-8C9B-09D22D709893}">
  <sheetPr>
    <tabColor rgb="FFC00000"/>
  </sheetPr>
  <dimension ref="A1:M25"/>
  <sheetViews>
    <sheetView showGridLines="0" zoomScaleNormal="100" workbookViewId="0">
      <selection activeCell="G1" sqref="G1:G8"/>
    </sheetView>
  </sheetViews>
  <sheetFormatPr baseColWidth="10" defaultColWidth="8.83203125" defaultRowHeight="15" x14ac:dyDescent="0.2"/>
  <cols>
    <col min="1" max="1" width="16" bestFit="1" customWidth="1"/>
    <col min="2" max="2" width="23.83203125" customWidth="1"/>
    <col min="3" max="3" width="10.1640625" customWidth="1"/>
    <col min="4" max="4" width="7.1640625" customWidth="1"/>
    <col min="6" max="6" width="11.5" customWidth="1"/>
    <col min="7" max="7" width="18.6640625" customWidth="1"/>
    <col min="8" max="8" width="18.83203125" customWidth="1"/>
    <col min="9" max="9" width="2" bestFit="1" customWidth="1"/>
    <col min="10" max="10" width="11.5" customWidth="1"/>
    <col min="11" max="11" width="12" customWidth="1"/>
    <col min="12" max="12" width="2" bestFit="1" customWidth="1"/>
  </cols>
  <sheetData>
    <row r="1" spans="1:13" ht="14.5" customHeight="1" x14ac:dyDescent="0.2">
      <c r="A1" s="216" t="s">
        <v>167</v>
      </c>
      <c r="B1" s="74" t="s">
        <v>175</v>
      </c>
      <c r="C1" s="214" t="s">
        <v>176</v>
      </c>
      <c r="D1" s="215"/>
      <c r="E1" s="211" t="s">
        <v>198</v>
      </c>
      <c r="F1" s="211"/>
      <c r="G1" s="213" t="s">
        <v>167</v>
      </c>
      <c r="H1" s="219" t="s">
        <v>76</v>
      </c>
      <c r="I1" s="219"/>
      <c r="J1" s="219"/>
      <c r="K1" s="219"/>
      <c r="L1" s="219"/>
      <c r="M1" s="219"/>
    </row>
    <row r="2" spans="1:13" ht="14.5" customHeight="1" x14ac:dyDescent="0.2">
      <c r="A2" s="217"/>
      <c r="B2" s="63" t="s">
        <v>177</v>
      </c>
      <c r="C2" s="72">
        <f>(15*60)</f>
        <v>900</v>
      </c>
      <c r="D2" s="83" t="s">
        <v>178</v>
      </c>
      <c r="E2" s="211"/>
      <c r="F2" s="211"/>
      <c r="G2" s="213"/>
      <c r="H2" t="s">
        <v>210</v>
      </c>
      <c r="I2" t="s">
        <v>172</v>
      </c>
      <c r="J2" s="28">
        <f>C9</f>
        <v>185.39</v>
      </c>
      <c r="K2" s="90" t="s">
        <v>178</v>
      </c>
    </row>
    <row r="3" spans="1:13" ht="14.5" customHeight="1" x14ac:dyDescent="0.2">
      <c r="A3" s="217"/>
      <c r="B3" s="63" t="s">
        <v>207</v>
      </c>
      <c r="C3" s="72">
        <f>ROUND(900/2295,2)</f>
        <v>0.39</v>
      </c>
      <c r="D3" s="83" t="s">
        <v>178</v>
      </c>
      <c r="E3" s="211"/>
      <c r="F3" s="211"/>
      <c r="G3" s="213"/>
      <c r="H3" t="s">
        <v>209</v>
      </c>
      <c r="I3" t="s">
        <v>172</v>
      </c>
      <c r="J3" s="28">
        <v>2295</v>
      </c>
      <c r="K3" s="90" t="s">
        <v>227</v>
      </c>
    </row>
    <row r="4" spans="1:13" ht="14.5" customHeight="1" x14ac:dyDescent="0.2">
      <c r="A4" s="217"/>
      <c r="B4" s="63" t="s">
        <v>179</v>
      </c>
      <c r="C4" s="72">
        <v>30</v>
      </c>
      <c r="D4" s="83" t="s">
        <v>178</v>
      </c>
      <c r="E4" s="211"/>
      <c r="F4" s="211"/>
      <c r="G4" s="213"/>
      <c r="H4" t="s">
        <v>196</v>
      </c>
      <c r="I4" t="s">
        <v>172</v>
      </c>
      <c r="J4" s="28">
        <f>Workhours!D17</f>
        <v>0.8</v>
      </c>
      <c r="K4" s="90"/>
    </row>
    <row r="5" spans="1:13" x14ac:dyDescent="0.2">
      <c r="A5" s="217"/>
      <c r="B5" s="78" t="s">
        <v>30</v>
      </c>
      <c r="C5" s="72">
        <v>120</v>
      </c>
      <c r="D5" s="83" t="s">
        <v>178</v>
      </c>
      <c r="E5" s="211"/>
      <c r="F5" s="211"/>
      <c r="G5" s="213"/>
      <c r="H5" t="s">
        <v>211</v>
      </c>
      <c r="I5" t="s">
        <v>172</v>
      </c>
      <c r="J5" s="28">
        <f>1350 * 60</f>
        <v>81000</v>
      </c>
      <c r="K5" s="90" t="s">
        <v>178</v>
      </c>
    </row>
    <row r="6" spans="1:13" ht="14.5" customHeight="1" x14ac:dyDescent="0.2">
      <c r="A6" s="217"/>
      <c r="B6" s="63" t="s">
        <v>180</v>
      </c>
      <c r="C6" s="72">
        <v>30</v>
      </c>
      <c r="D6" s="83" t="s">
        <v>178</v>
      </c>
      <c r="E6" s="211"/>
      <c r="F6" s="211"/>
      <c r="G6" s="213"/>
      <c r="H6" s="220" t="s">
        <v>212</v>
      </c>
      <c r="I6" s="221" t="s">
        <v>172</v>
      </c>
      <c r="J6" s="99">
        <f>J3</f>
        <v>2295</v>
      </c>
      <c r="K6" s="99">
        <f>J2</f>
        <v>185.39</v>
      </c>
      <c r="L6" s="97"/>
      <c r="M6" s="222">
        <f>ROUNDUP((J6*K6)/(J8*K8),0)</f>
        <v>7</v>
      </c>
    </row>
    <row r="7" spans="1:13" ht="14.5" customHeight="1" x14ac:dyDescent="0.2">
      <c r="A7" s="217"/>
      <c r="B7" s="63" t="s">
        <v>181</v>
      </c>
      <c r="C7" s="72">
        <v>4</v>
      </c>
      <c r="D7" s="83" t="s">
        <v>178</v>
      </c>
      <c r="E7" s="211"/>
      <c r="F7" s="211"/>
      <c r="G7" s="213"/>
      <c r="H7" s="220"/>
      <c r="I7" s="221"/>
      <c r="J7" s="97"/>
      <c r="K7" s="97"/>
      <c r="L7" s="98" t="s">
        <v>172</v>
      </c>
      <c r="M7" s="222"/>
    </row>
    <row r="8" spans="1:13" ht="14.5" customHeight="1" x14ac:dyDescent="0.2">
      <c r="A8" s="217"/>
      <c r="B8" s="63" t="s">
        <v>184</v>
      </c>
      <c r="C8" s="72">
        <f>900/900</f>
        <v>1</v>
      </c>
      <c r="D8" s="83" t="s">
        <v>178</v>
      </c>
      <c r="E8" s="211"/>
      <c r="F8" s="211"/>
      <c r="G8" s="213"/>
      <c r="H8" s="220"/>
      <c r="I8" s="221"/>
      <c r="J8" s="99">
        <f>J4</f>
        <v>0.8</v>
      </c>
      <c r="K8" s="99">
        <f>J5</f>
        <v>81000</v>
      </c>
      <c r="L8" s="97"/>
      <c r="M8" s="222"/>
    </row>
    <row r="9" spans="1:13" x14ac:dyDescent="0.2">
      <c r="A9" s="218"/>
      <c r="B9" s="71" t="s">
        <v>182</v>
      </c>
      <c r="C9" s="77">
        <f>ROUND(SUM(C3:C8), 2)</f>
        <v>185.39</v>
      </c>
      <c r="D9" s="83" t="s">
        <v>178</v>
      </c>
      <c r="E9" s="211"/>
      <c r="F9" s="211"/>
    </row>
    <row r="10" spans="1:13" ht="16" x14ac:dyDescent="0.2">
      <c r="E10" s="211"/>
      <c r="F10" s="211"/>
      <c r="G10" s="212" t="s">
        <v>208</v>
      </c>
      <c r="H10" s="212"/>
      <c r="I10" s="212"/>
      <c r="J10" s="212"/>
      <c r="K10" s="212"/>
    </row>
    <row r="11" spans="1:13" x14ac:dyDescent="0.2">
      <c r="E11" s="211"/>
      <c r="F11" s="211"/>
      <c r="G11" s="105" t="s">
        <v>96</v>
      </c>
      <c r="H11" s="63" t="s">
        <v>76</v>
      </c>
      <c r="I11" s="3"/>
      <c r="J11" s="63" t="s">
        <v>226</v>
      </c>
      <c r="K11" s="63"/>
    </row>
    <row r="12" spans="1:13" ht="19" x14ac:dyDescent="0.25">
      <c r="A12" s="88" t="s">
        <v>199</v>
      </c>
      <c r="B12" s="95">
        <f>Workhours!I8 * 60</f>
        <v>81000</v>
      </c>
      <c r="C12" s="63" t="s">
        <v>178</v>
      </c>
      <c r="E12" s="211"/>
      <c r="F12" s="211"/>
      <c r="G12" s="105" t="s">
        <v>215</v>
      </c>
      <c r="H12" s="106">
        <v>450000</v>
      </c>
      <c r="I12" s="3"/>
      <c r="J12" s="106">
        <v>250000</v>
      </c>
      <c r="K12" s="63"/>
    </row>
    <row r="13" spans="1:13" ht="19" x14ac:dyDescent="0.25">
      <c r="A13" s="88" t="s">
        <v>196</v>
      </c>
      <c r="B13" s="89">
        <v>0.8</v>
      </c>
      <c r="C13" s="63" t="s">
        <v>200</v>
      </c>
      <c r="E13" s="211"/>
      <c r="F13" s="211"/>
      <c r="G13" s="105" t="s">
        <v>216</v>
      </c>
      <c r="H13" s="80">
        <f>M6</f>
        <v>7</v>
      </c>
      <c r="I13" s="113"/>
      <c r="J13" s="80">
        <f>M22</f>
        <v>5</v>
      </c>
      <c r="K13" s="63"/>
    </row>
    <row r="14" spans="1:13" x14ac:dyDescent="0.2">
      <c r="E14" s="211"/>
      <c r="F14" s="211"/>
      <c r="G14" s="107" t="s">
        <v>217</v>
      </c>
      <c r="H14" s="108">
        <f>H13*H12</f>
        <v>3150000</v>
      </c>
      <c r="I14" s="114"/>
      <c r="J14" s="108">
        <f>J13*J12</f>
        <v>1250000</v>
      </c>
      <c r="K14" s="108">
        <f>H14+J14</f>
        <v>4400000</v>
      </c>
    </row>
    <row r="15" spans="1:13" x14ac:dyDescent="0.2">
      <c r="E15" s="211"/>
      <c r="F15" s="211"/>
    </row>
    <row r="16" spans="1:13" ht="14.5" customHeight="1" x14ac:dyDescent="0.2">
      <c r="A16" s="223" t="s">
        <v>219</v>
      </c>
      <c r="B16" s="75" t="s">
        <v>183</v>
      </c>
      <c r="C16" s="109" t="s">
        <v>176</v>
      </c>
      <c r="D16" s="110"/>
      <c r="E16" s="211"/>
      <c r="F16" s="211"/>
    </row>
    <row r="17" spans="1:13" ht="14.5" customHeight="1" x14ac:dyDescent="0.2">
      <c r="A17" s="224"/>
      <c r="B17" s="63" t="s">
        <v>220</v>
      </c>
      <c r="C17" s="73">
        <v>600</v>
      </c>
      <c r="D17" s="83" t="s">
        <v>178</v>
      </c>
      <c r="E17" s="211"/>
      <c r="F17" s="211"/>
      <c r="G17" s="213" t="s">
        <v>219</v>
      </c>
      <c r="H17" s="219" t="s">
        <v>226</v>
      </c>
      <c r="I17" s="219"/>
      <c r="J17" s="219"/>
      <c r="K17" s="219"/>
      <c r="L17" s="219"/>
      <c r="M17" s="219"/>
    </row>
    <row r="18" spans="1:13" ht="15.5" customHeight="1" x14ac:dyDescent="0.2">
      <c r="A18" s="224"/>
      <c r="B18" s="63" t="s">
        <v>221</v>
      </c>
      <c r="C18" s="104">
        <f>ROUND(C17/2295,2)</f>
        <v>0.26</v>
      </c>
      <c r="D18" s="83" t="s">
        <v>178</v>
      </c>
      <c r="E18" s="211"/>
      <c r="F18" s="211"/>
      <c r="G18" s="213"/>
      <c r="H18" t="s">
        <v>210</v>
      </c>
      <c r="I18" t="s">
        <v>172</v>
      </c>
      <c r="J18" s="28">
        <f>C24</f>
        <v>120.26</v>
      </c>
      <c r="K18" s="90" t="s">
        <v>178</v>
      </c>
    </row>
    <row r="19" spans="1:13" x14ac:dyDescent="0.2">
      <c r="A19" s="224"/>
      <c r="B19" s="63" t="s">
        <v>222</v>
      </c>
      <c r="C19" s="73">
        <v>25</v>
      </c>
      <c r="D19" s="83" t="s">
        <v>178</v>
      </c>
      <c r="E19" s="211"/>
      <c r="F19" s="211"/>
      <c r="G19" s="213"/>
      <c r="H19" t="s">
        <v>209</v>
      </c>
      <c r="I19" t="s">
        <v>172</v>
      </c>
      <c r="J19" s="28">
        <v>2295</v>
      </c>
      <c r="K19" s="90" t="s">
        <v>227</v>
      </c>
    </row>
    <row r="20" spans="1:13" x14ac:dyDescent="0.2">
      <c r="A20" s="224"/>
      <c r="B20" s="63" t="s">
        <v>223</v>
      </c>
      <c r="C20" s="73">
        <v>60</v>
      </c>
      <c r="D20" s="83" t="s">
        <v>178</v>
      </c>
      <c r="E20" s="211"/>
      <c r="F20" s="211"/>
      <c r="G20" s="213"/>
      <c r="H20" t="s">
        <v>196</v>
      </c>
      <c r="I20" t="s">
        <v>172</v>
      </c>
      <c r="J20" s="28">
        <f>B13</f>
        <v>0.8</v>
      </c>
      <c r="K20" s="90"/>
    </row>
    <row r="21" spans="1:13" x14ac:dyDescent="0.2">
      <c r="A21" s="224"/>
      <c r="B21" s="63" t="s">
        <v>224</v>
      </c>
      <c r="C21" s="73">
        <v>25</v>
      </c>
      <c r="D21" s="83" t="s">
        <v>178</v>
      </c>
      <c r="E21" s="211"/>
      <c r="F21" s="211"/>
      <c r="G21" s="213"/>
      <c r="H21" t="s">
        <v>211</v>
      </c>
      <c r="I21" t="s">
        <v>172</v>
      </c>
      <c r="J21" s="28">
        <f>1350 * 60</f>
        <v>81000</v>
      </c>
      <c r="K21" s="90" t="s">
        <v>178</v>
      </c>
    </row>
    <row r="22" spans="1:13" x14ac:dyDescent="0.2">
      <c r="A22" s="224"/>
      <c r="B22" s="63" t="s">
        <v>225</v>
      </c>
      <c r="C22" s="73">
        <v>8</v>
      </c>
      <c r="D22" s="83" t="s">
        <v>178</v>
      </c>
      <c r="E22" s="211"/>
      <c r="F22" s="211"/>
      <c r="G22" s="213"/>
      <c r="H22" s="220" t="s">
        <v>212</v>
      </c>
      <c r="I22" s="221" t="s">
        <v>172</v>
      </c>
      <c r="J22" s="99">
        <f>J19</f>
        <v>2295</v>
      </c>
      <c r="K22" s="99">
        <f>J18</f>
        <v>120.26</v>
      </c>
      <c r="L22" s="97"/>
      <c r="M22" s="222">
        <f>ROUNDUP((J22*K22)/(J24*K24),0)</f>
        <v>5</v>
      </c>
    </row>
    <row r="23" spans="1:13" ht="14.5" customHeight="1" x14ac:dyDescent="0.2">
      <c r="A23" s="224"/>
      <c r="B23" s="63" t="s">
        <v>218</v>
      </c>
      <c r="C23" s="72">
        <f>1800/900</f>
        <v>2</v>
      </c>
      <c r="D23" s="83" t="s">
        <v>178</v>
      </c>
      <c r="E23" s="211"/>
      <c r="F23" s="211"/>
      <c r="G23" s="213"/>
      <c r="H23" s="220"/>
      <c r="I23" s="221"/>
      <c r="J23" s="97"/>
      <c r="K23" s="97"/>
      <c r="L23" s="98" t="s">
        <v>172</v>
      </c>
      <c r="M23" s="222"/>
    </row>
    <row r="24" spans="1:13" ht="14.5" customHeight="1" x14ac:dyDescent="0.2">
      <c r="A24" s="224"/>
      <c r="B24" s="71" t="s">
        <v>182</v>
      </c>
      <c r="C24" s="76">
        <f>ROUND(SUM(C18:C23),2)</f>
        <v>120.26</v>
      </c>
      <c r="D24" s="83" t="s">
        <v>178</v>
      </c>
      <c r="E24" s="211"/>
      <c r="F24" s="211"/>
      <c r="G24" s="213"/>
      <c r="H24" s="220"/>
      <c r="I24" s="221"/>
      <c r="J24" s="99">
        <f>J20</f>
        <v>0.8</v>
      </c>
      <c r="K24" s="99">
        <f>J21</f>
        <v>81000</v>
      </c>
      <c r="L24" s="97"/>
      <c r="M24" s="222"/>
    </row>
    <row r="25" spans="1:13" ht="14.5" customHeight="1" x14ac:dyDescent="0.2"/>
  </sheetData>
  <mergeCells count="15">
    <mergeCell ref="E1:F24"/>
    <mergeCell ref="G10:K10"/>
    <mergeCell ref="G1:G8"/>
    <mergeCell ref="C1:D1"/>
    <mergeCell ref="A1:A9"/>
    <mergeCell ref="H1:M1"/>
    <mergeCell ref="H6:H8"/>
    <mergeCell ref="I6:I8"/>
    <mergeCell ref="M6:M8"/>
    <mergeCell ref="A16:A24"/>
    <mergeCell ref="G17:G24"/>
    <mergeCell ref="H17:M17"/>
    <mergeCell ref="H22:H24"/>
    <mergeCell ref="I22:I24"/>
    <mergeCell ref="M22:M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DC7F-1775-4B98-93AA-A1CB1C0A3566}">
  <sheetPr>
    <tabColor rgb="FFC00000"/>
  </sheetPr>
  <dimension ref="A1:M24"/>
  <sheetViews>
    <sheetView showGridLines="0" tabSelected="1" zoomScaleNormal="100" workbookViewId="0">
      <selection activeCell="G1" sqref="G1:G8"/>
    </sheetView>
  </sheetViews>
  <sheetFormatPr baseColWidth="10" defaultColWidth="8.83203125" defaultRowHeight="15" x14ac:dyDescent="0.2"/>
  <cols>
    <col min="1" max="1" width="16" bestFit="1" customWidth="1"/>
    <col min="2" max="2" width="23.1640625" bestFit="1" customWidth="1"/>
    <col min="3" max="3" width="6.83203125" bestFit="1" customWidth="1"/>
    <col min="7" max="7" width="9.5" customWidth="1"/>
    <col min="8" max="8" width="14.6640625" bestFit="1" customWidth="1"/>
    <col min="9" max="9" width="2" bestFit="1" customWidth="1"/>
    <col min="10" max="10" width="11" customWidth="1"/>
    <col min="11" max="11" width="11.5" customWidth="1"/>
    <col min="12" max="12" width="2" bestFit="1" customWidth="1"/>
  </cols>
  <sheetData>
    <row r="1" spans="1:13" ht="14.5" customHeight="1" x14ac:dyDescent="0.2">
      <c r="A1" s="225" t="s">
        <v>167</v>
      </c>
      <c r="B1" s="74" t="s">
        <v>175</v>
      </c>
      <c r="C1" s="226" t="s">
        <v>176</v>
      </c>
      <c r="D1" s="226"/>
      <c r="E1" s="211" t="s">
        <v>208</v>
      </c>
      <c r="F1" s="211"/>
      <c r="G1" s="213" t="s">
        <v>167</v>
      </c>
      <c r="H1" s="230" t="s">
        <v>76</v>
      </c>
      <c r="I1" s="230"/>
      <c r="J1" s="230"/>
      <c r="K1" s="230"/>
      <c r="L1" s="230"/>
      <c r="M1" s="230"/>
    </row>
    <row r="2" spans="1:13" x14ac:dyDescent="0.2">
      <c r="A2" s="225"/>
      <c r="B2" s="63" t="s">
        <v>177</v>
      </c>
      <c r="C2" s="72">
        <f>(15*60)</f>
        <v>900</v>
      </c>
      <c r="D2" s="83" t="s">
        <v>178</v>
      </c>
      <c r="E2" s="211"/>
      <c r="F2" s="211"/>
      <c r="G2" s="213"/>
      <c r="H2" t="s">
        <v>210</v>
      </c>
      <c r="I2" t="s">
        <v>172</v>
      </c>
      <c r="J2" s="28">
        <f>C9</f>
        <v>129.38999999999999</v>
      </c>
      <c r="K2" s="90" t="s">
        <v>178</v>
      </c>
    </row>
    <row r="3" spans="1:13" x14ac:dyDescent="0.2">
      <c r="A3" s="225"/>
      <c r="B3" s="63" t="s">
        <v>207</v>
      </c>
      <c r="C3" s="72">
        <f>ROUND(900/2295,2)</f>
        <v>0.39</v>
      </c>
      <c r="D3" s="83" t="s">
        <v>178</v>
      </c>
      <c r="E3" s="211"/>
      <c r="F3" s="211"/>
      <c r="G3" s="213"/>
      <c r="H3" t="s">
        <v>209</v>
      </c>
      <c r="I3" t="s">
        <v>172</v>
      </c>
      <c r="J3" s="28">
        <v>2295</v>
      </c>
    </row>
    <row r="4" spans="1:13" x14ac:dyDescent="0.2">
      <c r="A4" s="225"/>
      <c r="B4" s="63" t="s">
        <v>179</v>
      </c>
      <c r="C4" s="72">
        <v>30</v>
      </c>
      <c r="D4" s="83" t="s">
        <v>178</v>
      </c>
      <c r="E4" s="211"/>
      <c r="F4" s="211"/>
      <c r="G4" s="213"/>
      <c r="H4" t="s">
        <v>196</v>
      </c>
      <c r="I4" t="s">
        <v>172</v>
      </c>
      <c r="J4" s="28">
        <f>Workhours!D17</f>
        <v>0.8</v>
      </c>
    </row>
    <row r="5" spans="1:13" x14ac:dyDescent="0.2">
      <c r="A5" s="225"/>
      <c r="B5" s="78" t="s">
        <v>30</v>
      </c>
      <c r="C5" s="72">
        <v>64</v>
      </c>
      <c r="D5" s="83" t="s">
        <v>178</v>
      </c>
      <c r="E5" s="211"/>
      <c r="F5" s="211"/>
      <c r="G5" s="213"/>
      <c r="H5" t="s">
        <v>211</v>
      </c>
      <c r="I5" t="s">
        <v>172</v>
      </c>
      <c r="J5" s="28">
        <f>1350 * 60</f>
        <v>81000</v>
      </c>
      <c r="K5" s="90" t="s">
        <v>178</v>
      </c>
    </row>
    <row r="6" spans="1:13" ht="14.5" customHeight="1" x14ac:dyDescent="0.2">
      <c r="A6" s="225"/>
      <c r="B6" s="63" t="s">
        <v>180</v>
      </c>
      <c r="C6" s="72">
        <v>30</v>
      </c>
      <c r="D6" s="83" t="s">
        <v>178</v>
      </c>
      <c r="E6" s="211"/>
      <c r="F6" s="211"/>
      <c r="G6" s="213"/>
      <c r="H6" s="220" t="s">
        <v>212</v>
      </c>
      <c r="I6" s="221" t="s">
        <v>172</v>
      </c>
      <c r="J6" s="99">
        <f>J3</f>
        <v>2295</v>
      </c>
      <c r="K6" s="99">
        <f>J2</f>
        <v>129.38999999999999</v>
      </c>
      <c r="L6" s="97"/>
      <c r="M6" s="222">
        <f>ROUNDUP((J6*K6)/(J8*K8),0)</f>
        <v>5</v>
      </c>
    </row>
    <row r="7" spans="1:13" ht="15.5" customHeight="1" x14ac:dyDescent="0.2">
      <c r="A7" s="225"/>
      <c r="B7" s="63" t="s">
        <v>181</v>
      </c>
      <c r="C7" s="72">
        <v>4</v>
      </c>
      <c r="D7" s="83" t="s">
        <v>178</v>
      </c>
      <c r="E7" s="211"/>
      <c r="F7" s="211"/>
      <c r="G7" s="213"/>
      <c r="H7" s="220"/>
      <c r="I7" s="221"/>
      <c r="J7" s="97"/>
      <c r="K7" s="97"/>
      <c r="L7" s="98" t="s">
        <v>172</v>
      </c>
      <c r="M7" s="222"/>
    </row>
    <row r="8" spans="1:13" ht="14.5" customHeight="1" x14ac:dyDescent="0.2">
      <c r="A8" s="225"/>
      <c r="B8" s="63" t="s">
        <v>184</v>
      </c>
      <c r="C8" s="72">
        <f>900/900</f>
        <v>1</v>
      </c>
      <c r="D8" s="83" t="s">
        <v>178</v>
      </c>
      <c r="E8" s="211"/>
      <c r="F8" s="211"/>
      <c r="G8" s="213"/>
      <c r="H8" s="220"/>
      <c r="I8" s="221"/>
      <c r="J8" s="99">
        <f>J4</f>
        <v>0.8</v>
      </c>
      <c r="K8" s="99">
        <f>J5</f>
        <v>81000</v>
      </c>
      <c r="L8" s="97"/>
      <c r="M8" s="222"/>
    </row>
    <row r="9" spans="1:13" x14ac:dyDescent="0.2">
      <c r="A9" s="225"/>
      <c r="B9" s="71" t="s">
        <v>182</v>
      </c>
      <c r="C9" s="77">
        <f>ROUND(SUM(C3:C8), 2)</f>
        <v>129.38999999999999</v>
      </c>
      <c r="D9" s="83" t="s">
        <v>178</v>
      </c>
      <c r="E9" s="211"/>
      <c r="F9" s="211"/>
    </row>
    <row r="10" spans="1:13" ht="16" x14ac:dyDescent="0.2">
      <c r="E10" s="211"/>
      <c r="F10" s="211"/>
      <c r="G10" s="212" t="s">
        <v>208</v>
      </c>
      <c r="H10" s="212"/>
      <c r="I10" s="212"/>
      <c r="J10" s="212"/>
      <c r="K10" s="212"/>
    </row>
    <row r="11" spans="1:13" x14ac:dyDescent="0.2">
      <c r="E11" s="211"/>
      <c r="F11" s="211"/>
      <c r="G11" s="105" t="s">
        <v>96</v>
      </c>
      <c r="H11" s="63" t="s">
        <v>76</v>
      </c>
      <c r="I11" s="3"/>
      <c r="J11" s="63" t="s">
        <v>77</v>
      </c>
      <c r="K11" s="63"/>
    </row>
    <row r="12" spans="1:13" ht="19" x14ac:dyDescent="0.25">
      <c r="A12" s="88" t="s">
        <v>199</v>
      </c>
      <c r="B12" s="95">
        <f>Crankshaft!B12</f>
        <v>81000</v>
      </c>
      <c r="C12" s="63" t="s">
        <v>178</v>
      </c>
      <c r="E12" s="211"/>
      <c r="F12" s="211"/>
      <c r="G12" s="105" t="s">
        <v>215</v>
      </c>
      <c r="H12" s="106">
        <v>450000</v>
      </c>
      <c r="I12" s="3"/>
      <c r="J12" s="106">
        <v>350000</v>
      </c>
      <c r="K12" s="63"/>
    </row>
    <row r="13" spans="1:13" ht="19" x14ac:dyDescent="0.25">
      <c r="A13" s="88" t="s">
        <v>196</v>
      </c>
      <c r="B13" s="89">
        <v>0.8</v>
      </c>
      <c r="C13" s="63" t="s">
        <v>200</v>
      </c>
      <c r="E13" s="211"/>
      <c r="F13" s="211"/>
      <c r="G13" s="105" t="s">
        <v>216</v>
      </c>
      <c r="H13" s="80">
        <f>M6</f>
        <v>5</v>
      </c>
      <c r="I13" s="113"/>
      <c r="J13" s="80">
        <f>M22</f>
        <v>4</v>
      </c>
      <c r="K13" s="63"/>
    </row>
    <row r="14" spans="1:13" x14ac:dyDescent="0.2">
      <c r="E14" s="211"/>
      <c r="F14" s="211"/>
      <c r="G14" s="107" t="s">
        <v>217</v>
      </c>
      <c r="H14" s="108">
        <f>H13*H12</f>
        <v>2250000</v>
      </c>
      <c r="I14" s="114"/>
      <c r="J14" s="108">
        <f>J13*J12</f>
        <v>1400000</v>
      </c>
      <c r="K14" s="108">
        <f>H14+J14</f>
        <v>3650000</v>
      </c>
    </row>
    <row r="15" spans="1:13" x14ac:dyDescent="0.2">
      <c r="E15" s="211"/>
      <c r="F15" s="211"/>
    </row>
    <row r="16" spans="1:13" x14ac:dyDescent="0.2">
      <c r="A16" s="229" t="s">
        <v>166</v>
      </c>
      <c r="B16" s="75" t="s">
        <v>183</v>
      </c>
      <c r="C16" s="227" t="s">
        <v>176</v>
      </c>
      <c r="D16" s="228"/>
      <c r="E16" s="211"/>
      <c r="F16" s="211"/>
    </row>
    <row r="17" spans="1:13" ht="14.5" customHeight="1" x14ac:dyDescent="0.2">
      <c r="A17" s="229"/>
      <c r="B17" s="63" t="s">
        <v>177</v>
      </c>
      <c r="C17" s="73">
        <v>120</v>
      </c>
      <c r="D17" s="83" t="s">
        <v>178</v>
      </c>
      <c r="E17" s="211"/>
      <c r="F17" s="211"/>
      <c r="G17" s="230" t="s">
        <v>77</v>
      </c>
      <c r="H17" s="230"/>
      <c r="I17" s="230"/>
      <c r="J17" s="230"/>
      <c r="K17" s="230"/>
      <c r="L17" s="230"/>
      <c r="M17" s="230"/>
    </row>
    <row r="18" spans="1:13" ht="14.5" customHeight="1" x14ac:dyDescent="0.2">
      <c r="A18" s="229"/>
      <c r="B18" s="63" t="s">
        <v>207</v>
      </c>
      <c r="C18" s="104">
        <f>ROUND(C17/2295,2)</f>
        <v>0.05</v>
      </c>
      <c r="D18" s="83" t="s">
        <v>178</v>
      </c>
      <c r="E18" s="211"/>
      <c r="F18" s="211"/>
      <c r="G18" s="213" t="s">
        <v>166</v>
      </c>
      <c r="H18" t="s">
        <v>210</v>
      </c>
      <c r="I18" t="s">
        <v>172</v>
      </c>
      <c r="J18" s="28">
        <f>C24</f>
        <v>96.05</v>
      </c>
      <c r="K18" t="s">
        <v>178</v>
      </c>
    </row>
    <row r="19" spans="1:13" x14ac:dyDescent="0.2">
      <c r="A19" s="229"/>
      <c r="B19" s="63" t="s">
        <v>179</v>
      </c>
      <c r="C19" s="73">
        <v>30</v>
      </c>
      <c r="D19" s="83" t="s">
        <v>178</v>
      </c>
      <c r="E19" s="211"/>
      <c r="F19" s="211"/>
      <c r="G19" s="213"/>
      <c r="H19" t="s">
        <v>209</v>
      </c>
      <c r="I19" t="s">
        <v>172</v>
      </c>
      <c r="J19" s="28">
        <v>2295</v>
      </c>
    </row>
    <row r="20" spans="1:13" x14ac:dyDescent="0.2">
      <c r="A20" s="229"/>
      <c r="B20" s="63" t="s">
        <v>30</v>
      </c>
      <c r="C20" s="73">
        <v>32</v>
      </c>
      <c r="D20" s="83" t="s">
        <v>178</v>
      </c>
      <c r="E20" s="211"/>
      <c r="F20" s="211"/>
      <c r="G20" s="213"/>
      <c r="H20" t="s">
        <v>196</v>
      </c>
      <c r="I20" t="s">
        <v>172</v>
      </c>
      <c r="J20" s="28">
        <v>0.8</v>
      </c>
    </row>
    <row r="21" spans="1:13" x14ac:dyDescent="0.2">
      <c r="A21" s="229"/>
      <c r="B21" s="63" t="s">
        <v>180</v>
      </c>
      <c r="C21" s="73">
        <v>30</v>
      </c>
      <c r="D21" s="83" t="s">
        <v>178</v>
      </c>
      <c r="E21" s="211"/>
      <c r="F21" s="211"/>
      <c r="G21" s="213"/>
      <c r="H21" t="s">
        <v>211</v>
      </c>
      <c r="I21" t="s">
        <v>172</v>
      </c>
      <c r="J21" s="28">
        <f>B12</f>
        <v>81000</v>
      </c>
      <c r="K21" t="s">
        <v>178</v>
      </c>
    </row>
    <row r="22" spans="1:13" ht="14.5" customHeight="1" x14ac:dyDescent="0.2">
      <c r="A22" s="229"/>
      <c r="B22" s="63" t="s">
        <v>181</v>
      </c>
      <c r="C22" s="73">
        <v>2</v>
      </c>
      <c r="D22" s="83" t="s">
        <v>178</v>
      </c>
      <c r="E22" s="211"/>
      <c r="F22" s="211"/>
      <c r="G22" s="213"/>
      <c r="H22" s="220" t="s">
        <v>212</v>
      </c>
      <c r="I22" s="221" t="s">
        <v>172</v>
      </c>
      <c r="J22" s="99">
        <f>J19</f>
        <v>2295</v>
      </c>
      <c r="K22" s="99">
        <f>J18</f>
        <v>96.05</v>
      </c>
      <c r="L22" s="97"/>
      <c r="M22" s="222">
        <f>ROUNDUP((J22*K22)/(J24*K24),0)</f>
        <v>4</v>
      </c>
    </row>
    <row r="23" spans="1:13" x14ac:dyDescent="0.2">
      <c r="A23" s="229"/>
      <c r="B23" s="91" t="s">
        <v>218</v>
      </c>
      <c r="C23" s="73">
        <v>2</v>
      </c>
      <c r="D23" s="63" t="s">
        <v>178</v>
      </c>
      <c r="E23" s="211"/>
      <c r="F23" s="211"/>
      <c r="G23" s="213"/>
      <c r="H23" s="220"/>
      <c r="I23" s="221"/>
      <c r="J23" s="97"/>
      <c r="K23" s="97"/>
      <c r="L23" s="98" t="s">
        <v>172</v>
      </c>
      <c r="M23" s="222"/>
    </row>
    <row r="24" spans="1:13" x14ac:dyDescent="0.2">
      <c r="A24" s="229"/>
      <c r="B24" s="71" t="s">
        <v>182</v>
      </c>
      <c r="C24" s="76">
        <f>ROUND(SUM(C18:C23),2)</f>
        <v>96.05</v>
      </c>
      <c r="D24" s="83" t="s">
        <v>178</v>
      </c>
      <c r="E24" s="211"/>
      <c r="F24" s="211"/>
      <c r="G24" s="213"/>
      <c r="H24" s="220"/>
      <c r="I24" s="221"/>
      <c r="J24" s="99">
        <f>J20</f>
        <v>0.8</v>
      </c>
      <c r="K24" s="99">
        <f>J21</f>
        <v>81000</v>
      </c>
      <c r="L24" s="97"/>
      <c r="M24" s="222"/>
    </row>
  </sheetData>
  <mergeCells count="17">
    <mergeCell ref="G17:M17"/>
    <mergeCell ref="G18:G24"/>
    <mergeCell ref="H22:H24"/>
    <mergeCell ref="I22:I24"/>
    <mergeCell ref="M22:M24"/>
    <mergeCell ref="G10:K10"/>
    <mergeCell ref="G1:G8"/>
    <mergeCell ref="H6:H8"/>
    <mergeCell ref="I6:I8"/>
    <mergeCell ref="H1:M1"/>
    <mergeCell ref="M6:M8"/>
    <mergeCell ref="A1:A9"/>
    <mergeCell ref="C1:D1"/>
    <mergeCell ref="C16:D16"/>
    <mergeCell ref="E1:F23"/>
    <mergeCell ref="E24:F24"/>
    <mergeCell ref="A16:A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1E45-60A6-4E63-9D07-4F197862F188}">
  <sheetPr>
    <tabColor rgb="FF00B0F0"/>
  </sheetPr>
  <dimension ref="A1:J9"/>
  <sheetViews>
    <sheetView showGridLines="0" workbookViewId="0">
      <selection activeCell="B9" sqref="B9"/>
    </sheetView>
  </sheetViews>
  <sheetFormatPr baseColWidth="10" defaultColWidth="8.83203125" defaultRowHeight="15" x14ac:dyDescent="0.2"/>
  <cols>
    <col min="1" max="1" width="29.33203125" customWidth="1"/>
    <col min="2" max="2" width="12" customWidth="1"/>
    <col min="3" max="3" width="11.1640625" customWidth="1"/>
    <col min="5" max="5" width="15.83203125" customWidth="1"/>
    <col min="7" max="7" width="13.83203125" bestFit="1" customWidth="1"/>
    <col min="8" max="8" width="2" customWidth="1"/>
  </cols>
  <sheetData>
    <row r="1" spans="1:10" x14ac:dyDescent="0.2">
      <c r="A1" s="235"/>
      <c r="B1" s="231" t="s">
        <v>198</v>
      </c>
      <c r="C1" s="232"/>
      <c r="D1" s="233" t="s">
        <v>208</v>
      </c>
      <c r="E1" s="234"/>
      <c r="G1" t="s">
        <v>209</v>
      </c>
      <c r="H1" t="s">
        <v>172</v>
      </c>
      <c r="I1">
        <v>2295</v>
      </c>
      <c r="J1" s="90" t="s">
        <v>227</v>
      </c>
    </row>
    <row r="2" spans="1:10" x14ac:dyDescent="0.2">
      <c r="A2" s="236"/>
      <c r="B2" s="117" t="s">
        <v>167</v>
      </c>
      <c r="C2" s="126" t="s">
        <v>219</v>
      </c>
      <c r="D2" s="124" t="s">
        <v>167</v>
      </c>
      <c r="E2" s="118" t="s">
        <v>166</v>
      </c>
    </row>
    <row r="3" spans="1:10" x14ac:dyDescent="0.2">
      <c r="A3" s="115" t="s">
        <v>228</v>
      </c>
      <c r="B3" s="123">
        <f>I1/B4</f>
        <v>327.85714285714283</v>
      </c>
      <c r="C3" s="127">
        <f>I1/C4</f>
        <v>459</v>
      </c>
      <c r="D3" s="125">
        <f>I1/D4</f>
        <v>459</v>
      </c>
      <c r="E3" s="120">
        <f>I1/E4</f>
        <v>573.75</v>
      </c>
    </row>
    <row r="4" spans="1:10" x14ac:dyDescent="0.2">
      <c r="A4" s="115" t="s">
        <v>229</v>
      </c>
      <c r="B4" s="119">
        <f>Crankshaft!M6</f>
        <v>7</v>
      </c>
      <c r="C4" s="127">
        <f>Crankshaft!M22</f>
        <v>5</v>
      </c>
      <c r="D4" s="125">
        <f>Camshaft!M6</f>
        <v>5</v>
      </c>
      <c r="E4" s="120">
        <f>Camshaft!M22</f>
        <v>4</v>
      </c>
    </row>
    <row r="5" spans="1:10" ht="16" thickBot="1" x14ac:dyDescent="0.25">
      <c r="A5" s="122" t="s">
        <v>233</v>
      </c>
      <c r="B5" s="237">
        <f>B4+C4</f>
        <v>12</v>
      </c>
      <c r="C5" s="238"/>
      <c r="D5" s="239">
        <f>D4+E4</f>
        <v>9</v>
      </c>
      <c r="E5" s="240"/>
    </row>
    <row r="6" spans="1:10" ht="16" thickBot="1" x14ac:dyDescent="0.25"/>
    <row r="7" spans="1:10" x14ac:dyDescent="0.2">
      <c r="A7" s="121" t="s">
        <v>230</v>
      </c>
      <c r="B7" s="171">
        <f>B4+D4</f>
        <v>12</v>
      </c>
    </row>
    <row r="8" spans="1:10" x14ac:dyDescent="0.2">
      <c r="A8" s="115" t="s">
        <v>231</v>
      </c>
      <c r="B8" s="172">
        <f>E4</f>
        <v>4</v>
      </c>
    </row>
    <row r="9" spans="1:10" ht="16" thickBot="1" x14ac:dyDescent="0.25">
      <c r="A9" s="116" t="s">
        <v>232</v>
      </c>
      <c r="B9" s="173">
        <f>C4</f>
        <v>5</v>
      </c>
    </row>
  </sheetData>
  <mergeCells count="5">
    <mergeCell ref="B1:C1"/>
    <mergeCell ref="D1:E1"/>
    <mergeCell ref="A1:A2"/>
    <mergeCell ref="B5:C5"/>
    <mergeCell ref="D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D6E1-3FF0-41C3-9C81-418B82A0DBE2}">
  <sheetPr>
    <tabColor rgb="FF00B0F0"/>
  </sheetPr>
  <dimension ref="A1:J26"/>
  <sheetViews>
    <sheetView showGridLines="0" zoomScale="115" zoomScaleNormal="115" workbookViewId="0">
      <selection activeCell="H20" sqref="H20"/>
    </sheetView>
  </sheetViews>
  <sheetFormatPr baseColWidth="10" defaultColWidth="8.83203125" defaultRowHeight="15" x14ac:dyDescent="0.2"/>
  <cols>
    <col min="1" max="1" width="4" bestFit="1" customWidth="1"/>
    <col min="2" max="2" width="46.33203125" customWidth="1"/>
    <col min="3" max="3" width="12.6640625" customWidth="1"/>
    <col min="4" max="4" width="18.5" bestFit="1" customWidth="1"/>
    <col min="5" max="5" width="10.83203125" customWidth="1"/>
    <col min="6" max="6" width="4.6640625" customWidth="1"/>
    <col min="7" max="7" width="24.6640625" bestFit="1" customWidth="1"/>
    <col min="8" max="9" width="13.33203125" bestFit="1" customWidth="1"/>
    <col min="10" max="10" width="9.83203125" customWidth="1"/>
  </cols>
  <sheetData>
    <row r="1" spans="1:10" x14ac:dyDescent="0.2">
      <c r="A1" s="242" t="s">
        <v>236</v>
      </c>
      <c r="B1" s="242"/>
      <c r="C1">
        <v>2295</v>
      </c>
      <c r="G1" t="s">
        <v>190</v>
      </c>
      <c r="H1">
        <v>3</v>
      </c>
    </row>
    <row r="2" spans="1:10" x14ac:dyDescent="0.2">
      <c r="A2" s="242" t="s">
        <v>237</v>
      </c>
      <c r="B2" s="242"/>
      <c r="C2">
        <f>C1/H1</f>
        <v>765</v>
      </c>
      <c r="G2" t="s">
        <v>376</v>
      </c>
      <c r="H2">
        <f>C2/C6</f>
        <v>102</v>
      </c>
      <c r="I2" s="169" t="s">
        <v>380</v>
      </c>
    </row>
    <row r="3" spans="1:10" x14ac:dyDescent="0.2">
      <c r="A3" s="242" t="s">
        <v>238</v>
      </c>
      <c r="B3" s="242"/>
      <c r="C3">
        <f>Workhours!B4</f>
        <v>257</v>
      </c>
      <c r="G3" t="s">
        <v>377</v>
      </c>
      <c r="H3">
        <f>C2/D6</f>
        <v>1.7</v>
      </c>
      <c r="I3" s="169" t="s">
        <v>379</v>
      </c>
    </row>
    <row r="4" spans="1:10" x14ac:dyDescent="0.2">
      <c r="A4" s="242" t="s">
        <v>239</v>
      </c>
      <c r="B4" s="242"/>
      <c r="C4">
        <f>C5*C3</f>
        <v>5782.5</v>
      </c>
      <c r="G4" s="177" t="s">
        <v>399</v>
      </c>
      <c r="H4" s="177">
        <v>2</v>
      </c>
    </row>
    <row r="5" spans="1:10" x14ac:dyDescent="0.2">
      <c r="A5" s="242" t="s">
        <v>234</v>
      </c>
      <c r="B5" s="242"/>
      <c r="C5">
        <f>C6*3</f>
        <v>22.5</v>
      </c>
      <c r="G5" s="28" t="s">
        <v>413</v>
      </c>
      <c r="H5" s="28">
        <f>ROUND(C22/H22, 2)</f>
        <v>47.35</v>
      </c>
    </row>
    <row r="6" spans="1:10" x14ac:dyDescent="0.2">
      <c r="A6" s="242" t="s">
        <v>235</v>
      </c>
      <c r="B6" s="242"/>
      <c r="C6">
        <f>Workhours!B8</f>
        <v>7.5</v>
      </c>
      <c r="D6" s="170">
        <f>C6*60</f>
        <v>450</v>
      </c>
      <c r="E6" s="169" t="s">
        <v>378</v>
      </c>
      <c r="G6" s="71" t="s">
        <v>414</v>
      </c>
      <c r="H6" s="198" t="str">
        <f>IF(H5 &lt;= Workhours!$E$25,"OK","NOT OK")</f>
        <v>OK</v>
      </c>
    </row>
    <row r="7" spans="1:10" x14ac:dyDescent="0.2">
      <c r="A7" s="243" t="s">
        <v>416</v>
      </c>
      <c r="B7" s="243"/>
      <c r="C7">
        <f>D6*60*H4*0.8</f>
        <v>43200</v>
      </c>
      <c r="D7" s="169" t="s">
        <v>415</v>
      </c>
    </row>
    <row r="9" spans="1:10" x14ac:dyDescent="0.2">
      <c r="A9" s="105" t="s">
        <v>329</v>
      </c>
      <c r="B9" s="105" t="s">
        <v>381</v>
      </c>
      <c r="C9" s="105" t="s">
        <v>382</v>
      </c>
      <c r="D9" s="105" t="s">
        <v>383</v>
      </c>
      <c r="E9" s="241" t="s">
        <v>384</v>
      </c>
      <c r="F9" s="241"/>
      <c r="G9" s="105" t="s">
        <v>385</v>
      </c>
      <c r="H9" s="105" t="s">
        <v>386</v>
      </c>
      <c r="I9" s="105" t="s">
        <v>387</v>
      </c>
      <c r="J9" s="105" t="s">
        <v>417</v>
      </c>
    </row>
    <row r="10" spans="1:10" x14ac:dyDescent="0.2">
      <c r="A10" s="113">
        <v>1</v>
      </c>
      <c r="B10" s="75" t="s">
        <v>388</v>
      </c>
      <c r="C10" s="63">
        <v>130</v>
      </c>
      <c r="D10" s="187">
        <f>$C$2*C10</f>
        <v>99450</v>
      </c>
      <c r="E10" s="193">
        <f t="shared" ref="E10:E21" si="0">$C$7</f>
        <v>43200</v>
      </c>
      <c r="F10" s="194" t="s">
        <v>178</v>
      </c>
      <c r="G10" s="63">
        <f>D10/E10</f>
        <v>2.3020833333333335</v>
      </c>
      <c r="H10" s="63">
        <f>ROUNDUP(G10,0)</f>
        <v>3</v>
      </c>
      <c r="I10" s="178">
        <f>ROUND(G10/H10, 2)</f>
        <v>0.77</v>
      </c>
      <c r="J10" s="197" t="str">
        <f>IF((C10/H10)&lt;=Workhours!$E$25, "OK", "NOT OK")</f>
        <v>OK</v>
      </c>
    </row>
    <row r="11" spans="1:10" x14ac:dyDescent="0.2">
      <c r="A11" s="113">
        <v>2</v>
      </c>
      <c r="B11" s="75" t="s">
        <v>389</v>
      </c>
      <c r="C11" s="63">
        <v>160</v>
      </c>
      <c r="D11" s="187">
        <f t="shared" ref="D11:D21" si="1">$C$2*C11</f>
        <v>122400</v>
      </c>
      <c r="E11" s="193">
        <f t="shared" si="0"/>
        <v>43200</v>
      </c>
      <c r="F11" s="194" t="s">
        <v>178</v>
      </c>
      <c r="G11" s="63">
        <f t="shared" ref="G11:G21" si="2">D11/E11</f>
        <v>2.8333333333333335</v>
      </c>
      <c r="H11" s="63">
        <f t="shared" ref="H11:H21" si="3">ROUNDUP(G11,0)</f>
        <v>3</v>
      </c>
      <c r="I11" s="178">
        <f t="shared" ref="I11:I21" si="4">ROUND(G11/H11, 2)</f>
        <v>0.94</v>
      </c>
      <c r="J11" s="197" t="str">
        <f>IF((C11/H11)&lt;=Workhours!$E$25, "OK", "NOT OK")</f>
        <v>OK</v>
      </c>
    </row>
    <row r="12" spans="1:10" x14ac:dyDescent="0.2">
      <c r="A12" s="113">
        <v>3</v>
      </c>
      <c r="B12" s="75" t="s">
        <v>390</v>
      </c>
      <c r="C12" s="63">
        <v>300</v>
      </c>
      <c r="D12" s="187">
        <f t="shared" si="1"/>
        <v>229500</v>
      </c>
      <c r="E12" s="193">
        <f t="shared" si="0"/>
        <v>43200</v>
      </c>
      <c r="F12" s="194" t="s">
        <v>178</v>
      </c>
      <c r="G12" s="63">
        <f t="shared" si="2"/>
        <v>5.3125</v>
      </c>
      <c r="H12" s="63">
        <f t="shared" si="3"/>
        <v>6</v>
      </c>
      <c r="I12" s="178">
        <f t="shared" si="4"/>
        <v>0.89</v>
      </c>
      <c r="J12" s="197" t="str">
        <f>IF((C12/H12)&lt;=Workhours!$E$25, "OK", "NOT OK")</f>
        <v>OK</v>
      </c>
    </row>
    <row r="13" spans="1:10" x14ac:dyDescent="0.2">
      <c r="A13" s="113">
        <v>4</v>
      </c>
      <c r="B13" s="75" t="s">
        <v>391</v>
      </c>
      <c r="C13" s="63">
        <v>160</v>
      </c>
      <c r="D13" s="187">
        <f t="shared" si="1"/>
        <v>122400</v>
      </c>
      <c r="E13" s="193">
        <f t="shared" si="0"/>
        <v>43200</v>
      </c>
      <c r="F13" s="194" t="s">
        <v>178</v>
      </c>
      <c r="G13" s="63">
        <f t="shared" si="2"/>
        <v>2.8333333333333335</v>
      </c>
      <c r="H13" s="63">
        <f t="shared" si="3"/>
        <v>3</v>
      </c>
      <c r="I13" s="178">
        <f t="shared" si="4"/>
        <v>0.94</v>
      </c>
      <c r="J13" s="197" t="str">
        <f>IF((C13/H13)&lt;=Workhours!$E$25, "OK", "NOT OK")</f>
        <v>OK</v>
      </c>
    </row>
    <row r="14" spans="1:10" x14ac:dyDescent="0.2">
      <c r="A14" s="113">
        <v>5</v>
      </c>
      <c r="B14" s="75" t="s">
        <v>392</v>
      </c>
      <c r="C14" s="63">
        <v>140</v>
      </c>
      <c r="D14" s="187">
        <f t="shared" si="1"/>
        <v>107100</v>
      </c>
      <c r="E14" s="193">
        <f t="shared" si="0"/>
        <v>43200</v>
      </c>
      <c r="F14" s="194" t="s">
        <v>178</v>
      </c>
      <c r="G14" s="63">
        <f t="shared" si="2"/>
        <v>2.4791666666666665</v>
      </c>
      <c r="H14" s="63">
        <f t="shared" si="3"/>
        <v>3</v>
      </c>
      <c r="I14" s="178">
        <f t="shared" si="4"/>
        <v>0.83</v>
      </c>
      <c r="J14" s="197" t="str">
        <f>IF((C14/H14)&lt;=Workhours!$E$25, "OK", "NOT OK")</f>
        <v>OK</v>
      </c>
    </row>
    <row r="15" spans="1:10" x14ac:dyDescent="0.2">
      <c r="A15" s="113">
        <v>6</v>
      </c>
      <c r="B15" s="75" t="s">
        <v>393</v>
      </c>
      <c r="C15" s="63">
        <v>150</v>
      </c>
      <c r="D15" s="187">
        <f t="shared" si="1"/>
        <v>114750</v>
      </c>
      <c r="E15" s="193">
        <f t="shared" si="0"/>
        <v>43200</v>
      </c>
      <c r="F15" s="194" t="s">
        <v>178</v>
      </c>
      <c r="G15" s="63">
        <f t="shared" si="2"/>
        <v>2.65625</v>
      </c>
      <c r="H15" s="63">
        <f t="shared" si="3"/>
        <v>3</v>
      </c>
      <c r="I15" s="178">
        <f t="shared" si="4"/>
        <v>0.89</v>
      </c>
      <c r="J15" s="197" t="str">
        <f>IF((C15/H15)&lt;=Workhours!$E$25, "OK", "NOT OK")</f>
        <v>OK</v>
      </c>
    </row>
    <row r="16" spans="1:10" x14ac:dyDescent="0.2">
      <c r="A16" s="113">
        <v>7</v>
      </c>
      <c r="B16" s="75" t="s">
        <v>394</v>
      </c>
      <c r="C16" s="63">
        <v>90</v>
      </c>
      <c r="D16" s="187">
        <f t="shared" si="1"/>
        <v>68850</v>
      </c>
      <c r="E16" s="193">
        <f t="shared" si="0"/>
        <v>43200</v>
      </c>
      <c r="F16" s="194" t="s">
        <v>178</v>
      </c>
      <c r="G16" s="63">
        <f t="shared" si="2"/>
        <v>1.59375</v>
      </c>
      <c r="H16" s="63">
        <f t="shared" si="3"/>
        <v>2</v>
      </c>
      <c r="I16" s="178">
        <f t="shared" si="4"/>
        <v>0.8</v>
      </c>
      <c r="J16" s="197" t="str">
        <f>IF((C16/H16)&lt;=Workhours!$E$25, "OK", "NOT OK")</f>
        <v>OK</v>
      </c>
    </row>
    <row r="17" spans="1:10" x14ac:dyDescent="0.2">
      <c r="A17" s="113">
        <v>8</v>
      </c>
      <c r="B17" s="75" t="s">
        <v>395</v>
      </c>
      <c r="C17" s="63">
        <v>90</v>
      </c>
      <c r="D17" s="187">
        <f t="shared" si="1"/>
        <v>68850</v>
      </c>
      <c r="E17" s="193">
        <f t="shared" si="0"/>
        <v>43200</v>
      </c>
      <c r="F17" s="194" t="s">
        <v>178</v>
      </c>
      <c r="G17" s="63">
        <f t="shared" si="2"/>
        <v>1.59375</v>
      </c>
      <c r="H17" s="63">
        <f t="shared" si="3"/>
        <v>2</v>
      </c>
      <c r="I17" s="178">
        <f t="shared" si="4"/>
        <v>0.8</v>
      </c>
      <c r="J17" s="197" t="str">
        <f>IF((C17/H17)&lt;=Workhours!$E$25, "OK", "NOT OK")</f>
        <v>OK</v>
      </c>
    </row>
    <row r="18" spans="1:10" x14ac:dyDescent="0.2">
      <c r="A18" s="113">
        <v>9</v>
      </c>
      <c r="B18" s="75" t="s">
        <v>396</v>
      </c>
      <c r="C18" s="63">
        <v>90</v>
      </c>
      <c r="D18" s="187">
        <f t="shared" si="1"/>
        <v>68850</v>
      </c>
      <c r="E18" s="193">
        <f t="shared" si="0"/>
        <v>43200</v>
      </c>
      <c r="F18" s="194" t="s">
        <v>178</v>
      </c>
      <c r="G18" s="63">
        <f t="shared" si="2"/>
        <v>1.59375</v>
      </c>
      <c r="H18" s="63">
        <f t="shared" si="3"/>
        <v>2</v>
      </c>
      <c r="I18" s="178">
        <f t="shared" si="4"/>
        <v>0.8</v>
      </c>
      <c r="J18" s="197" t="str">
        <f>IF((C18/H18)&lt;=Workhours!$E$25, "OK", "NOT OK")</f>
        <v>OK</v>
      </c>
    </row>
    <row r="19" spans="1:10" x14ac:dyDescent="0.2">
      <c r="A19" s="113">
        <v>10</v>
      </c>
      <c r="B19" s="75" t="s">
        <v>397</v>
      </c>
      <c r="C19" s="63">
        <v>90</v>
      </c>
      <c r="D19" s="187">
        <f t="shared" si="1"/>
        <v>68850</v>
      </c>
      <c r="E19" s="193">
        <f t="shared" si="0"/>
        <v>43200</v>
      </c>
      <c r="F19" s="194" t="s">
        <v>178</v>
      </c>
      <c r="G19" s="63">
        <f t="shared" si="2"/>
        <v>1.59375</v>
      </c>
      <c r="H19" s="63">
        <f t="shared" si="3"/>
        <v>2</v>
      </c>
      <c r="I19" s="178">
        <f t="shared" si="4"/>
        <v>0.8</v>
      </c>
      <c r="J19" s="197" t="str">
        <f>IF((C19/H19)&lt;=Workhours!$E$25, "OK", "NOT OK")</f>
        <v>OK</v>
      </c>
    </row>
    <row r="20" spans="1:10" x14ac:dyDescent="0.2">
      <c r="A20" s="113">
        <v>11</v>
      </c>
      <c r="B20" s="75" t="s">
        <v>353</v>
      </c>
      <c r="C20" s="63">
        <v>90</v>
      </c>
      <c r="D20" s="187">
        <f t="shared" si="1"/>
        <v>68850</v>
      </c>
      <c r="E20" s="193">
        <f t="shared" si="0"/>
        <v>43200</v>
      </c>
      <c r="F20" s="194" t="s">
        <v>178</v>
      </c>
      <c r="G20" s="63">
        <f t="shared" si="2"/>
        <v>1.59375</v>
      </c>
      <c r="H20" s="63">
        <f t="shared" si="3"/>
        <v>2</v>
      </c>
      <c r="I20" s="178">
        <f t="shared" si="4"/>
        <v>0.8</v>
      </c>
      <c r="J20" s="197" t="str">
        <f>IF((C20/H20)&lt;=Workhours!$E$25, "OK", "NOT OK")</f>
        <v>OK</v>
      </c>
    </row>
    <row r="21" spans="1:10" x14ac:dyDescent="0.2">
      <c r="A21" s="113">
        <v>12</v>
      </c>
      <c r="B21" s="75" t="s">
        <v>398</v>
      </c>
      <c r="C21" s="63">
        <v>120</v>
      </c>
      <c r="D21" s="187">
        <f t="shared" si="1"/>
        <v>91800</v>
      </c>
      <c r="E21" s="193">
        <f t="shared" si="0"/>
        <v>43200</v>
      </c>
      <c r="F21" s="194" t="s">
        <v>178</v>
      </c>
      <c r="G21" s="63">
        <f t="shared" si="2"/>
        <v>2.125</v>
      </c>
      <c r="H21" s="63">
        <f t="shared" si="3"/>
        <v>3</v>
      </c>
      <c r="I21" s="178">
        <f t="shared" si="4"/>
        <v>0.71</v>
      </c>
      <c r="J21" s="197" t="str">
        <f>IF((C21/H21)&lt;=Workhours!$E$25, "OK", "NOT OK")</f>
        <v>OK</v>
      </c>
    </row>
    <row r="22" spans="1:10" x14ac:dyDescent="0.2">
      <c r="B22" s="74" t="s">
        <v>182</v>
      </c>
      <c r="C22" s="71">
        <f>SUM(C10:C21)</f>
        <v>1610</v>
      </c>
      <c r="D22" s="64"/>
      <c r="E22" s="64"/>
      <c r="F22" s="64"/>
      <c r="G22" s="64"/>
      <c r="H22" s="71">
        <f>SUM(H10:H21)</f>
        <v>34</v>
      </c>
      <c r="I22" s="188">
        <f>AVERAGE(I10:I21)</f>
        <v>0.8308333333333332</v>
      </c>
    </row>
    <row r="26" spans="1:10" x14ac:dyDescent="0.2">
      <c r="C26">
        <f>C22/60</f>
        <v>26.833333333333332</v>
      </c>
    </row>
  </sheetData>
  <mergeCells count="8">
    <mergeCell ref="E9:F9"/>
    <mergeCell ref="A6:B6"/>
    <mergeCell ref="A1:B1"/>
    <mergeCell ref="A2:B2"/>
    <mergeCell ref="A3:B3"/>
    <mergeCell ref="A4:B4"/>
    <mergeCell ref="A5:B5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44E7-69EC-434C-8CE2-4BF7E88F20D5}">
  <sheetPr>
    <tabColor theme="1" tint="0.249977111117893"/>
  </sheetPr>
  <dimension ref="A1:C35"/>
  <sheetViews>
    <sheetView showGridLines="0" zoomScale="70" zoomScaleNormal="70" workbookViewId="0">
      <selection activeCell="C2" sqref="C2"/>
    </sheetView>
  </sheetViews>
  <sheetFormatPr baseColWidth="10" defaultColWidth="8.83203125" defaultRowHeight="15" x14ac:dyDescent="0.2"/>
  <cols>
    <col min="1" max="1" width="4" bestFit="1" customWidth="1"/>
    <col min="2" max="2" width="52.5" bestFit="1" customWidth="1"/>
    <col min="3" max="3" width="8.1640625" bestFit="1" customWidth="1"/>
  </cols>
  <sheetData>
    <row r="1" spans="1:3" ht="16" x14ac:dyDescent="0.2">
      <c r="B1" s="244" t="s">
        <v>400</v>
      </c>
      <c r="C1" s="244"/>
    </row>
    <row r="2" spans="1:3" ht="16" x14ac:dyDescent="0.2">
      <c r="B2" s="179" t="s">
        <v>167</v>
      </c>
      <c r="C2" s="180">
        <f>'Machine QTY'!B7</f>
        <v>12</v>
      </c>
    </row>
    <row r="3" spans="1:3" ht="16" x14ac:dyDescent="0.2">
      <c r="B3" s="179" t="s">
        <v>166</v>
      </c>
      <c r="C3" s="180">
        <f>'Machine QTY'!B8</f>
        <v>4</v>
      </c>
    </row>
    <row r="4" spans="1:3" ht="16" x14ac:dyDescent="0.2">
      <c r="B4" s="179" t="s">
        <v>219</v>
      </c>
      <c r="C4" s="180">
        <f>'Machine QTY'!B9</f>
        <v>5</v>
      </c>
    </row>
    <row r="5" spans="1:3" ht="16" x14ac:dyDescent="0.2">
      <c r="B5" s="183" t="s">
        <v>401</v>
      </c>
      <c r="C5" s="181">
        <f>SUM(C2:C4)</f>
        <v>21</v>
      </c>
    </row>
    <row r="6" spans="1:3" ht="16" x14ac:dyDescent="0.2">
      <c r="B6" s="179" t="s">
        <v>402</v>
      </c>
      <c r="C6" s="180">
        <v>1</v>
      </c>
    </row>
    <row r="7" spans="1:3" ht="16" x14ac:dyDescent="0.2">
      <c r="B7" s="179" t="s">
        <v>404</v>
      </c>
      <c r="C7" s="180">
        <v>1</v>
      </c>
    </row>
    <row r="8" spans="1:3" ht="16" x14ac:dyDescent="0.2">
      <c r="B8" s="179" t="s">
        <v>403</v>
      </c>
      <c r="C8" s="180">
        <f>C6*C5</f>
        <v>21</v>
      </c>
    </row>
    <row r="10" spans="1:3" ht="16" x14ac:dyDescent="0.2">
      <c r="B10" s="184" t="s">
        <v>407</v>
      </c>
      <c r="C10" s="182">
        <v>2</v>
      </c>
    </row>
    <row r="11" spans="1:3" ht="16" x14ac:dyDescent="0.2">
      <c r="B11" s="184" t="s">
        <v>190</v>
      </c>
      <c r="C11" s="182">
        <f>Workhours!B3</f>
        <v>3</v>
      </c>
    </row>
    <row r="12" spans="1:3" ht="16" x14ac:dyDescent="0.2">
      <c r="B12" s="185" t="s">
        <v>406</v>
      </c>
      <c r="C12" s="186">
        <f>ROUND(C8*0.2,0)</f>
        <v>4</v>
      </c>
    </row>
    <row r="13" spans="1:3" ht="16" x14ac:dyDescent="0.2">
      <c r="B13" s="181" t="s">
        <v>405</v>
      </c>
      <c r="C13" s="182">
        <f>(C8+C10+C12)*C11</f>
        <v>81</v>
      </c>
    </row>
    <row r="16" spans="1:3" ht="16" x14ac:dyDescent="0.2">
      <c r="A16" s="246" t="s">
        <v>329</v>
      </c>
      <c r="B16" s="245" t="s">
        <v>408</v>
      </c>
      <c r="C16" s="244"/>
    </row>
    <row r="17" spans="1:3" ht="16" x14ac:dyDescent="0.2">
      <c r="A17" s="247"/>
      <c r="B17" s="196" t="s">
        <v>409</v>
      </c>
      <c r="C17" s="184">
        <f>'Assembly line'!H4</f>
        <v>2</v>
      </c>
    </row>
    <row r="18" spans="1:3" x14ac:dyDescent="0.2">
      <c r="A18" s="195">
        <v>1</v>
      </c>
      <c r="B18" s="75" t="s">
        <v>388</v>
      </c>
      <c r="C18" s="63">
        <f>'Assembly line'!H10</f>
        <v>3</v>
      </c>
    </row>
    <row r="19" spans="1:3" x14ac:dyDescent="0.2">
      <c r="A19" s="195">
        <f>A18+1</f>
        <v>2</v>
      </c>
      <c r="B19" s="75" t="s">
        <v>389</v>
      </c>
      <c r="C19" s="63">
        <f>'Assembly line'!H11</f>
        <v>3</v>
      </c>
    </row>
    <row r="20" spans="1:3" x14ac:dyDescent="0.2">
      <c r="A20" s="195">
        <f t="shared" ref="A20:A29" si="0">A19+1</f>
        <v>3</v>
      </c>
      <c r="B20" s="75" t="s">
        <v>390</v>
      </c>
      <c r="C20" s="63">
        <f>'Assembly line'!H12</f>
        <v>6</v>
      </c>
    </row>
    <row r="21" spans="1:3" x14ac:dyDescent="0.2">
      <c r="A21" s="195">
        <f t="shared" si="0"/>
        <v>4</v>
      </c>
      <c r="B21" s="75" t="s">
        <v>391</v>
      </c>
      <c r="C21" s="63">
        <f>'Assembly line'!H13</f>
        <v>3</v>
      </c>
    </row>
    <row r="22" spans="1:3" x14ac:dyDescent="0.2">
      <c r="A22" s="195">
        <f t="shared" si="0"/>
        <v>5</v>
      </c>
      <c r="B22" s="75" t="s">
        <v>392</v>
      </c>
      <c r="C22" s="63">
        <f>'Assembly line'!H14</f>
        <v>3</v>
      </c>
    </row>
    <row r="23" spans="1:3" x14ac:dyDescent="0.2">
      <c r="A23" s="195">
        <f t="shared" si="0"/>
        <v>6</v>
      </c>
      <c r="B23" s="75" t="s">
        <v>393</v>
      </c>
      <c r="C23" s="63">
        <f>'Assembly line'!H15</f>
        <v>3</v>
      </c>
    </row>
    <row r="24" spans="1:3" x14ac:dyDescent="0.2">
      <c r="A24" s="195">
        <f t="shared" si="0"/>
        <v>7</v>
      </c>
      <c r="B24" s="75" t="s">
        <v>394</v>
      </c>
      <c r="C24" s="63">
        <f>'Assembly line'!H16</f>
        <v>2</v>
      </c>
    </row>
    <row r="25" spans="1:3" x14ac:dyDescent="0.2">
      <c r="A25" s="195">
        <f t="shared" si="0"/>
        <v>8</v>
      </c>
      <c r="B25" s="75" t="s">
        <v>395</v>
      </c>
      <c r="C25" s="63">
        <f>'Assembly line'!H17</f>
        <v>2</v>
      </c>
    </row>
    <row r="26" spans="1:3" x14ac:dyDescent="0.2">
      <c r="A26" s="195">
        <f t="shared" si="0"/>
        <v>9</v>
      </c>
      <c r="B26" s="75" t="s">
        <v>396</v>
      </c>
      <c r="C26" s="63">
        <f>'Assembly line'!H18</f>
        <v>2</v>
      </c>
    </row>
    <row r="27" spans="1:3" x14ac:dyDescent="0.2">
      <c r="A27" s="195">
        <f t="shared" si="0"/>
        <v>10</v>
      </c>
      <c r="B27" s="75" t="s">
        <v>397</v>
      </c>
      <c r="C27" s="63">
        <f>'Assembly line'!H19</f>
        <v>2</v>
      </c>
    </row>
    <row r="28" spans="1:3" x14ac:dyDescent="0.2">
      <c r="A28" s="195">
        <f t="shared" si="0"/>
        <v>11</v>
      </c>
      <c r="B28" s="75" t="s">
        <v>353</v>
      </c>
      <c r="C28" s="63">
        <f>'Assembly line'!H20</f>
        <v>2</v>
      </c>
    </row>
    <row r="29" spans="1:3" x14ac:dyDescent="0.2">
      <c r="A29" s="195">
        <f t="shared" si="0"/>
        <v>12</v>
      </c>
      <c r="B29" s="75" t="s">
        <v>398</v>
      </c>
      <c r="C29" s="63">
        <f>'Assembly line'!H21</f>
        <v>3</v>
      </c>
    </row>
    <row r="30" spans="1:3" x14ac:dyDescent="0.2">
      <c r="B30" s="100" t="s">
        <v>410</v>
      </c>
      <c r="C30" s="189">
        <f>SUM(C18:C29) * C17</f>
        <v>68</v>
      </c>
    </row>
    <row r="32" spans="1:3" ht="16" x14ac:dyDescent="0.2">
      <c r="B32" s="184" t="s">
        <v>407</v>
      </c>
      <c r="C32" s="182">
        <v>4</v>
      </c>
    </row>
    <row r="33" spans="2:3" ht="16" x14ac:dyDescent="0.2">
      <c r="B33" s="184" t="s">
        <v>190</v>
      </c>
      <c r="C33" s="182">
        <f>Workhours!B3</f>
        <v>3</v>
      </c>
    </row>
    <row r="34" spans="2:3" ht="16" x14ac:dyDescent="0.2">
      <c r="B34" s="185" t="s">
        <v>406</v>
      </c>
      <c r="C34" s="186">
        <f>ROUND(C30*0.2,0)</f>
        <v>14</v>
      </c>
    </row>
    <row r="35" spans="2:3" ht="16" x14ac:dyDescent="0.2">
      <c r="B35" s="181" t="s">
        <v>405</v>
      </c>
      <c r="C35" s="182">
        <f>(C30+C32+C34)*C33</f>
        <v>258</v>
      </c>
    </row>
  </sheetData>
  <mergeCells count="3">
    <mergeCell ref="B1:C1"/>
    <mergeCell ref="B16:C16"/>
    <mergeCell ref="A16:A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D80C-173F-4E78-AF4C-E2F3E9818238}">
  <dimension ref="A1:F45"/>
  <sheetViews>
    <sheetView topLeftCell="A4" workbookViewId="0">
      <selection activeCell="F45" sqref="F45"/>
    </sheetView>
  </sheetViews>
  <sheetFormatPr baseColWidth="10" defaultColWidth="8.83203125" defaultRowHeight="15" x14ac:dyDescent="0.2"/>
  <cols>
    <col min="1" max="1" width="38.83203125" bestFit="1" customWidth="1"/>
    <col min="2" max="2" width="7.5" bestFit="1" customWidth="1"/>
    <col min="3" max="3" width="11" bestFit="1" customWidth="1"/>
    <col min="4" max="4" width="10.5" bestFit="1" customWidth="1"/>
    <col min="5" max="5" width="7" bestFit="1" customWidth="1"/>
    <col min="6" max="6" width="10.83203125" bestFit="1" customWidth="1"/>
  </cols>
  <sheetData>
    <row r="1" spans="1:6" x14ac:dyDescent="0.2">
      <c r="A1" s="128" t="s">
        <v>324</v>
      </c>
      <c r="B1" s="128">
        <v>2295</v>
      </c>
    </row>
    <row r="2" spans="1:6" x14ac:dyDescent="0.2">
      <c r="A2" s="128" t="s">
        <v>325</v>
      </c>
      <c r="B2" s="128">
        <v>1</v>
      </c>
    </row>
    <row r="3" spans="1:6" x14ac:dyDescent="0.2">
      <c r="A3" s="128" t="s">
        <v>326</v>
      </c>
      <c r="B3" s="128">
        <v>1</v>
      </c>
    </row>
    <row r="5" spans="1:6" x14ac:dyDescent="0.2">
      <c r="A5" s="137" t="s">
        <v>327</v>
      </c>
      <c r="B5" s="137" t="s">
        <v>216</v>
      </c>
      <c r="C5" s="137" t="s">
        <v>241</v>
      </c>
      <c r="D5" s="105" t="s">
        <v>242</v>
      </c>
      <c r="E5" s="105" t="s">
        <v>243</v>
      </c>
      <c r="F5" s="137" t="s">
        <v>328</v>
      </c>
    </row>
    <row r="6" spans="1:6" x14ac:dyDescent="0.2">
      <c r="A6" s="75" t="s">
        <v>244</v>
      </c>
      <c r="B6" s="133">
        <v>1</v>
      </c>
      <c r="C6" s="63" t="s">
        <v>245</v>
      </c>
      <c r="D6" s="79">
        <v>28</v>
      </c>
      <c r="E6" s="63">
        <v>850</v>
      </c>
      <c r="F6" s="138">
        <f t="shared" ref="F6:F44" si="0">E6*B6</f>
        <v>850</v>
      </c>
    </row>
    <row r="7" spans="1:6" x14ac:dyDescent="0.2">
      <c r="A7" s="75" t="s">
        <v>246</v>
      </c>
      <c r="B7" s="133">
        <v>10</v>
      </c>
      <c r="C7" s="63" t="s">
        <v>247</v>
      </c>
      <c r="D7" s="79">
        <v>0.02</v>
      </c>
      <c r="E7" s="63">
        <v>2.8</v>
      </c>
      <c r="F7" s="138">
        <f t="shared" si="0"/>
        <v>28</v>
      </c>
    </row>
    <row r="8" spans="1:6" x14ac:dyDescent="0.2">
      <c r="A8" s="75" t="s">
        <v>248</v>
      </c>
      <c r="B8" s="133">
        <v>4</v>
      </c>
      <c r="C8" s="63" t="s">
        <v>249</v>
      </c>
      <c r="D8" s="79">
        <v>0.35</v>
      </c>
      <c r="E8" s="63">
        <v>35.61</v>
      </c>
      <c r="F8" s="138">
        <f t="shared" si="0"/>
        <v>142.44</v>
      </c>
    </row>
    <row r="9" spans="1:6" x14ac:dyDescent="0.2">
      <c r="A9" s="75" t="s">
        <v>250</v>
      </c>
      <c r="B9" s="133">
        <v>4</v>
      </c>
      <c r="C9" s="63" t="s">
        <v>251</v>
      </c>
      <c r="D9" s="79">
        <v>9.5000000000000001E-2</v>
      </c>
      <c r="E9" s="63">
        <v>29.65</v>
      </c>
      <c r="F9" s="138">
        <f t="shared" si="0"/>
        <v>118.6</v>
      </c>
    </row>
    <row r="10" spans="1:6" x14ac:dyDescent="0.2">
      <c r="A10" s="75" t="s">
        <v>252</v>
      </c>
      <c r="B10" s="133">
        <v>8</v>
      </c>
      <c r="C10" s="63" t="s">
        <v>253</v>
      </c>
      <c r="D10" s="79">
        <v>0.02</v>
      </c>
      <c r="E10" s="63">
        <v>2.8</v>
      </c>
      <c r="F10" s="138">
        <f t="shared" si="0"/>
        <v>22.4</v>
      </c>
    </row>
    <row r="11" spans="1:6" x14ac:dyDescent="0.2">
      <c r="A11" s="75" t="s">
        <v>254</v>
      </c>
      <c r="B11" s="133">
        <v>4</v>
      </c>
      <c r="C11" s="63" t="s">
        <v>255</v>
      </c>
      <c r="D11" s="79">
        <v>0.25</v>
      </c>
      <c r="E11" s="63">
        <v>40</v>
      </c>
      <c r="F11" s="138">
        <f t="shared" si="0"/>
        <v>160</v>
      </c>
    </row>
    <row r="12" spans="1:6" x14ac:dyDescent="0.2">
      <c r="A12" s="75" t="s">
        <v>256</v>
      </c>
      <c r="B12" s="133">
        <v>8</v>
      </c>
      <c r="C12" s="63" t="s">
        <v>257</v>
      </c>
      <c r="D12" s="79">
        <v>0.02</v>
      </c>
      <c r="E12" s="63">
        <v>0.1</v>
      </c>
      <c r="F12" s="138">
        <f t="shared" si="0"/>
        <v>0.8</v>
      </c>
    </row>
    <row r="13" spans="1:6" x14ac:dyDescent="0.2">
      <c r="A13" s="75" t="s">
        <v>258</v>
      </c>
      <c r="B13" s="133">
        <v>4</v>
      </c>
      <c r="C13" s="63" t="s">
        <v>259</v>
      </c>
      <c r="D13" s="79">
        <v>0.02</v>
      </c>
      <c r="E13" s="63">
        <v>3.8</v>
      </c>
      <c r="F13" s="138">
        <f t="shared" si="0"/>
        <v>15.2</v>
      </c>
    </row>
    <row r="14" spans="1:6" x14ac:dyDescent="0.2">
      <c r="A14" s="75" t="s">
        <v>260</v>
      </c>
      <c r="B14" s="133">
        <v>5</v>
      </c>
      <c r="C14" s="63" t="s">
        <v>261</v>
      </c>
      <c r="D14" s="79">
        <v>0.32600000000000001</v>
      </c>
      <c r="E14" s="63">
        <v>23.51</v>
      </c>
      <c r="F14" s="138">
        <f t="shared" si="0"/>
        <v>117.55000000000001</v>
      </c>
    </row>
    <row r="15" spans="1:6" x14ac:dyDescent="0.2">
      <c r="A15" s="75" t="s">
        <v>262</v>
      </c>
      <c r="B15" s="133">
        <v>10</v>
      </c>
      <c r="C15" s="63" t="s">
        <v>263</v>
      </c>
      <c r="D15" s="79">
        <v>0.05</v>
      </c>
      <c r="E15" s="63">
        <v>1.98</v>
      </c>
      <c r="F15" s="138">
        <f t="shared" si="0"/>
        <v>19.8</v>
      </c>
    </row>
    <row r="16" spans="1:6" x14ac:dyDescent="0.2">
      <c r="A16" s="75" t="s">
        <v>264</v>
      </c>
      <c r="B16" s="133">
        <v>1</v>
      </c>
      <c r="C16" s="63" t="s">
        <v>265</v>
      </c>
      <c r="D16" s="79">
        <v>1.2</v>
      </c>
      <c r="E16" s="63">
        <v>125.64</v>
      </c>
      <c r="F16" s="138">
        <f t="shared" si="0"/>
        <v>125.64</v>
      </c>
    </row>
    <row r="17" spans="1:6" x14ac:dyDescent="0.2">
      <c r="A17" s="75" t="s">
        <v>266</v>
      </c>
      <c r="B17" s="133">
        <v>20</v>
      </c>
      <c r="C17" s="63" t="s">
        <v>267</v>
      </c>
      <c r="D17" s="79">
        <v>0.02</v>
      </c>
      <c r="E17" s="63">
        <v>0.05</v>
      </c>
      <c r="F17" s="138">
        <f t="shared" si="0"/>
        <v>1</v>
      </c>
    </row>
    <row r="18" spans="1:6" x14ac:dyDescent="0.2">
      <c r="A18" s="75" t="s">
        <v>268</v>
      </c>
      <c r="B18" s="133">
        <v>1</v>
      </c>
      <c r="C18" s="63" t="s">
        <v>269</v>
      </c>
      <c r="D18" s="79">
        <v>0.35</v>
      </c>
      <c r="E18" s="63">
        <v>89.5</v>
      </c>
      <c r="F18" s="138">
        <f t="shared" si="0"/>
        <v>89.5</v>
      </c>
    </row>
    <row r="19" spans="1:6" x14ac:dyDescent="0.2">
      <c r="A19" s="75" t="s">
        <v>270</v>
      </c>
      <c r="B19" s="133">
        <v>6</v>
      </c>
      <c r="C19" s="63" t="s">
        <v>271</v>
      </c>
      <c r="D19" s="79">
        <v>0.02</v>
      </c>
      <c r="E19" s="63">
        <v>0.05</v>
      </c>
      <c r="F19" s="138">
        <f t="shared" si="0"/>
        <v>0.30000000000000004</v>
      </c>
    </row>
    <row r="20" spans="1:6" x14ac:dyDescent="0.2">
      <c r="A20" s="75" t="s">
        <v>272</v>
      </c>
      <c r="B20" s="133">
        <v>1</v>
      </c>
      <c r="C20" s="63" t="s">
        <v>273</v>
      </c>
      <c r="D20" s="79">
        <v>0.125</v>
      </c>
      <c r="E20" s="63">
        <v>121.54</v>
      </c>
      <c r="F20" s="138">
        <f t="shared" si="0"/>
        <v>121.54</v>
      </c>
    </row>
    <row r="21" spans="1:6" x14ac:dyDescent="0.2">
      <c r="A21" s="75" t="s">
        <v>274</v>
      </c>
      <c r="B21" s="133">
        <v>6</v>
      </c>
      <c r="C21" s="63" t="s">
        <v>275</v>
      </c>
      <c r="D21" s="79">
        <v>0.02</v>
      </c>
      <c r="E21" s="63">
        <v>0.05</v>
      </c>
      <c r="F21" s="138">
        <f t="shared" si="0"/>
        <v>0.30000000000000004</v>
      </c>
    </row>
    <row r="22" spans="1:6" x14ac:dyDescent="0.2">
      <c r="A22" s="75" t="s">
        <v>276</v>
      </c>
      <c r="B22" s="133">
        <v>1</v>
      </c>
      <c r="C22" s="63" t="s">
        <v>277</v>
      </c>
      <c r="D22" s="79">
        <v>0.124</v>
      </c>
      <c r="E22" s="63">
        <v>2.56</v>
      </c>
      <c r="F22" s="138">
        <f t="shared" si="0"/>
        <v>2.56</v>
      </c>
    </row>
    <row r="23" spans="1:6" x14ac:dyDescent="0.2">
      <c r="A23" s="75" t="s">
        <v>278</v>
      </c>
      <c r="B23" s="133">
        <v>1</v>
      </c>
      <c r="C23" s="63" t="s">
        <v>279</v>
      </c>
      <c r="D23" s="79">
        <v>0.45</v>
      </c>
      <c r="E23" s="63">
        <v>84.56</v>
      </c>
      <c r="F23" s="138">
        <f t="shared" si="0"/>
        <v>84.56</v>
      </c>
    </row>
    <row r="24" spans="1:6" x14ac:dyDescent="0.2">
      <c r="A24" s="75" t="s">
        <v>280</v>
      </c>
      <c r="B24" s="133">
        <v>1</v>
      </c>
      <c r="C24" s="63" t="s">
        <v>281</v>
      </c>
      <c r="D24" s="79">
        <v>0.4</v>
      </c>
      <c r="E24" s="63">
        <v>56.45</v>
      </c>
      <c r="F24" s="138">
        <f t="shared" si="0"/>
        <v>56.45</v>
      </c>
    </row>
    <row r="25" spans="1:6" x14ac:dyDescent="0.2">
      <c r="A25" s="75" t="s">
        <v>282</v>
      </c>
      <c r="B25" s="133">
        <v>4</v>
      </c>
      <c r="C25" s="63" t="s">
        <v>283</v>
      </c>
      <c r="D25" s="79">
        <v>0.02</v>
      </c>
      <c r="E25" s="63">
        <v>0.06</v>
      </c>
      <c r="F25" s="138">
        <f t="shared" si="0"/>
        <v>0.24</v>
      </c>
    </row>
    <row r="26" spans="1:6" x14ac:dyDescent="0.2">
      <c r="A26" s="75" t="s">
        <v>284</v>
      </c>
      <c r="B26" s="133">
        <v>1</v>
      </c>
      <c r="C26" s="63" t="s">
        <v>285</v>
      </c>
      <c r="D26" s="79">
        <v>0.2</v>
      </c>
      <c r="E26" s="63">
        <v>12.99</v>
      </c>
      <c r="F26" s="138">
        <f t="shared" si="0"/>
        <v>12.99</v>
      </c>
    </row>
    <row r="27" spans="1:6" x14ac:dyDescent="0.2">
      <c r="A27" s="75" t="s">
        <v>286</v>
      </c>
      <c r="B27" s="133">
        <v>1</v>
      </c>
      <c r="C27" s="63" t="s">
        <v>287</v>
      </c>
      <c r="D27" s="79">
        <v>0.35</v>
      </c>
      <c r="E27" s="63">
        <v>23.54</v>
      </c>
      <c r="F27" s="138">
        <f t="shared" si="0"/>
        <v>23.54</v>
      </c>
    </row>
    <row r="28" spans="1:6" x14ac:dyDescent="0.2">
      <c r="A28" s="75" t="s">
        <v>288</v>
      </c>
      <c r="B28" s="133">
        <v>1</v>
      </c>
      <c r="C28" s="63" t="s">
        <v>289</v>
      </c>
      <c r="D28" s="79">
        <v>0.85</v>
      </c>
      <c r="E28" s="63">
        <v>46.5</v>
      </c>
      <c r="F28" s="138">
        <f t="shared" si="0"/>
        <v>46.5</v>
      </c>
    </row>
    <row r="29" spans="1:6" x14ac:dyDescent="0.2">
      <c r="A29" s="75" t="s">
        <v>290</v>
      </c>
      <c r="B29" s="133">
        <v>2</v>
      </c>
      <c r="C29" s="63" t="s">
        <v>291</v>
      </c>
      <c r="D29" s="79">
        <v>0.02</v>
      </c>
      <c r="E29" s="63">
        <v>0.06</v>
      </c>
      <c r="F29" s="138">
        <f t="shared" si="0"/>
        <v>0.12</v>
      </c>
    </row>
    <row r="30" spans="1:6" x14ac:dyDescent="0.2">
      <c r="A30" s="75" t="s">
        <v>292</v>
      </c>
      <c r="B30" s="133">
        <v>1</v>
      </c>
      <c r="C30" s="63" t="s">
        <v>293</v>
      </c>
      <c r="D30" s="79">
        <v>0.65</v>
      </c>
      <c r="E30" s="63">
        <v>12.51</v>
      </c>
      <c r="F30" s="138">
        <f t="shared" si="0"/>
        <v>12.51</v>
      </c>
    </row>
    <row r="31" spans="1:6" x14ac:dyDescent="0.2">
      <c r="A31" s="75" t="s">
        <v>294</v>
      </c>
      <c r="B31" s="133">
        <v>1</v>
      </c>
      <c r="C31" s="63" t="s">
        <v>295</v>
      </c>
      <c r="D31" s="79">
        <v>0.03</v>
      </c>
      <c r="E31" s="63">
        <v>1.54</v>
      </c>
      <c r="F31" s="138">
        <f t="shared" si="0"/>
        <v>1.54</v>
      </c>
    </row>
    <row r="32" spans="1:6" x14ac:dyDescent="0.2">
      <c r="A32" s="75" t="s">
        <v>296</v>
      </c>
      <c r="B32" s="133">
        <v>1</v>
      </c>
      <c r="C32" s="63" t="s">
        <v>297</v>
      </c>
      <c r="D32" s="79">
        <v>0.98</v>
      </c>
      <c r="E32" s="63">
        <v>65.540000000000006</v>
      </c>
      <c r="F32" s="138">
        <f t="shared" si="0"/>
        <v>65.540000000000006</v>
      </c>
    </row>
    <row r="33" spans="1:6" x14ac:dyDescent="0.2">
      <c r="A33" s="75" t="s">
        <v>298</v>
      </c>
      <c r="B33" s="133">
        <v>3</v>
      </c>
      <c r="C33" s="63" t="s">
        <v>299</v>
      </c>
      <c r="D33" s="79">
        <v>0.02</v>
      </c>
      <c r="E33" s="63">
        <v>0.06</v>
      </c>
      <c r="F33" s="138">
        <f t="shared" si="0"/>
        <v>0.18</v>
      </c>
    </row>
    <row r="34" spans="1:6" x14ac:dyDescent="0.2">
      <c r="A34" s="75" t="s">
        <v>300</v>
      </c>
      <c r="B34" s="133">
        <v>1</v>
      </c>
      <c r="C34" s="63" t="s">
        <v>301</v>
      </c>
      <c r="D34" s="79">
        <v>0.2</v>
      </c>
      <c r="E34" s="63">
        <v>12.5</v>
      </c>
      <c r="F34" s="138">
        <f t="shared" si="0"/>
        <v>12.5</v>
      </c>
    </row>
    <row r="35" spans="1:6" x14ac:dyDescent="0.2">
      <c r="A35" s="75" t="s">
        <v>302</v>
      </c>
      <c r="B35" s="133">
        <v>2</v>
      </c>
      <c r="C35" s="63" t="s">
        <v>303</v>
      </c>
      <c r="D35" s="79">
        <v>0.2</v>
      </c>
      <c r="E35" s="63">
        <v>12.5</v>
      </c>
      <c r="F35" s="138">
        <f t="shared" si="0"/>
        <v>25</v>
      </c>
    </row>
    <row r="36" spans="1:6" x14ac:dyDescent="0.2">
      <c r="A36" s="75" t="s">
        <v>304</v>
      </c>
      <c r="B36" s="133">
        <v>1</v>
      </c>
      <c r="C36" s="63" t="s">
        <v>305</v>
      </c>
      <c r="D36" s="79">
        <v>0.3</v>
      </c>
      <c r="E36" s="63">
        <v>14.5</v>
      </c>
      <c r="F36" s="138">
        <f t="shared" si="0"/>
        <v>14.5</v>
      </c>
    </row>
    <row r="37" spans="1:6" x14ac:dyDescent="0.2">
      <c r="A37" s="75" t="s">
        <v>306</v>
      </c>
      <c r="B37" s="133">
        <v>1</v>
      </c>
      <c r="C37" s="63" t="s">
        <v>307</v>
      </c>
      <c r="D37" s="79">
        <v>0.3</v>
      </c>
      <c r="E37" s="63">
        <v>16.5</v>
      </c>
      <c r="F37" s="138">
        <f t="shared" si="0"/>
        <v>16.5</v>
      </c>
    </row>
    <row r="38" spans="1:6" x14ac:dyDescent="0.2">
      <c r="A38" s="75" t="s">
        <v>308</v>
      </c>
      <c r="B38" s="133">
        <v>10</v>
      </c>
      <c r="C38" s="63" t="s">
        <v>309</v>
      </c>
      <c r="D38" s="79">
        <v>0.02</v>
      </c>
      <c r="E38" s="63">
        <v>0.1</v>
      </c>
      <c r="F38" s="138">
        <f t="shared" si="0"/>
        <v>1</v>
      </c>
    </row>
    <row r="39" spans="1:6" x14ac:dyDescent="0.2">
      <c r="A39" s="75" t="s">
        <v>310</v>
      </c>
      <c r="B39" s="133">
        <v>10</v>
      </c>
      <c r="C39" s="63" t="s">
        <v>311</v>
      </c>
      <c r="D39" s="79">
        <v>0.02</v>
      </c>
      <c r="E39" s="63">
        <v>0.03</v>
      </c>
      <c r="F39" s="138">
        <f t="shared" si="0"/>
        <v>0.3</v>
      </c>
    </row>
    <row r="40" spans="1:6" x14ac:dyDescent="0.2">
      <c r="A40" s="75" t="s">
        <v>312</v>
      </c>
      <c r="B40" s="133">
        <v>1</v>
      </c>
      <c r="C40" s="63" t="s">
        <v>313</v>
      </c>
      <c r="D40" s="79">
        <v>1.2</v>
      </c>
      <c r="E40" s="63">
        <v>86.95</v>
      </c>
      <c r="F40" s="138">
        <f t="shared" si="0"/>
        <v>86.95</v>
      </c>
    </row>
    <row r="41" spans="1:6" x14ac:dyDescent="0.2">
      <c r="A41" s="75" t="s">
        <v>314</v>
      </c>
      <c r="B41" s="133">
        <v>4</v>
      </c>
      <c r="C41" s="63" t="s">
        <v>315</v>
      </c>
      <c r="D41" s="79">
        <v>0.02</v>
      </c>
      <c r="E41" s="63">
        <v>0.03</v>
      </c>
      <c r="F41" s="138">
        <f t="shared" si="0"/>
        <v>0.12</v>
      </c>
    </row>
    <row r="42" spans="1:6" x14ac:dyDescent="0.2">
      <c r="A42" s="75" t="s">
        <v>316</v>
      </c>
      <c r="B42" s="133">
        <v>1</v>
      </c>
      <c r="C42" s="63" t="s">
        <v>317</v>
      </c>
      <c r="D42" s="79">
        <v>12.5</v>
      </c>
      <c r="E42" s="63">
        <v>890</v>
      </c>
      <c r="F42" s="138">
        <f t="shared" si="0"/>
        <v>890</v>
      </c>
    </row>
    <row r="43" spans="1:6" x14ac:dyDescent="0.2">
      <c r="A43" s="75" t="s">
        <v>318</v>
      </c>
      <c r="B43" s="133">
        <v>10</v>
      </c>
      <c r="C43" s="63" t="s">
        <v>319</v>
      </c>
      <c r="D43" s="79">
        <v>0.05</v>
      </c>
      <c r="E43" s="63">
        <v>2.54</v>
      </c>
      <c r="F43" s="138">
        <f t="shared" si="0"/>
        <v>25.4</v>
      </c>
    </row>
    <row r="44" spans="1:6" ht="16" thickBot="1" x14ac:dyDescent="0.25">
      <c r="A44" s="135" t="s">
        <v>320</v>
      </c>
      <c r="B44" s="134">
        <v>10</v>
      </c>
      <c r="C44" s="129" t="s">
        <v>321</v>
      </c>
      <c r="D44" s="136">
        <v>0.02</v>
      </c>
      <c r="E44" s="129">
        <v>0.03</v>
      </c>
      <c r="F44" s="139">
        <f t="shared" si="0"/>
        <v>0.3</v>
      </c>
    </row>
    <row r="45" spans="1:6" ht="16" thickBot="1" x14ac:dyDescent="0.25">
      <c r="A45" s="130" t="s">
        <v>322</v>
      </c>
      <c r="B45" s="131">
        <v>1</v>
      </c>
      <c r="C45" s="131" t="s">
        <v>323</v>
      </c>
      <c r="D45" s="131">
        <v>140</v>
      </c>
      <c r="E45" s="131"/>
      <c r="F45" s="132">
        <f>SUM(F6:F44)</f>
        <v>3192.37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Plan</vt:lpstr>
      <vt:lpstr>Workhours</vt:lpstr>
      <vt:lpstr>Price Sheet</vt:lpstr>
      <vt:lpstr>Crankshaft</vt:lpstr>
      <vt:lpstr>Camshaft</vt:lpstr>
      <vt:lpstr>Machine QTY</vt:lpstr>
      <vt:lpstr>Assembly line</vt:lpstr>
      <vt:lpstr>Labour work</vt:lpstr>
      <vt:lpstr>Sheet5</vt:lpstr>
      <vt:lpstr>Sheet3</vt:lpstr>
      <vt:lpstr>Processes1</vt:lpstr>
      <vt:lpstr>Processes2</vt:lpstr>
      <vt:lpstr>No. Devices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</dc:creator>
  <cp:lastModifiedBy>Ehsan Ahmadi</cp:lastModifiedBy>
  <dcterms:created xsi:type="dcterms:W3CDTF">2015-06-05T18:17:20Z</dcterms:created>
  <dcterms:modified xsi:type="dcterms:W3CDTF">2026-01-01T12:47:07Z</dcterms:modified>
</cp:coreProperties>
</file>