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1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albaf\Desktop\صندوق امید - نیک توران\"/>
    </mc:Choice>
  </mc:AlternateContent>
  <xr:revisionPtr revIDLastSave="0" documentId="8_{D354959C-A909-40F9-9D5E-2A1A7EB1A406}" xr6:coauthVersionLast="47" xr6:coauthVersionMax="47" xr10:uidLastSave="{00000000-0000-0000-0000-000000000000}"/>
  <workbookProtection workbookPassword="C716" lockStructure="1"/>
  <bookViews>
    <workbookView xWindow="-108" yWindow="-108" windowWidth="23256" windowHeight="12456" tabRatio="949" firstSheet="33" activeTab="40" xr2:uid="{00000000-000D-0000-FFFF-FFFF00000000}"/>
  </bookViews>
  <sheets>
    <sheet name="زمين" sheetId="107" r:id="rId1"/>
    <sheet name="محوطه سازي" sheetId="51" r:id="rId2"/>
    <sheet name="ساختمان" sheetId="2" r:id="rId3"/>
    <sheet name="جزئيات تاسيسات" sheetId="205" r:id="rId4"/>
    <sheet name="تاسيسات" sheetId="4" r:id="rId5"/>
    <sheet name="ماشين‌آلات" sheetId="3" r:id="rId6"/>
    <sheet name="لوازم اداري" sheetId="207" r:id="rId7"/>
    <sheet name="وسايط نقليه" sheetId="206" r:id="rId8"/>
    <sheet name="ساير هزينه هاي ثابت" sheetId="229" r:id="rId9"/>
    <sheet name="قبل‌از بهره‌برداري" sheetId="8" r:id="rId10"/>
    <sheet name="سرمايه‌‌گذاري طرح" sheetId="11" r:id="rId11"/>
    <sheet name="مواد اوليه" sheetId="214" r:id="rId12"/>
    <sheet name="نيروي انساني" sheetId="188" r:id="rId13"/>
    <sheet name=" مصرفي" sheetId="209" r:id="rId14"/>
    <sheet name="تعميرات و نگهداري " sheetId="210" r:id="rId15"/>
    <sheet name="استهلاک ها" sheetId="245" r:id="rId16"/>
    <sheet name="استهلاك" sheetId="211" r:id="rId17"/>
    <sheet name="هزينه هاي توليد" sheetId="202" r:id="rId18"/>
    <sheet name="برآورد فروش" sheetId="217" r:id="rId19"/>
    <sheet name="سرمايه در گردش" sheetId="208" r:id="rId20"/>
    <sheet name="هزينه هاي ثابت و متغير" sheetId="212" r:id="rId21"/>
    <sheet name="منابع و مصارف" sheetId="239" r:id="rId22"/>
    <sheet name="منابع و مصارف1" sheetId="247" r:id="rId23"/>
    <sheet name="ترازنامه" sheetId="249" r:id="rId24"/>
    <sheet name="ترازنامه توسعه" sheetId="236" r:id="rId25"/>
    <sheet name="ex1" sheetId="248" r:id="rId26"/>
    <sheet name="ex" sheetId="242" r:id="rId27"/>
    <sheet name="آنالیز حساسیت" sheetId="243" r:id="rId28"/>
    <sheet name="ترازنامه ایجادی" sheetId="241" r:id="rId29"/>
    <sheet name="نسبتهای توسعه" sheetId="250" r:id="rId30"/>
    <sheet name="نسبتهای ایجادی" sheetId="237" r:id="rId31"/>
    <sheet name="شاخص هاي اقتصادي" sheetId="218" r:id="rId32"/>
    <sheet name="پيش بيني عملكرد سود و زيان" sheetId="216" r:id="rId33"/>
    <sheet name="جریان نقدینگی" sheetId="233" r:id="rId34"/>
    <sheet name="جریان نقدینگی تنزیل شده1" sheetId="232" r:id="rId35"/>
    <sheet name="جریان نقدینگی تنزیل شده2" sheetId="234" r:id="rId36"/>
    <sheet name="forbiden" sheetId="246" r:id="rId37"/>
    <sheet name="نمودار" sheetId="235" r:id="rId38"/>
    <sheet name="منابع تامين سرمايه گذاري" sheetId="230" r:id="rId39"/>
    <sheet name="تسهیلات" sheetId="244" r:id="rId40"/>
    <sheet name="خلاصه گزارش" sheetId="101" r:id="rId41"/>
    <sheet name="نتيجه گيري گزارش" sheetId="231" r:id="rId42"/>
    <sheet name="نتيجه گيري گزارش1" sheetId="238" r:id="rId43"/>
    <sheet name="مفروضات" sheetId="228" r:id="rId44"/>
  </sheets>
  <externalReferences>
    <externalReference r:id="rId45"/>
    <externalReference r:id="rId46"/>
    <externalReference r:id="rId47"/>
  </externalReferences>
  <definedNames>
    <definedName name="_xlnm._FilterDatabase" localSheetId="5" hidden="1">ماشين‌آلات!#REF!</definedName>
    <definedName name="_xlnm.Print_Area" localSheetId="13">' مصرفي'!$A$1:$K$18</definedName>
    <definedName name="_xlnm.Print_Area" localSheetId="36">forbiden!$A$1:$N$17</definedName>
    <definedName name="_xlnm.Print_Area" localSheetId="16">استهلاك!$A$1:$M$30</definedName>
    <definedName name="_xlnm.Print_Area" localSheetId="18">'برآورد فروش'!$A$1:$M$36</definedName>
    <definedName name="_xlnm.Print_Area" localSheetId="32">'پيش بيني عملكرد سود و زيان'!$A$1:$M$46</definedName>
    <definedName name="_xlnm.Print_Area" localSheetId="4">تاسيسات!$A$1:$I$20</definedName>
    <definedName name="_xlnm.Print_Area" localSheetId="28">'ترازنامه ایجادی'!$A$1:$M$22</definedName>
    <definedName name="_xlnm.Print_Area" localSheetId="24">'ترازنامه توسعه'!$A$1:$N$33</definedName>
    <definedName name="_xlnm.Print_Area" localSheetId="33">'جریان نقدینگی'!$A$1:$N$21</definedName>
    <definedName name="_xlnm.Print_Area" localSheetId="34">'جریان نقدینگی تنزیل شده1'!$A$1:$N$12</definedName>
    <definedName name="_xlnm.Print_Area" localSheetId="35">'جریان نقدینگی تنزیل شده2'!$A$1:$N$11</definedName>
    <definedName name="_xlnm.Print_Area" localSheetId="3">'جزئيات تاسيسات'!$A$1:$I$62</definedName>
    <definedName name="_xlnm.Print_Area" localSheetId="40">'خلاصه گزارش'!$A$1:$G$27</definedName>
    <definedName name="_xlnm.Print_Area" localSheetId="0">زمين!$A$1:$G$7</definedName>
    <definedName name="_xlnm.Print_Area" localSheetId="2">ساختمان!$A$1:$I$22</definedName>
    <definedName name="_xlnm.Print_Area" localSheetId="8">'ساير هزينه هاي ثابت'!$A$1:$H$34</definedName>
    <definedName name="_xlnm.Print_Area" localSheetId="19">'سرمايه در گردش'!$A$1:$M$21</definedName>
    <definedName name="_xlnm.Print_Area" localSheetId="10">'سرمايه‌‌گذاري طرح'!$A$1:$F$17</definedName>
    <definedName name="_xlnm.Print_Area" localSheetId="31">'شاخص هاي اقتصادي'!$A$1:$M$15</definedName>
    <definedName name="_xlnm.Print_Area" localSheetId="9">'قبل‌از بهره‌برداري'!$A$1:$E$14</definedName>
    <definedName name="_xlnm.Print_Area" localSheetId="6">'لوازم اداري'!$A$1:$H$30</definedName>
    <definedName name="_xlnm.Print_Area" localSheetId="5">ماشين‌آلات!$A$1:$H$51</definedName>
    <definedName name="_xlnm.Print_Area" localSheetId="1">'محوطه سازي'!$A$1:$H$21</definedName>
    <definedName name="_xlnm.Print_Area" localSheetId="43">مفروضات!$A$1:$L$24</definedName>
    <definedName name="_xlnm.Print_Area" localSheetId="38">'منابع تامين سرمايه گذاري'!$A$1:$I$16</definedName>
    <definedName name="_xlnm.Print_Area" localSheetId="22">'منابع و مصارف1'!$A$1:$N$32</definedName>
    <definedName name="_xlnm.Print_Area" localSheetId="11">'مواد اوليه'!$A$1:$K$68</definedName>
    <definedName name="_xlnm.Print_Area" localSheetId="41">'نتيجه گيري گزارش'!$A$1:$E$21</definedName>
    <definedName name="_xlnm.Print_Area" localSheetId="42">'نتيجه گيري گزارش1'!$A$1:$K$40</definedName>
    <definedName name="_xlnm.Print_Area" localSheetId="30">'نسبتهای ایجادی'!$A$1:$O$99</definedName>
    <definedName name="_xlnm.Print_Area" localSheetId="29">'نسبتهای توسعه'!$A$1:$O$99</definedName>
    <definedName name="_xlnm.Print_Area" localSheetId="12">'نيروي انساني'!$J$1:$R$52</definedName>
    <definedName name="_xlnm.Print_Area" localSheetId="17">'هزينه هاي توليد'!$A$1:$F$20</definedName>
    <definedName name="_xlnm.Print_Area" localSheetId="20">'هزينه هاي ثابت و متغير'!$A$1:$AT$18</definedName>
    <definedName name="_xlnm.Print_Area" localSheetId="7">'وسايط نقليه'!$A$1:$I$22</definedName>
    <definedName name="_xlnm.Print_Titles" localSheetId="32">'پيش بيني عملكرد سود و زيان'!$A:$B,'پيش بيني عملكرد سود و زيان'!$2:$2</definedName>
    <definedName name="_xlnm.Print_Titles" localSheetId="28">'ترازنامه ایجادی'!$A:$A</definedName>
    <definedName name="_xlnm.Print_Titles" localSheetId="33">'جریان نقدینگی'!$A:$A,'جریان نقدینگی'!$1:$1</definedName>
    <definedName name="_xlnm.Print_Titles" localSheetId="5">ماشين‌آلات!$1:$3</definedName>
  </definedNames>
  <calcPr calcId="191029"/>
</workbook>
</file>

<file path=xl/calcChain.xml><?xml version="1.0" encoding="utf-8"?>
<calcChain xmlns="http://schemas.openxmlformats.org/spreadsheetml/2006/main">
  <c r="M23" i="249" l="1"/>
  <c r="F22" i="217"/>
  <c r="L3" i="217"/>
  <c r="J5" i="229"/>
  <c r="F24" i="101"/>
  <c r="F23" i="101"/>
  <c r="F22" i="101"/>
  <c r="J7" i="217"/>
  <c r="K7" i="217" s="1"/>
  <c r="L7" i="217" s="1"/>
  <c r="I7" i="217"/>
  <c r="D7" i="8"/>
  <c r="D8" i="8" l="1"/>
  <c r="D11" i="8"/>
  <c r="E7" i="8"/>
  <c r="F5" i="51"/>
  <c r="F4" i="51"/>
  <c r="S4" i="209"/>
  <c r="L3" i="214" l="1"/>
  <c r="G4" i="217"/>
  <c r="F4" i="217" s="1"/>
  <c r="F32" i="3"/>
  <c r="G32" i="3"/>
  <c r="F31" i="3"/>
  <c r="F36" i="3"/>
  <c r="G36" i="3"/>
  <c r="F12" i="3"/>
  <c r="G12" i="3"/>
  <c r="F29" i="3"/>
  <c r="G29" i="3"/>
  <c r="F30" i="3"/>
  <c r="G30" i="3"/>
  <c r="G31" i="3"/>
  <c r="F33" i="3"/>
  <c r="G33" i="3"/>
  <c r="F34" i="3"/>
  <c r="G34" i="3"/>
  <c r="F35" i="3"/>
  <c r="G35" i="3"/>
  <c r="F37" i="3"/>
  <c r="G37" i="3"/>
  <c r="F38" i="3"/>
  <c r="G38" i="3"/>
  <c r="F39" i="3"/>
  <c r="G39" i="3"/>
  <c r="H39" i="3" s="1"/>
  <c r="F40" i="3"/>
  <c r="G40" i="3"/>
  <c r="F41" i="3"/>
  <c r="G41" i="3"/>
  <c r="F42" i="3"/>
  <c r="G42" i="3"/>
  <c r="F43" i="3"/>
  <c r="G43" i="3"/>
  <c r="F44" i="3"/>
  <c r="G44" i="3"/>
  <c r="F28" i="3"/>
  <c r="G5" i="209"/>
  <c r="F4" i="207"/>
  <c r="F23" i="3"/>
  <c r="F24" i="3"/>
  <c r="F25" i="3"/>
  <c r="F26" i="3"/>
  <c r="F27" i="3"/>
  <c r="F22" i="3"/>
  <c r="G4" i="229"/>
  <c r="H44" i="3" l="1"/>
  <c r="E4" i="217"/>
  <c r="H32" i="3"/>
  <c r="H38" i="3"/>
  <c r="H40" i="3"/>
  <c r="H42" i="3"/>
  <c r="H43" i="3"/>
  <c r="H31" i="3"/>
  <c r="H36" i="3"/>
  <c r="H30" i="3"/>
  <c r="H29" i="3"/>
  <c r="H34" i="3"/>
  <c r="H12" i="3"/>
  <c r="H37" i="3"/>
  <c r="H41" i="3"/>
  <c r="H35" i="3"/>
  <c r="H33" i="3"/>
  <c r="F4" i="229"/>
  <c r="A24" i="217"/>
  <c r="O21" i="188"/>
  <c r="F30" i="229"/>
  <c r="F29" i="229"/>
  <c r="F28" i="229"/>
  <c r="F27" i="229"/>
  <c r="F26" i="229"/>
  <c r="F25" i="229"/>
  <c r="F24" i="229"/>
  <c r="F23" i="229"/>
  <c r="F22" i="229"/>
  <c r="F21" i="229"/>
  <c r="F19" i="229"/>
  <c r="F18" i="229"/>
  <c r="F17" i="229"/>
  <c r="F16" i="229"/>
  <c r="F15" i="229"/>
  <c r="G30" i="229"/>
  <c r="H30" i="229" s="1"/>
  <c r="G29" i="229"/>
  <c r="G28" i="229"/>
  <c r="G27" i="229"/>
  <c r="G26" i="229"/>
  <c r="G25" i="229"/>
  <c r="G24" i="229"/>
  <c r="H24" i="229" s="1"/>
  <c r="G23" i="229"/>
  <c r="G22" i="229"/>
  <c r="G21" i="229"/>
  <c r="H21" i="229" s="1"/>
  <c r="G19" i="229"/>
  <c r="G18" i="229"/>
  <c r="G17" i="229"/>
  <c r="G16" i="229"/>
  <c r="G15" i="229"/>
  <c r="H19" i="229" l="1"/>
  <c r="H4" i="229"/>
  <c r="F32" i="229"/>
  <c r="H22" i="229"/>
  <c r="H28" i="229"/>
  <c r="H18" i="229"/>
  <c r="H17" i="229"/>
  <c r="H23" i="229"/>
  <c r="H26" i="229"/>
  <c r="H16" i="229"/>
  <c r="H15" i="229"/>
  <c r="H25" i="229"/>
  <c r="H29" i="229"/>
  <c r="H27" i="229"/>
  <c r="G7" i="229"/>
  <c r="H7" i="229" s="1"/>
  <c r="F6" i="229"/>
  <c r="B4" i="228"/>
  <c r="C4" i="228"/>
  <c r="D4" i="228"/>
  <c r="E4" i="228"/>
  <c r="F4" i="228"/>
  <c r="G4" i="228"/>
  <c r="H4" i="228"/>
  <c r="I4" i="228"/>
  <c r="J4" i="228"/>
  <c r="K4" i="228"/>
  <c r="L4" i="228"/>
  <c r="U11" i="228"/>
  <c r="U12" i="228"/>
  <c r="U13" i="228"/>
  <c r="U14" i="228"/>
  <c r="U15" i="228"/>
  <c r="U16" i="228"/>
  <c r="U17" i="228"/>
  <c r="U18" i="228"/>
  <c r="U19" i="228"/>
  <c r="U20" i="228"/>
  <c r="U21" i="228"/>
  <c r="F21" i="101"/>
  <c r="F25" i="101"/>
  <c r="F26" i="101"/>
  <c r="BY3" i="244"/>
  <c r="BZ3" i="244"/>
  <c r="CA3" i="244"/>
  <c r="CB3" i="244"/>
  <c r="CC3" i="244"/>
  <c r="CD3" i="244"/>
  <c r="CE3" i="244"/>
  <c r="CF3" i="244"/>
  <c r="CG3" i="244"/>
  <c r="CH3" i="244"/>
  <c r="CI3" i="244"/>
  <c r="CJ3" i="244"/>
  <c r="CK3" i="244"/>
  <c r="CL3" i="244"/>
  <c r="CM3" i="244"/>
  <c r="CN3" i="244"/>
  <c r="CO3" i="244"/>
  <c r="CP3" i="244"/>
  <c r="CQ3" i="244"/>
  <c r="CR3" i="244"/>
  <c r="CS3" i="244"/>
  <c r="CT3" i="244"/>
  <c r="CU3" i="244"/>
  <c r="CV3" i="244"/>
  <c r="CW3" i="244"/>
  <c r="CX3" i="244"/>
  <c r="CY3" i="244"/>
  <c r="CZ3" i="244"/>
  <c r="DA3" i="244"/>
  <c r="DB3" i="244"/>
  <c r="DC3" i="244"/>
  <c r="DD3" i="244"/>
  <c r="DE3" i="244"/>
  <c r="DF3" i="244"/>
  <c r="DG3" i="244"/>
  <c r="DH3" i="244"/>
  <c r="DI3" i="244"/>
  <c r="DJ3" i="244"/>
  <c r="DK3" i="244"/>
  <c r="DL3" i="244"/>
  <c r="DM3" i="244"/>
  <c r="DN3" i="244"/>
  <c r="DO3" i="244"/>
  <c r="DP3" i="244"/>
  <c r="DQ3" i="244"/>
  <c r="DR3" i="244"/>
  <c r="DS3" i="244"/>
  <c r="DT3" i="244"/>
  <c r="DU3" i="244"/>
  <c r="DV3" i="244"/>
  <c r="DW3" i="244"/>
  <c r="DX3" i="244"/>
  <c r="DY3" i="244"/>
  <c r="DZ3" i="244"/>
  <c r="EA3" i="244"/>
  <c r="EB3" i="244"/>
  <c r="EC3" i="244"/>
  <c r="ED3" i="244"/>
  <c r="EE3" i="244"/>
  <c r="EF3" i="244"/>
  <c r="B4" i="244"/>
  <c r="C4" i="244"/>
  <c r="N4" i="244" s="1"/>
  <c r="D4" i="244"/>
  <c r="E4" i="244"/>
  <c r="F4" i="244"/>
  <c r="G4" i="244"/>
  <c r="H4" i="244"/>
  <c r="I4" i="244"/>
  <c r="J4" i="244"/>
  <c r="K4" i="244"/>
  <c r="L4" i="244"/>
  <c r="M4" i="244"/>
  <c r="B5" i="244"/>
  <c r="C5" i="244"/>
  <c r="D5" i="244"/>
  <c r="E5" i="244"/>
  <c r="F5" i="244"/>
  <c r="G5" i="244"/>
  <c r="H5" i="244"/>
  <c r="I5" i="244"/>
  <c r="J5" i="244"/>
  <c r="K5" i="244"/>
  <c r="L5" i="244"/>
  <c r="M5" i="244"/>
  <c r="N6" i="244"/>
  <c r="B4" i="230"/>
  <c r="D4" i="230"/>
  <c r="B5" i="230"/>
  <c r="D5" i="230"/>
  <c r="B6" i="230"/>
  <c r="D6" i="230"/>
  <c r="B7" i="230"/>
  <c r="D7" i="230"/>
  <c r="B8" i="230"/>
  <c r="D8" i="230"/>
  <c r="B9" i="230"/>
  <c r="D9" i="230"/>
  <c r="B10" i="230"/>
  <c r="D10" i="230"/>
  <c r="B11" i="230"/>
  <c r="D11" i="230"/>
  <c r="B12" i="230"/>
  <c r="C12" i="230"/>
  <c r="D12" i="230"/>
  <c r="D13" i="230"/>
  <c r="C14" i="230"/>
  <c r="D14" i="230"/>
  <c r="E28" i="230"/>
  <c r="E32" i="230"/>
  <c r="E33" i="230" s="1"/>
  <c r="E48" i="230"/>
  <c r="E49" i="230" s="1"/>
  <c r="B2" i="246"/>
  <c r="C2" i="246"/>
  <c r="N2" i="246"/>
  <c r="B3" i="246"/>
  <c r="C5" i="246"/>
  <c r="D5" i="246"/>
  <c r="E5" i="246"/>
  <c r="F5" i="246"/>
  <c r="G5" i="246"/>
  <c r="H5" i="246"/>
  <c r="I5" i="246"/>
  <c r="J5" i="246"/>
  <c r="K5" i="246"/>
  <c r="L5" i="246"/>
  <c r="M5" i="246"/>
  <c r="N5" i="246"/>
  <c r="A6" i="246"/>
  <c r="B2" i="234"/>
  <c r="GG2" i="242" s="1"/>
  <c r="C2" i="234"/>
  <c r="GH2" i="242" s="1"/>
  <c r="D2" i="234"/>
  <c r="E2" i="234"/>
  <c r="F2" i="234"/>
  <c r="G2" i="234"/>
  <c r="H2" i="234"/>
  <c r="GM2" i="242" s="1"/>
  <c r="I2" i="234"/>
  <c r="GN2" i="242" s="1"/>
  <c r="J2" i="234"/>
  <c r="K2" i="234"/>
  <c r="GP2" i="242" s="1"/>
  <c r="L2" i="234"/>
  <c r="M2" i="234"/>
  <c r="GR2" i="242" s="1"/>
  <c r="D4" i="234"/>
  <c r="E4" i="234"/>
  <c r="GJ4" i="242" s="1"/>
  <c r="F4" i="234"/>
  <c r="F5" i="234" s="1"/>
  <c r="GK5" i="242" s="1"/>
  <c r="G4" i="234"/>
  <c r="G5" i="234" s="1"/>
  <c r="H4" i="234"/>
  <c r="H5" i="234" s="1"/>
  <c r="GM5" i="242" s="1"/>
  <c r="I4" i="234"/>
  <c r="I5" i="234" s="1"/>
  <c r="GN5" i="242" s="1"/>
  <c r="J4" i="234"/>
  <c r="K4" i="234"/>
  <c r="K5" i="234" s="1"/>
  <c r="GP5" i="242" s="1"/>
  <c r="L4" i="234"/>
  <c r="L5" i="234" s="1"/>
  <c r="GQ5" i="242" s="1"/>
  <c r="M4" i="234"/>
  <c r="M5" i="234" s="1"/>
  <c r="GR5" i="242" s="1"/>
  <c r="N4" i="234"/>
  <c r="N5" i="234" s="1"/>
  <c r="A6" i="234"/>
  <c r="GF6" i="242" s="1"/>
  <c r="B2" i="232"/>
  <c r="C2" i="232"/>
  <c r="FR2" i="242" s="1"/>
  <c r="D2" i="232"/>
  <c r="E2" i="232"/>
  <c r="FT2" i="242" s="1"/>
  <c r="F2" i="232"/>
  <c r="FU2" i="242" s="1"/>
  <c r="G2" i="232"/>
  <c r="FV2" i="242" s="1"/>
  <c r="H2" i="232"/>
  <c r="I2" i="232"/>
  <c r="FX2" i="242" s="1"/>
  <c r="J2" i="232"/>
  <c r="K2" i="232"/>
  <c r="FZ2" i="242" s="1"/>
  <c r="L2" i="232"/>
  <c r="GA2" i="242" s="1"/>
  <c r="M2" i="232"/>
  <c r="GB2" i="242" s="1"/>
  <c r="N2" i="232"/>
  <c r="B3" i="232"/>
  <c r="FQ3" i="242" s="1"/>
  <c r="N5" i="232"/>
  <c r="N6" i="232" s="1"/>
  <c r="D2" i="233"/>
  <c r="D2" i="246" s="1"/>
  <c r="E2" i="233"/>
  <c r="E1" i="241" s="1"/>
  <c r="EM2" i="242" s="1"/>
  <c r="F2" i="233"/>
  <c r="F2" i="246" s="1"/>
  <c r="G2" i="233"/>
  <c r="H2" i="233"/>
  <c r="H2" i="246" s="1"/>
  <c r="I2" i="233"/>
  <c r="I2" i="246" s="1"/>
  <c r="J2" i="233"/>
  <c r="J2" i="246" s="1"/>
  <c r="K2" i="233"/>
  <c r="FI2" i="242" s="1"/>
  <c r="L2" i="233"/>
  <c r="L2" i="246" s="1"/>
  <c r="M2" i="233"/>
  <c r="N4" i="233"/>
  <c r="N9" i="233"/>
  <c r="B14" i="233"/>
  <c r="EZ14" i="242" s="1"/>
  <c r="N15" i="233"/>
  <c r="N16" i="233"/>
  <c r="N17" i="233"/>
  <c r="N18" i="233"/>
  <c r="N19" i="233"/>
  <c r="N42" i="233"/>
  <c r="B3" i="216"/>
  <c r="A42" i="233" s="1"/>
  <c r="C3" i="216"/>
  <c r="C42" i="233" s="1"/>
  <c r="D3" i="216"/>
  <c r="D42" i="233" s="1"/>
  <c r="E3" i="216"/>
  <c r="F3" i="216"/>
  <c r="F42" i="233" s="1"/>
  <c r="G3" i="216"/>
  <c r="G42" i="233" s="1"/>
  <c r="H3" i="216"/>
  <c r="H42" i="233" s="1"/>
  <c r="B6" i="216"/>
  <c r="B7" i="216"/>
  <c r="B8" i="216"/>
  <c r="DU7" i="242" s="1"/>
  <c r="B9" i="216"/>
  <c r="DU8" i="242" s="1"/>
  <c r="B10" i="216"/>
  <c r="B11" i="216"/>
  <c r="B12" i="216"/>
  <c r="B13" i="216"/>
  <c r="B18" i="216"/>
  <c r="DU17" i="242" s="1"/>
  <c r="B19" i="216"/>
  <c r="DU18" i="242" s="1"/>
  <c r="B22" i="216"/>
  <c r="B23" i="216"/>
  <c r="D35" i="216"/>
  <c r="D45" i="216" s="1"/>
  <c r="E27" i="247" s="1"/>
  <c r="E35" i="216"/>
  <c r="F35" i="216"/>
  <c r="G35" i="216"/>
  <c r="H35" i="216"/>
  <c r="I35" i="216"/>
  <c r="J35" i="216"/>
  <c r="K35" i="216"/>
  <c r="L35" i="216"/>
  <c r="M35" i="216"/>
  <c r="E36" i="216"/>
  <c r="F36" i="216"/>
  <c r="G36" i="216"/>
  <c r="H36" i="216"/>
  <c r="I36" i="216"/>
  <c r="J36" i="216"/>
  <c r="K36" i="216"/>
  <c r="L36" i="216"/>
  <c r="M36" i="216"/>
  <c r="F37" i="216"/>
  <c r="G37" i="216"/>
  <c r="H37" i="216"/>
  <c r="I37" i="216"/>
  <c r="J37" i="216"/>
  <c r="K37" i="216"/>
  <c r="L37" i="216"/>
  <c r="M37" i="216"/>
  <c r="G38" i="216"/>
  <c r="H38" i="216"/>
  <c r="I38" i="216"/>
  <c r="J38" i="216"/>
  <c r="K38" i="216"/>
  <c r="L38" i="216"/>
  <c r="M38" i="216"/>
  <c r="H39" i="216"/>
  <c r="I39" i="216"/>
  <c r="J39" i="216"/>
  <c r="K39" i="216"/>
  <c r="L39" i="216"/>
  <c r="M39" i="216"/>
  <c r="I40" i="216"/>
  <c r="J40" i="216"/>
  <c r="K40" i="216"/>
  <c r="L40" i="216"/>
  <c r="M40" i="216"/>
  <c r="J41" i="216"/>
  <c r="K41" i="216"/>
  <c r="L41" i="216"/>
  <c r="M41" i="216"/>
  <c r="K42" i="216"/>
  <c r="L42" i="216"/>
  <c r="M42" i="216"/>
  <c r="L43" i="216"/>
  <c r="M43" i="216"/>
  <c r="M44" i="216"/>
  <c r="C2" i="218"/>
  <c r="D2" i="218"/>
  <c r="E2" i="218"/>
  <c r="F2" i="218"/>
  <c r="G2" i="218"/>
  <c r="H2" i="218"/>
  <c r="I2" i="218"/>
  <c r="J2" i="218"/>
  <c r="K2" i="218"/>
  <c r="L2" i="218"/>
  <c r="M2" i="218"/>
  <c r="C4" i="237"/>
  <c r="D4" i="237"/>
  <c r="E4" i="237"/>
  <c r="F4" i="237"/>
  <c r="G4" i="237"/>
  <c r="H4" i="237"/>
  <c r="I4" i="237"/>
  <c r="J4" i="237"/>
  <c r="K4" i="237"/>
  <c r="L4" i="237"/>
  <c r="M4" i="237"/>
  <c r="C4" i="250"/>
  <c r="D4" i="250"/>
  <c r="E4" i="250"/>
  <c r="F4" i="250"/>
  <c r="G4" i="250"/>
  <c r="H4" i="250"/>
  <c r="I4" i="250"/>
  <c r="J4" i="250"/>
  <c r="K4" i="250"/>
  <c r="L4" i="250"/>
  <c r="M4" i="250"/>
  <c r="B1" i="241"/>
  <c r="EJ2" i="242" s="1"/>
  <c r="C1" i="241"/>
  <c r="I1" i="241"/>
  <c r="EQ2" i="242" s="1"/>
  <c r="C4" i="241"/>
  <c r="EK5" i="242" s="1"/>
  <c r="D4" i="241"/>
  <c r="EL5" i="242" s="1"/>
  <c r="E4" i="241"/>
  <c r="EM5" i="242" s="1"/>
  <c r="F4" i="241"/>
  <c r="G4" i="241"/>
  <c r="EO5" i="242" s="1"/>
  <c r="H4" i="241"/>
  <c r="EP5" i="242" s="1"/>
  <c r="I4" i="241"/>
  <c r="J4" i="241"/>
  <c r="ER5" i="242" s="1"/>
  <c r="K4" i="241"/>
  <c r="ES5" i="242" s="1"/>
  <c r="L4" i="241"/>
  <c r="M4" i="241"/>
  <c r="EU5" i="242" s="1"/>
  <c r="A10" i="241"/>
  <c r="EI11" i="242" s="1"/>
  <c r="B18" i="241"/>
  <c r="B16" i="241" s="1"/>
  <c r="EJ17" i="242" s="1"/>
  <c r="A4" i="243"/>
  <c r="DT1" i="242"/>
  <c r="A2" i="242"/>
  <c r="B2" i="242"/>
  <c r="C2" i="242"/>
  <c r="D2" i="242"/>
  <c r="E2" i="242"/>
  <c r="F2" i="242"/>
  <c r="G2" i="242"/>
  <c r="H2" i="242"/>
  <c r="I2" i="242"/>
  <c r="J2" i="242"/>
  <c r="K2" i="242"/>
  <c r="L2" i="242"/>
  <c r="M2" i="242"/>
  <c r="P2" i="242"/>
  <c r="Q2" i="242"/>
  <c r="R2" i="242"/>
  <c r="T2" i="242"/>
  <c r="W2" i="242"/>
  <c r="X2" i="242"/>
  <c r="Y2" i="242"/>
  <c r="Z2" i="242"/>
  <c r="AA2" i="242"/>
  <c r="AB2" i="242"/>
  <c r="AL2" i="242"/>
  <c r="AM2" i="242"/>
  <c r="AN2" i="242"/>
  <c r="AP2" i="242"/>
  <c r="AQ2" i="242"/>
  <c r="AW2" i="242"/>
  <c r="AX2" i="242"/>
  <c r="AZ2" i="242"/>
  <c r="BA2" i="242"/>
  <c r="BB2" i="242"/>
  <c r="BT2" i="242"/>
  <c r="BU2" i="242"/>
  <c r="BV2" i="242"/>
  <c r="BW2" i="242"/>
  <c r="BX2" i="242"/>
  <c r="BY2" i="242"/>
  <c r="BZ2" i="242"/>
  <c r="CB2" i="242"/>
  <c r="CO2" i="242"/>
  <c r="DD2" i="242"/>
  <c r="DT2" i="242"/>
  <c r="DU2" i="242"/>
  <c r="DV2" i="242"/>
  <c r="DW2" i="242"/>
  <c r="DX2" i="242"/>
  <c r="DY2" i="242"/>
  <c r="DZ2" i="242"/>
  <c r="EA2" i="242"/>
  <c r="EB2" i="242"/>
  <c r="EC2" i="242"/>
  <c r="ED2" i="242"/>
  <c r="EE2" i="242"/>
  <c r="EF2" i="242"/>
  <c r="EK2" i="242"/>
  <c r="EY2" i="242"/>
  <c r="EZ2" i="242"/>
  <c r="FA2" i="242"/>
  <c r="FB2" i="242"/>
  <c r="FG2" i="242"/>
  <c r="FL2" i="242"/>
  <c r="FP2" i="242"/>
  <c r="FQ2" i="242"/>
  <c r="FS2" i="242"/>
  <c r="FW2" i="242"/>
  <c r="FY2" i="242"/>
  <c r="GF2" i="242"/>
  <c r="GI2" i="242"/>
  <c r="GJ2" i="242"/>
  <c r="GK2" i="242"/>
  <c r="GL2" i="242"/>
  <c r="GO2" i="242"/>
  <c r="GQ2" i="242"/>
  <c r="A3" i="242"/>
  <c r="B3" i="242"/>
  <c r="C3" i="242"/>
  <c r="D3" i="242"/>
  <c r="E3" i="242"/>
  <c r="F3" i="242"/>
  <c r="G3" i="242"/>
  <c r="M3" i="242"/>
  <c r="R3" i="242"/>
  <c r="S3" i="242"/>
  <c r="W3" i="242"/>
  <c r="X3" i="242"/>
  <c r="Y3" i="242"/>
  <c r="Z3" i="242"/>
  <c r="AA3" i="242"/>
  <c r="AL3" i="242"/>
  <c r="AM3" i="242"/>
  <c r="AN3" i="242"/>
  <c r="AO3" i="242"/>
  <c r="AQ3" i="242"/>
  <c r="AR3" i="242"/>
  <c r="AS3" i="242"/>
  <c r="AX3" i="242"/>
  <c r="AY3" i="242"/>
  <c r="BB3" i="242"/>
  <c r="BC3" i="242"/>
  <c r="BD3" i="242"/>
  <c r="BE3" i="242"/>
  <c r="BF3" i="242"/>
  <c r="BG3" i="242"/>
  <c r="BL3" i="242"/>
  <c r="BM3" i="242"/>
  <c r="BO3" i="242"/>
  <c r="BP3" i="242"/>
  <c r="BV3" i="242"/>
  <c r="BW3" i="242"/>
  <c r="BX3" i="242"/>
  <c r="BY3" i="242"/>
  <c r="DT3" i="242"/>
  <c r="DU3" i="242"/>
  <c r="EI3" i="242"/>
  <c r="EY3" i="242"/>
  <c r="FP3" i="242"/>
  <c r="GF3" i="242"/>
  <c r="A4" i="242"/>
  <c r="H4" i="242"/>
  <c r="H20" i="242" s="1"/>
  <c r="M4" i="242"/>
  <c r="P4" i="242"/>
  <c r="Q4" i="242"/>
  <c r="W4" i="242"/>
  <c r="X4" i="242"/>
  <c r="Y4" i="242"/>
  <c r="Z4" i="242"/>
  <c r="AL4" i="242"/>
  <c r="AP4" i="242"/>
  <c r="BA4" i="242"/>
  <c r="BE4" i="242"/>
  <c r="BL4" i="242"/>
  <c r="BM4" i="242"/>
  <c r="BT4" i="242"/>
  <c r="BV4" i="242"/>
  <c r="DT4" i="242"/>
  <c r="EI4" i="242"/>
  <c r="EY4" i="242"/>
  <c r="FP4" i="242"/>
  <c r="FR4" i="242"/>
  <c r="FS4" i="242"/>
  <c r="FT4" i="242"/>
  <c r="FU4" i="242"/>
  <c r="FV4" i="242"/>
  <c r="FW4" i="242"/>
  <c r="FX4" i="242"/>
  <c r="FY4" i="242"/>
  <c r="FZ4" i="242"/>
  <c r="GA4" i="242"/>
  <c r="GB4" i="242"/>
  <c r="GF4" i="242"/>
  <c r="GK4" i="242"/>
  <c r="GM4" i="242"/>
  <c r="GQ4" i="242"/>
  <c r="A5" i="242"/>
  <c r="B5" i="242"/>
  <c r="C5" i="242"/>
  <c r="D5" i="242"/>
  <c r="E5" i="242"/>
  <c r="F5" i="242"/>
  <c r="G5" i="242"/>
  <c r="H5" i="242"/>
  <c r="M5" i="242"/>
  <c r="P5" i="242"/>
  <c r="Q5" i="242"/>
  <c r="W5" i="242"/>
  <c r="X5" i="242"/>
  <c r="Y5" i="242"/>
  <c r="Z5" i="242"/>
  <c r="AL5" i="242"/>
  <c r="AP5" i="242"/>
  <c r="BA5" i="242"/>
  <c r="BE5" i="242"/>
  <c r="BL5" i="242"/>
  <c r="BM5" i="242"/>
  <c r="BT5" i="242"/>
  <c r="BV5" i="242"/>
  <c r="DT5" i="242"/>
  <c r="DU5" i="242"/>
  <c r="EJ5" i="242"/>
  <c r="EN5" i="242"/>
  <c r="EQ5" i="242"/>
  <c r="ET5" i="242"/>
  <c r="EY5" i="242"/>
  <c r="FB5" i="242"/>
  <c r="FC5" i="242"/>
  <c r="FD5" i="242"/>
  <c r="FE5" i="242"/>
  <c r="FF5" i="242"/>
  <c r="FG5" i="242"/>
  <c r="FH5" i="242"/>
  <c r="FI5" i="242"/>
  <c r="FJ5" i="242"/>
  <c r="FK5" i="242"/>
  <c r="FL5" i="242"/>
  <c r="FP5" i="242"/>
  <c r="FQ5" i="242"/>
  <c r="GF5" i="242"/>
  <c r="GL5" i="242"/>
  <c r="A6" i="242"/>
  <c r="P6" i="242"/>
  <c r="Q6" i="242"/>
  <c r="W6" i="242"/>
  <c r="X6" i="242"/>
  <c r="Y6" i="242"/>
  <c r="Z6" i="242"/>
  <c r="AL6" i="242"/>
  <c r="AP6" i="242"/>
  <c r="BA6" i="242"/>
  <c r="BE6" i="242"/>
  <c r="BL6" i="242"/>
  <c r="BM6" i="242"/>
  <c r="BT6" i="242"/>
  <c r="BV6" i="242"/>
  <c r="DT6" i="242"/>
  <c r="DU6" i="242"/>
  <c r="EJ6" i="242"/>
  <c r="EY6" i="242"/>
  <c r="FA6" i="242"/>
  <c r="FB6" i="242"/>
  <c r="FC6" i="242"/>
  <c r="FD6" i="242"/>
  <c r="FE6" i="242"/>
  <c r="FF6" i="242"/>
  <c r="FG6" i="242"/>
  <c r="FH6" i="242"/>
  <c r="FI6" i="242"/>
  <c r="FJ6" i="242"/>
  <c r="FK6" i="242"/>
  <c r="FL6" i="242"/>
  <c r="FP6" i="242"/>
  <c r="A7" i="242"/>
  <c r="M7" i="242"/>
  <c r="P7" i="242"/>
  <c r="Q7" i="242"/>
  <c r="W7" i="242"/>
  <c r="X7" i="242"/>
  <c r="Y7" i="242"/>
  <c r="Z7" i="242"/>
  <c r="AL7" i="242"/>
  <c r="AP7" i="242"/>
  <c r="BA7" i="242"/>
  <c r="BE7" i="242"/>
  <c r="BL7" i="242"/>
  <c r="BM7" i="242"/>
  <c r="BT7" i="242"/>
  <c r="BV7" i="242"/>
  <c r="DT7" i="242"/>
  <c r="EJ7" i="242"/>
  <c r="EY7" i="242"/>
  <c r="FL7" i="242"/>
  <c r="FP7" i="242"/>
  <c r="GF7" i="242"/>
  <c r="A8" i="242"/>
  <c r="M8" i="242"/>
  <c r="P8" i="242"/>
  <c r="Q8" i="242"/>
  <c r="W8" i="242"/>
  <c r="X8" i="242"/>
  <c r="Y8" i="242"/>
  <c r="Z8" i="242"/>
  <c r="AL8" i="242"/>
  <c r="AP8" i="242"/>
  <c r="BA8" i="242"/>
  <c r="BE8" i="242"/>
  <c r="BL8" i="242"/>
  <c r="BM8" i="242"/>
  <c r="BT8" i="242"/>
  <c r="BV8" i="242"/>
  <c r="DT8" i="242"/>
  <c r="EJ8" i="242"/>
  <c r="EY8" i="242"/>
  <c r="FP8" i="242"/>
  <c r="GF8" i="242"/>
  <c r="GG8" i="242"/>
  <c r="GH8" i="242"/>
  <c r="GI8" i="242"/>
  <c r="GJ8" i="242"/>
  <c r="GK8" i="242"/>
  <c r="GL8" i="242"/>
  <c r="GM8" i="242"/>
  <c r="GN8" i="242"/>
  <c r="GO8" i="242"/>
  <c r="GP8" i="242"/>
  <c r="GQ8" i="242"/>
  <c r="GR8" i="242"/>
  <c r="A9" i="242"/>
  <c r="M9" i="242"/>
  <c r="P9" i="242"/>
  <c r="Q9" i="242"/>
  <c r="X9" i="242"/>
  <c r="AL9" i="242"/>
  <c r="AP9" i="242"/>
  <c r="BA9" i="242"/>
  <c r="BE9" i="242"/>
  <c r="BL9" i="242"/>
  <c r="BM9" i="242"/>
  <c r="BT9" i="242"/>
  <c r="BV9" i="242"/>
  <c r="DT9" i="242"/>
  <c r="DU9" i="242"/>
  <c r="EJ9" i="242"/>
  <c r="EY9" i="242"/>
  <c r="FP9" i="242"/>
  <c r="FQ9" i="242"/>
  <c r="FR9" i="242"/>
  <c r="FS9" i="242"/>
  <c r="FT9" i="242"/>
  <c r="FU9" i="242"/>
  <c r="FV9" i="242"/>
  <c r="FW9" i="242"/>
  <c r="FX9" i="242"/>
  <c r="FY9" i="242"/>
  <c r="FZ9" i="242"/>
  <c r="GA9" i="242"/>
  <c r="GB9" i="242"/>
  <c r="GF9" i="242"/>
  <c r="GG9" i="242"/>
  <c r="GH9" i="242"/>
  <c r="GI9" i="242"/>
  <c r="GJ9" i="242"/>
  <c r="GK9" i="242"/>
  <c r="GL9" i="242"/>
  <c r="GM9" i="242"/>
  <c r="GN9" i="242"/>
  <c r="GO9" i="242"/>
  <c r="GP9" i="242"/>
  <c r="GQ9" i="242"/>
  <c r="GR9" i="242"/>
  <c r="A10" i="242"/>
  <c r="M10" i="242"/>
  <c r="P10" i="242"/>
  <c r="Q10" i="242"/>
  <c r="AL10" i="242"/>
  <c r="AP10" i="242"/>
  <c r="BA10" i="242"/>
  <c r="BE10" i="242"/>
  <c r="BL10" i="242"/>
  <c r="BM10" i="242"/>
  <c r="BT10" i="242"/>
  <c r="BV10" i="242"/>
  <c r="DT10" i="242"/>
  <c r="DU10" i="242"/>
  <c r="EJ10" i="242"/>
  <c r="EY10" i="242"/>
  <c r="EZ10" i="242"/>
  <c r="EZ8" i="242" s="1"/>
  <c r="FA10" i="242"/>
  <c r="FB10" i="242"/>
  <c r="FC10" i="242"/>
  <c r="FD10" i="242"/>
  <c r="FE10" i="242"/>
  <c r="FF10" i="242"/>
  <c r="FG10" i="242"/>
  <c r="FH10" i="242"/>
  <c r="FI10" i="242"/>
  <c r="FJ10" i="242"/>
  <c r="FK10" i="242"/>
  <c r="FP10" i="242"/>
  <c r="FQ10" i="242"/>
  <c r="FR10" i="242"/>
  <c r="FS10" i="242"/>
  <c r="FT10" i="242"/>
  <c r="FU10" i="242"/>
  <c r="FV10" i="242"/>
  <c r="FW10" i="242"/>
  <c r="FX10" i="242"/>
  <c r="FY10" i="242"/>
  <c r="FZ10" i="242"/>
  <c r="GA10" i="242"/>
  <c r="GB10" i="242"/>
  <c r="GF10" i="242"/>
  <c r="A11" i="242"/>
  <c r="M11" i="242"/>
  <c r="P11" i="242"/>
  <c r="Q11" i="242"/>
  <c r="AL11" i="242"/>
  <c r="AP11" i="242"/>
  <c r="BA11" i="242"/>
  <c r="BE11" i="242"/>
  <c r="BL11" i="242"/>
  <c r="BM11" i="242"/>
  <c r="BN11" i="242"/>
  <c r="BT11" i="242"/>
  <c r="BV11" i="242"/>
  <c r="DT11" i="242"/>
  <c r="DU11" i="242"/>
  <c r="EY11" i="242"/>
  <c r="FP11" i="242"/>
  <c r="GF11" i="242"/>
  <c r="GH11" i="242"/>
  <c r="GI11" i="242"/>
  <c r="GJ11" i="242"/>
  <c r="GK11" i="242"/>
  <c r="GL11" i="242"/>
  <c r="GM11" i="242"/>
  <c r="GN11" i="242"/>
  <c r="GO11" i="242"/>
  <c r="GP11" i="242"/>
  <c r="GQ11" i="242"/>
  <c r="GR11" i="242"/>
  <c r="A12" i="242"/>
  <c r="M12" i="242"/>
  <c r="P12" i="242"/>
  <c r="Q12" i="242"/>
  <c r="R12" i="242"/>
  <c r="C12" i="248" s="1"/>
  <c r="X12" i="242"/>
  <c r="AL12" i="242"/>
  <c r="AW12" i="242"/>
  <c r="BA12" i="242"/>
  <c r="BE12" i="242"/>
  <c r="BL12" i="242"/>
  <c r="BT12" i="242"/>
  <c r="BV12" i="242"/>
  <c r="DT12" i="242"/>
  <c r="DU12" i="242"/>
  <c r="EI12" i="242"/>
  <c r="EY12" i="242"/>
  <c r="FP12" i="242"/>
  <c r="FR12" i="242"/>
  <c r="FS12" i="242"/>
  <c r="FT12" i="242"/>
  <c r="FU12" i="242"/>
  <c r="FV12" i="242"/>
  <c r="FW12" i="242"/>
  <c r="FX12" i="242"/>
  <c r="FY12" i="242"/>
  <c r="FZ12" i="242"/>
  <c r="GA12" i="242"/>
  <c r="GB12" i="242"/>
  <c r="A13" i="242"/>
  <c r="M13" i="242"/>
  <c r="P13" i="242"/>
  <c r="X13" i="242"/>
  <c r="AW13" i="242"/>
  <c r="AZ13" i="242"/>
  <c r="BA13" i="242"/>
  <c r="BE13" i="242"/>
  <c r="BL13" i="242"/>
  <c r="BM13" i="242"/>
  <c r="BT13" i="242"/>
  <c r="BV13" i="242"/>
  <c r="DT13" i="242"/>
  <c r="EI13" i="242"/>
  <c r="EY13" i="242"/>
  <c r="FA13" i="242"/>
  <c r="FA12" i="242" s="1"/>
  <c r="FB13" i="242"/>
  <c r="FB12" i="242" s="1"/>
  <c r="FC13" i="242"/>
  <c r="FC12" i="242" s="1"/>
  <c r="FD13" i="242"/>
  <c r="FD12" i="242" s="1"/>
  <c r="FE13" i="242"/>
  <c r="FE12" i="242" s="1"/>
  <c r="FF13" i="242"/>
  <c r="FF12" i="242" s="1"/>
  <c r="FG13" i="242"/>
  <c r="FG12" i="242" s="1"/>
  <c r="FH13" i="242"/>
  <c r="FH12" i="242" s="1"/>
  <c r="FI13" i="242"/>
  <c r="FI12" i="242" s="1"/>
  <c r="FJ13" i="242"/>
  <c r="FJ12" i="242" s="1"/>
  <c r="FK13" i="242"/>
  <c r="FK12" i="242" s="1"/>
  <c r="FL13" i="242"/>
  <c r="FL12" i="242" s="1"/>
  <c r="A14" i="242"/>
  <c r="P14" i="242"/>
  <c r="BL14" i="242"/>
  <c r="BM14" i="242"/>
  <c r="BN14" i="242"/>
  <c r="BT14" i="242"/>
  <c r="BV14" i="242"/>
  <c r="EI14" i="242"/>
  <c r="EY14" i="242"/>
  <c r="FL14" i="242"/>
  <c r="A15" i="242"/>
  <c r="H15" i="242"/>
  <c r="P15" i="242"/>
  <c r="AW15" i="242"/>
  <c r="BL15" i="242"/>
  <c r="BT15" i="242"/>
  <c r="BV15" i="242"/>
  <c r="EI15" i="242"/>
  <c r="EJ15" i="242"/>
  <c r="EY15" i="242"/>
  <c r="EZ15" i="242"/>
  <c r="FL15" i="242"/>
  <c r="A16" i="242"/>
  <c r="H16" i="242"/>
  <c r="P16" i="242"/>
  <c r="R16" i="242"/>
  <c r="AW16" i="242"/>
  <c r="AX16" i="242"/>
  <c r="AY16" i="242"/>
  <c r="AZ16" i="242"/>
  <c r="BA16" i="242"/>
  <c r="BB16" i="242"/>
  <c r="BC16" i="242"/>
  <c r="BD16" i="242"/>
  <c r="BE16" i="242"/>
  <c r="BF16" i="242"/>
  <c r="BG16" i="242"/>
  <c r="BH16" i="242"/>
  <c r="BL16" i="242"/>
  <c r="BM16" i="242"/>
  <c r="BT16" i="242"/>
  <c r="BV16" i="242"/>
  <c r="DT16" i="242"/>
  <c r="EI16" i="242"/>
  <c r="EY16" i="242"/>
  <c r="FL16" i="242"/>
  <c r="A17" i="242"/>
  <c r="H17" i="242"/>
  <c r="P17" i="242"/>
  <c r="AW17" i="242"/>
  <c r="BL17" i="242"/>
  <c r="BM17" i="242"/>
  <c r="BT17" i="242"/>
  <c r="BV17" i="242"/>
  <c r="DT17" i="242"/>
  <c r="EI17" i="242"/>
  <c r="EY17" i="242"/>
  <c r="EZ17" i="242"/>
  <c r="FL17" i="242"/>
  <c r="AW18" i="242"/>
  <c r="AX18" i="242"/>
  <c r="AY18" i="242"/>
  <c r="AZ18" i="242"/>
  <c r="BA18" i="242"/>
  <c r="BB18" i="242"/>
  <c r="BC18" i="242"/>
  <c r="BD18" i="242"/>
  <c r="BE18" i="242"/>
  <c r="BF18" i="242"/>
  <c r="BG18" i="242"/>
  <c r="BH18" i="242"/>
  <c r="BL18" i="242"/>
  <c r="BM18" i="242"/>
  <c r="BT18" i="242"/>
  <c r="BV18" i="242"/>
  <c r="BX18" i="242"/>
  <c r="CA18" i="242"/>
  <c r="DC18" i="242"/>
  <c r="DT18" i="242"/>
  <c r="EI18" i="242"/>
  <c r="EJ18" i="242"/>
  <c r="EK18" i="242"/>
  <c r="EL18" i="242"/>
  <c r="EM18" i="242"/>
  <c r="EN18" i="242"/>
  <c r="EO18" i="242"/>
  <c r="EP18" i="242"/>
  <c r="EQ18" i="242"/>
  <c r="ER18" i="242"/>
  <c r="ES18" i="242"/>
  <c r="ET18" i="242"/>
  <c r="EU18" i="242"/>
  <c r="EY18" i="242"/>
  <c r="EZ18" i="242"/>
  <c r="FL18" i="242"/>
  <c r="BL19" i="242"/>
  <c r="BM19" i="242"/>
  <c r="BO19" i="242"/>
  <c r="BP19" i="242" s="1"/>
  <c r="BZ17" i="242" s="1"/>
  <c r="DT19" i="242"/>
  <c r="EI19" i="242"/>
  <c r="EY19" i="242"/>
  <c r="EZ19" i="242"/>
  <c r="FL19" i="242"/>
  <c r="A20" i="242"/>
  <c r="X20" i="242"/>
  <c r="BL20" i="242"/>
  <c r="DT20" i="242"/>
  <c r="DU20" i="242"/>
  <c r="EI20" i="242"/>
  <c r="EY20" i="242"/>
  <c r="A21" i="242"/>
  <c r="M21" i="242"/>
  <c r="X21" i="242"/>
  <c r="BL21" i="242"/>
  <c r="DT21" i="242"/>
  <c r="DU21" i="242"/>
  <c r="EI21" i="242"/>
  <c r="EY21" i="242"/>
  <c r="A22" i="242"/>
  <c r="M22" i="242"/>
  <c r="DT22" i="242"/>
  <c r="DU22" i="242"/>
  <c r="EI22" i="242"/>
  <c r="EJ22" i="242"/>
  <c r="EK22" i="242"/>
  <c r="N23" i="242"/>
  <c r="M23" i="242" s="1"/>
  <c r="DT23" i="242"/>
  <c r="DU23" i="242"/>
  <c r="EI23" i="242"/>
  <c r="EJ23" i="242"/>
  <c r="N24" i="242"/>
  <c r="M24" i="242" s="1"/>
  <c r="DT24" i="242"/>
  <c r="DU24" i="242"/>
  <c r="N25" i="242"/>
  <c r="M25" i="242" s="1"/>
  <c r="DT25" i="242"/>
  <c r="DU25" i="242"/>
  <c r="N26" i="242"/>
  <c r="M26" i="242" s="1"/>
  <c r="DT26" i="242"/>
  <c r="DU26" i="242"/>
  <c r="N27" i="242"/>
  <c r="M27" i="242" s="1"/>
  <c r="DT27" i="242"/>
  <c r="N28" i="242"/>
  <c r="M28" i="242" s="1"/>
  <c r="DT28" i="242"/>
  <c r="N29" i="242"/>
  <c r="M29" i="242" s="1"/>
  <c r="AW29" i="242"/>
  <c r="DT29" i="242"/>
  <c r="DU29" i="242"/>
  <c r="N30" i="242"/>
  <c r="M30" i="242" s="1"/>
  <c r="DT30" i="242"/>
  <c r="N31" i="242"/>
  <c r="M31" i="242" s="1"/>
  <c r="DT31" i="242"/>
  <c r="DU31" i="242"/>
  <c r="ED31" i="242"/>
  <c r="EE31" i="242"/>
  <c r="EF31" i="242"/>
  <c r="M32" i="242"/>
  <c r="DT32" i="242"/>
  <c r="DU32" i="242"/>
  <c r="DW32" i="242"/>
  <c r="M33" i="242"/>
  <c r="DT33" i="242"/>
  <c r="A34" i="242"/>
  <c r="M34" i="242"/>
  <c r="FL9" i="242" s="1"/>
  <c r="A35" i="242"/>
  <c r="DT35" i="242"/>
  <c r="DU35" i="242"/>
  <c r="A36" i="242"/>
  <c r="DT36" i="242"/>
  <c r="DU36" i="242"/>
  <c r="DT37" i="242"/>
  <c r="DU37" i="242"/>
  <c r="A38" i="242"/>
  <c r="DT38" i="242"/>
  <c r="DU38" i="242"/>
  <c r="DV38" i="242"/>
  <c r="DT39" i="242"/>
  <c r="DU39" i="242"/>
  <c r="E4" i="248"/>
  <c r="B5" i="248"/>
  <c r="B21" i="248" s="1"/>
  <c r="E5" i="248"/>
  <c r="B6" i="248"/>
  <c r="B22" i="248" s="1"/>
  <c r="E6" i="248"/>
  <c r="AZ5" i="242" s="1"/>
  <c r="B7" i="248"/>
  <c r="B23" i="248" s="1"/>
  <c r="E7" i="248"/>
  <c r="AZ6" i="242" s="1"/>
  <c r="B8" i="248"/>
  <c r="B24" i="248" s="1"/>
  <c r="E8" i="248"/>
  <c r="B9" i="248"/>
  <c r="B25" i="248" s="1"/>
  <c r="E9" i="248"/>
  <c r="B10" i="248"/>
  <c r="B26" i="248" s="1"/>
  <c r="E10" i="248"/>
  <c r="B11" i="248"/>
  <c r="B27" i="248" s="1"/>
  <c r="E11" i="248"/>
  <c r="AZ10" i="242" s="1"/>
  <c r="B12" i="248"/>
  <c r="B28" i="248" s="1"/>
  <c r="E12" i="248"/>
  <c r="AZ11" i="242" s="1"/>
  <c r="E13" i="248"/>
  <c r="C18" i="248"/>
  <c r="D18" i="248"/>
  <c r="E18" i="248"/>
  <c r="F18" i="248"/>
  <c r="G18" i="248"/>
  <c r="H18" i="248"/>
  <c r="I18" i="248"/>
  <c r="J18" i="248"/>
  <c r="K18" i="248"/>
  <c r="L18" i="248"/>
  <c r="M18" i="248"/>
  <c r="B20" i="248"/>
  <c r="C20" i="248"/>
  <c r="D20" i="248"/>
  <c r="E20" i="248"/>
  <c r="F20" i="248"/>
  <c r="G20" i="248"/>
  <c r="H20" i="248"/>
  <c r="I20" i="248" s="1"/>
  <c r="J20" i="248" s="1"/>
  <c r="B29" i="248"/>
  <c r="C2" i="236"/>
  <c r="D3" i="236"/>
  <c r="E3" i="236"/>
  <c r="G3" i="236"/>
  <c r="H3" i="236"/>
  <c r="I3" i="236"/>
  <c r="J3" i="236"/>
  <c r="M3" i="236"/>
  <c r="N3" i="236"/>
  <c r="C5" i="236"/>
  <c r="C12" i="236" s="1"/>
  <c r="D5" i="236"/>
  <c r="E5" i="236"/>
  <c r="F5" i="236"/>
  <c r="G5" i="236"/>
  <c r="H5" i="236"/>
  <c r="I5" i="236"/>
  <c r="J5" i="236"/>
  <c r="K5" i="236"/>
  <c r="L5" i="236"/>
  <c r="M5" i="236"/>
  <c r="N5" i="236"/>
  <c r="C22" i="236"/>
  <c r="D22" i="236"/>
  <c r="E22" i="236"/>
  <c r="F22" i="236"/>
  <c r="G22" i="236"/>
  <c r="H22" i="236"/>
  <c r="I22" i="236"/>
  <c r="J22" i="236"/>
  <c r="K22" i="236"/>
  <c r="L22" i="236"/>
  <c r="M22" i="236"/>
  <c r="C2" i="249"/>
  <c r="D3" i="249"/>
  <c r="G3" i="249"/>
  <c r="H3" i="249"/>
  <c r="I3" i="249"/>
  <c r="J3" i="249"/>
  <c r="M3" i="249"/>
  <c r="N3" i="249"/>
  <c r="C12" i="249"/>
  <c r="D12" i="249"/>
  <c r="E12" i="249"/>
  <c r="F12" i="249"/>
  <c r="G12" i="249"/>
  <c r="H12" i="249"/>
  <c r="I12" i="249"/>
  <c r="J12" i="249"/>
  <c r="K12" i="249"/>
  <c r="L12" i="249"/>
  <c r="M12" i="249"/>
  <c r="N12" i="249"/>
  <c r="C15" i="249"/>
  <c r="D15" i="249"/>
  <c r="E15" i="249"/>
  <c r="F15" i="249"/>
  <c r="G15" i="249"/>
  <c r="H15" i="249"/>
  <c r="I15" i="249"/>
  <c r="J15" i="249"/>
  <c r="K15" i="249"/>
  <c r="L15" i="249"/>
  <c r="M15" i="249"/>
  <c r="N15" i="249"/>
  <c r="C18" i="249"/>
  <c r="D18" i="249"/>
  <c r="E18" i="249"/>
  <c r="F18" i="249"/>
  <c r="G18" i="249"/>
  <c r="H18" i="249"/>
  <c r="I18" i="249"/>
  <c r="J18" i="249"/>
  <c r="K18" i="249"/>
  <c r="L18" i="249"/>
  <c r="M18" i="249"/>
  <c r="N18" i="249"/>
  <c r="C19" i="249"/>
  <c r="D19" i="249"/>
  <c r="E19" i="249"/>
  <c r="F19" i="249"/>
  <c r="G19" i="249"/>
  <c r="H19" i="249"/>
  <c r="I19" i="249"/>
  <c r="J19" i="249"/>
  <c r="K19" i="249"/>
  <c r="L19" i="249"/>
  <c r="M19" i="249"/>
  <c r="C26" i="249"/>
  <c r="D26" i="249"/>
  <c r="E26" i="249"/>
  <c r="F26" i="249"/>
  <c r="G26" i="249"/>
  <c r="H26" i="249"/>
  <c r="I26" i="249"/>
  <c r="J26" i="249"/>
  <c r="K26" i="249"/>
  <c r="L26" i="249"/>
  <c r="M26" i="249"/>
  <c r="N26" i="249"/>
  <c r="D30" i="249"/>
  <c r="E30" i="249"/>
  <c r="F30" i="249"/>
  <c r="G30" i="249"/>
  <c r="H30" i="249"/>
  <c r="I30" i="249"/>
  <c r="J30" i="249"/>
  <c r="K30" i="249"/>
  <c r="L30" i="249"/>
  <c r="M30" i="249"/>
  <c r="N30" i="249"/>
  <c r="D4" i="247"/>
  <c r="E4" i="247"/>
  <c r="F4" i="247"/>
  <c r="G4" i="247"/>
  <c r="H4" i="247"/>
  <c r="I4" i="247"/>
  <c r="J4" i="247"/>
  <c r="K4" i="247"/>
  <c r="L4" i="247"/>
  <c r="M4" i="247"/>
  <c r="N4" i="247"/>
  <c r="E13" i="247"/>
  <c r="F13" i="247"/>
  <c r="G13" i="247"/>
  <c r="H13" i="247"/>
  <c r="I13" i="247"/>
  <c r="J13" i="247"/>
  <c r="K13" i="247"/>
  <c r="L13" i="247"/>
  <c r="M13" i="247"/>
  <c r="N13" i="247"/>
  <c r="D15" i="247"/>
  <c r="E15" i="247"/>
  <c r="F15" i="247"/>
  <c r="G15" i="247"/>
  <c r="H15" i="247"/>
  <c r="I15" i="247"/>
  <c r="J15" i="247"/>
  <c r="K15" i="247"/>
  <c r="L15" i="247"/>
  <c r="M15" i="247"/>
  <c r="N15" i="247"/>
  <c r="C16" i="247"/>
  <c r="L26" i="247"/>
  <c r="M26" i="247"/>
  <c r="N26" i="247"/>
  <c r="B6" i="239"/>
  <c r="B11" i="239"/>
  <c r="C27" i="236" s="1"/>
  <c r="C30" i="236" s="1"/>
  <c r="D15" i="239"/>
  <c r="D16" i="239"/>
  <c r="H2" i="212"/>
  <c r="CA2" i="242" s="1"/>
  <c r="J2" i="212"/>
  <c r="CC2" i="242" s="1"/>
  <c r="K2" i="212"/>
  <c r="AK3" i="212" s="1"/>
  <c r="L2" i="212"/>
  <c r="CE2" i="242" s="1"/>
  <c r="M2" i="212"/>
  <c r="CF2" i="242" s="1"/>
  <c r="N2" i="212"/>
  <c r="CG2" i="242" s="1"/>
  <c r="O2" i="212"/>
  <c r="AO2" i="212" s="1"/>
  <c r="DJ2" i="242" s="1"/>
  <c r="P2" i="212"/>
  <c r="CI2" i="242" s="1"/>
  <c r="Q2" i="212"/>
  <c r="AQ3" i="212" s="1"/>
  <c r="R2" i="212"/>
  <c r="CK2" i="242" s="1"/>
  <c r="S2" i="212"/>
  <c r="CL2" i="242" s="1"/>
  <c r="T2" i="212"/>
  <c r="CM2" i="242" s="1"/>
  <c r="U2" i="212"/>
  <c r="CN2" i="242" s="1"/>
  <c r="X2" i="212"/>
  <c r="CQ2" i="242" s="1"/>
  <c r="Z2" i="212"/>
  <c r="CS2" i="242" s="1"/>
  <c r="AB2" i="212"/>
  <c r="CU2" i="242" s="1"/>
  <c r="AE2" i="212"/>
  <c r="CX2" i="242" s="1"/>
  <c r="AF2" i="212"/>
  <c r="CY2" i="242" s="1"/>
  <c r="AH2" i="212"/>
  <c r="DC2" i="242" s="1"/>
  <c r="AJ2" i="212"/>
  <c r="DE2" i="242" s="1"/>
  <c r="AK2" i="212"/>
  <c r="DF2" i="242" s="1"/>
  <c r="AL2" i="212"/>
  <c r="DG2" i="242" s="1"/>
  <c r="AM2" i="212"/>
  <c r="DH2" i="242" s="1"/>
  <c r="AR2" i="212"/>
  <c r="DM2" i="242" s="1"/>
  <c r="AS2" i="212"/>
  <c r="DN2" i="242" s="1"/>
  <c r="AA3" i="212"/>
  <c r="CT3" i="242" s="1"/>
  <c r="AE3" i="212"/>
  <c r="CX3" i="242" s="1"/>
  <c r="AR3" i="212"/>
  <c r="B4" i="212"/>
  <c r="BU4" i="242" s="1"/>
  <c r="E4" i="212"/>
  <c r="BX4" i="242" s="1"/>
  <c r="H4" i="212"/>
  <c r="CA4" i="242" s="1"/>
  <c r="B5" i="212"/>
  <c r="E5" i="212"/>
  <c r="BX5" i="242" s="1"/>
  <c r="H5" i="212"/>
  <c r="CA5" i="242" s="1"/>
  <c r="B6" i="212"/>
  <c r="BU6" i="242" s="1"/>
  <c r="E6" i="212"/>
  <c r="BX6" i="242" s="1"/>
  <c r="H6" i="212"/>
  <c r="CA6" i="242" s="1"/>
  <c r="B7" i="212"/>
  <c r="BU7" i="242" s="1"/>
  <c r="E7" i="212"/>
  <c r="BX7" i="242" s="1"/>
  <c r="H7" i="212"/>
  <c r="CA7" i="242" s="1"/>
  <c r="B8" i="212"/>
  <c r="E8" i="212"/>
  <c r="BX8" i="242" s="1"/>
  <c r="H8" i="212"/>
  <c r="CA8" i="242" s="1"/>
  <c r="U8" i="212"/>
  <c r="B9" i="212"/>
  <c r="E9" i="212"/>
  <c r="BX9" i="242" s="1"/>
  <c r="H9" i="212"/>
  <c r="CA9" i="242" s="1"/>
  <c r="B10" i="212"/>
  <c r="E10" i="212"/>
  <c r="BX10" i="242" s="1"/>
  <c r="H10" i="212"/>
  <c r="CA10" i="242" s="1"/>
  <c r="B11" i="212"/>
  <c r="E11" i="212"/>
  <c r="BX11" i="242" s="1"/>
  <c r="H11" i="212"/>
  <c r="B12" i="212"/>
  <c r="BU12" i="242" s="1"/>
  <c r="E12" i="212"/>
  <c r="BX12" i="242" s="1"/>
  <c r="H12" i="212"/>
  <c r="CA12" i="242" s="1"/>
  <c r="B13" i="212"/>
  <c r="E13" i="212"/>
  <c r="BX13" i="242" s="1"/>
  <c r="H13" i="212"/>
  <c r="B14" i="212"/>
  <c r="E14" i="212"/>
  <c r="BX14" i="242" s="1"/>
  <c r="H14" i="212"/>
  <c r="CA14" i="242" s="1"/>
  <c r="B15" i="212"/>
  <c r="E15" i="212"/>
  <c r="BX15" i="242" s="1"/>
  <c r="H15" i="212"/>
  <c r="CA15" i="242" s="1"/>
  <c r="B16" i="212"/>
  <c r="BU16" i="242" s="1"/>
  <c r="E16" i="212"/>
  <c r="BX16" i="242" s="1"/>
  <c r="H16" i="212"/>
  <c r="CA16" i="242" s="1"/>
  <c r="B17" i="212"/>
  <c r="BU17" i="242" s="1"/>
  <c r="E17" i="212"/>
  <c r="BX17" i="242" s="1"/>
  <c r="H17" i="212"/>
  <c r="CA17" i="242" s="1"/>
  <c r="U17" i="212"/>
  <c r="CN17" i="242" s="1"/>
  <c r="U18" i="212"/>
  <c r="CN18" i="242" s="1"/>
  <c r="D9" i="208"/>
  <c r="C13" i="208"/>
  <c r="Y13" i="242" s="1"/>
  <c r="D13" i="208"/>
  <c r="Z13" i="242" s="1"/>
  <c r="E13" i="208"/>
  <c r="AA13" i="242" s="1"/>
  <c r="F13" i="208"/>
  <c r="AB13" i="242" s="1"/>
  <c r="G13" i="208"/>
  <c r="AC13" i="242" s="1"/>
  <c r="H13" i="208"/>
  <c r="AD13" i="242" s="1"/>
  <c r="I13" i="208"/>
  <c r="AE13" i="242" s="1"/>
  <c r="J13" i="208"/>
  <c r="AF13" i="242" s="1"/>
  <c r="K13" i="208"/>
  <c r="AG13" i="242" s="1"/>
  <c r="L13" i="208"/>
  <c r="AH13" i="242" s="1"/>
  <c r="M13" i="208"/>
  <c r="AI13" i="242" s="1"/>
  <c r="B14" i="208"/>
  <c r="B5" i="236" s="1"/>
  <c r="B15" i="208"/>
  <c r="B16" i="208"/>
  <c r="A6" i="241" s="1"/>
  <c r="EI7" i="242" s="1"/>
  <c r="B17" i="208"/>
  <c r="B8" i="236" s="1"/>
  <c r="B18" i="208"/>
  <c r="B19" i="208"/>
  <c r="H3" i="217"/>
  <c r="I3" i="217" s="1"/>
  <c r="G4" i="242"/>
  <c r="I4" i="217"/>
  <c r="I8" i="217" s="1"/>
  <c r="I5" i="217"/>
  <c r="M6" i="217"/>
  <c r="H8" i="217"/>
  <c r="H24" i="217" s="1"/>
  <c r="H9" i="217"/>
  <c r="H25" i="217" s="1"/>
  <c r="H10" i="217"/>
  <c r="H26" i="217" s="1"/>
  <c r="H11" i="217"/>
  <c r="H27" i="217" s="1"/>
  <c r="I11" i="217"/>
  <c r="I27" i="217" s="1"/>
  <c r="H12" i="217"/>
  <c r="H28" i="217" s="1"/>
  <c r="H13" i="217"/>
  <c r="H29" i="217" s="1"/>
  <c r="H14" i="217"/>
  <c r="H30" i="217" s="1"/>
  <c r="H15" i="217"/>
  <c r="H31" i="217" s="1"/>
  <c r="H16" i="217"/>
  <c r="H32" i="217" s="1"/>
  <c r="B21" i="217"/>
  <c r="B21" i="242" s="1"/>
  <c r="B42" i="242" s="1"/>
  <c r="C21" i="217"/>
  <c r="C21" i="242" s="1"/>
  <c r="C42" i="242" s="1"/>
  <c r="D21" i="217"/>
  <c r="D21" i="242" s="1"/>
  <c r="D42" i="242" s="1"/>
  <c r="E21" i="217"/>
  <c r="E21" i="242" s="1"/>
  <c r="E42" i="242" s="1"/>
  <c r="F21" i="217"/>
  <c r="F21" i="242" s="1"/>
  <c r="F42" i="242" s="1"/>
  <c r="G21" i="217"/>
  <c r="G21" i="242" s="1"/>
  <c r="G42" i="242" s="1"/>
  <c r="H21" i="217"/>
  <c r="H21" i="242" s="1"/>
  <c r="H42" i="242" s="1"/>
  <c r="I21" i="217"/>
  <c r="I21" i="242" s="1"/>
  <c r="I42" i="242" s="1"/>
  <c r="J21" i="217"/>
  <c r="J21" i="242" s="1"/>
  <c r="J42" i="242" s="1"/>
  <c r="K21" i="217"/>
  <c r="K21" i="242" s="1"/>
  <c r="K42" i="242" s="1"/>
  <c r="L21" i="217"/>
  <c r="L21" i="242" s="1"/>
  <c r="L42" i="242" s="1"/>
  <c r="A23" i="242"/>
  <c r="A24" i="242"/>
  <c r="A25" i="217"/>
  <c r="A25" i="242" s="1"/>
  <c r="A26" i="217"/>
  <c r="A26" i="242" s="1"/>
  <c r="A27" i="217"/>
  <c r="A27" i="242" s="1"/>
  <c r="S27" i="217"/>
  <c r="A28" i="217"/>
  <c r="A28" i="242" s="1"/>
  <c r="A29" i="217"/>
  <c r="A29" i="242" s="1"/>
  <c r="A30" i="217"/>
  <c r="A30" i="242" s="1"/>
  <c r="A31" i="217"/>
  <c r="A31" i="242" s="1"/>
  <c r="A32" i="217"/>
  <c r="A32" i="242" s="1"/>
  <c r="A33" i="217"/>
  <c r="A33" i="242" s="1"/>
  <c r="B33" i="217"/>
  <c r="B33" i="242" s="1"/>
  <c r="C33" i="217"/>
  <c r="C33" i="242" s="1"/>
  <c r="D33" i="217"/>
  <c r="D33" i="242" s="1"/>
  <c r="E33" i="217"/>
  <c r="E33" i="242" s="1"/>
  <c r="F33" i="217"/>
  <c r="F33" i="242" s="1"/>
  <c r="G33" i="217"/>
  <c r="G33" i="242" s="1"/>
  <c r="H33" i="217"/>
  <c r="H33" i="242" s="1"/>
  <c r="I33" i="217"/>
  <c r="I33" i="242" s="1"/>
  <c r="J33" i="217"/>
  <c r="J33" i="242" s="1"/>
  <c r="K33" i="217"/>
  <c r="K33" i="242" s="1"/>
  <c r="L33" i="217"/>
  <c r="L33" i="242" s="1"/>
  <c r="E18" i="202"/>
  <c r="G17" i="212" s="1"/>
  <c r="D17" i="212" s="1"/>
  <c r="I4" i="211"/>
  <c r="B5" i="211"/>
  <c r="I5" i="211"/>
  <c r="B6" i="211"/>
  <c r="I6" i="211"/>
  <c r="B7" i="211"/>
  <c r="AW6" i="242" s="1"/>
  <c r="I7" i="211"/>
  <c r="B8" i="211"/>
  <c r="I8" i="211"/>
  <c r="B9" i="211"/>
  <c r="I9" i="211"/>
  <c r="B10" i="211"/>
  <c r="I10" i="211"/>
  <c r="B11" i="211"/>
  <c r="AW10" i="242" s="1"/>
  <c r="I11" i="211"/>
  <c r="B12" i="211"/>
  <c r="AW11" i="242" s="1"/>
  <c r="C12" i="211"/>
  <c r="I12" i="211"/>
  <c r="I13" i="211"/>
  <c r="C18" i="211"/>
  <c r="AX17" i="242" s="1"/>
  <c r="D18" i="211"/>
  <c r="AY17" i="242" s="1"/>
  <c r="E18" i="211"/>
  <c r="AZ17" i="242" s="1"/>
  <c r="F18" i="211"/>
  <c r="BA17" i="242" s="1"/>
  <c r="G18" i="211"/>
  <c r="BB17" i="242" s="1"/>
  <c r="H18" i="211"/>
  <c r="BC17" i="242" s="1"/>
  <c r="I18" i="211"/>
  <c r="BD17" i="242" s="1"/>
  <c r="J18" i="211"/>
  <c r="BE17" i="242" s="1"/>
  <c r="K18" i="211"/>
  <c r="BF17" i="242" s="1"/>
  <c r="L18" i="211"/>
  <c r="BG17" i="242" s="1"/>
  <c r="M18" i="211"/>
  <c r="BH17" i="242" s="1"/>
  <c r="B20" i="211"/>
  <c r="AW19" i="242" s="1"/>
  <c r="C20" i="211"/>
  <c r="AX19" i="242" s="1"/>
  <c r="D20" i="211"/>
  <c r="AY19" i="242" s="1"/>
  <c r="E20" i="211"/>
  <c r="AZ19" i="242" s="1"/>
  <c r="F20" i="211"/>
  <c r="BA19" i="242" s="1"/>
  <c r="G20" i="211"/>
  <c r="H20" i="211"/>
  <c r="BC19" i="242" s="1"/>
  <c r="B29" i="211"/>
  <c r="AW28" i="242" s="1"/>
  <c r="B2" i="245"/>
  <c r="C2" i="245"/>
  <c r="H2" i="245"/>
  <c r="I2" i="245"/>
  <c r="J2" i="245"/>
  <c r="K2" i="245"/>
  <c r="B3" i="245"/>
  <c r="C3" i="245"/>
  <c r="G3" i="245"/>
  <c r="B4" i="210"/>
  <c r="AM4" i="242" s="1"/>
  <c r="B5" i="210"/>
  <c r="AM5" i="242" s="1"/>
  <c r="B6" i="210"/>
  <c r="AM6" i="242" s="1"/>
  <c r="B7" i="210"/>
  <c r="AM7" i="242" s="1"/>
  <c r="B8" i="210"/>
  <c r="AM8" i="242" s="1"/>
  <c r="B9" i="210"/>
  <c r="AM9" i="242" s="1"/>
  <c r="B10" i="210"/>
  <c r="AM10" i="242" s="1"/>
  <c r="G10" i="210"/>
  <c r="B11" i="210"/>
  <c r="AM11" i="242" s="1"/>
  <c r="C11" i="210"/>
  <c r="F11" i="210" s="1"/>
  <c r="J5" i="209"/>
  <c r="F5" i="209"/>
  <c r="I5" i="209" s="1"/>
  <c r="F6" i="209"/>
  <c r="I6" i="209" s="1"/>
  <c r="G6" i="209"/>
  <c r="J6" i="209" s="1"/>
  <c r="F7" i="209"/>
  <c r="I7" i="209" s="1"/>
  <c r="G7" i="209"/>
  <c r="J7" i="209" s="1"/>
  <c r="F8" i="209"/>
  <c r="I8" i="209" s="1"/>
  <c r="G8" i="209"/>
  <c r="J8" i="209" s="1"/>
  <c r="F9" i="209"/>
  <c r="I9" i="209" s="1"/>
  <c r="G9" i="209"/>
  <c r="J9" i="209" s="1"/>
  <c r="F10" i="209"/>
  <c r="I10" i="209" s="1"/>
  <c r="G10" i="209"/>
  <c r="J10" i="209" s="1"/>
  <c r="F11" i="209"/>
  <c r="I11" i="209" s="1"/>
  <c r="G11" i="209"/>
  <c r="J11" i="209" s="1"/>
  <c r="F12" i="209"/>
  <c r="I12" i="209" s="1"/>
  <c r="G12" i="209"/>
  <c r="J12" i="209" s="1"/>
  <c r="F13" i="209"/>
  <c r="I13" i="209" s="1"/>
  <c r="G13" i="209"/>
  <c r="J13" i="209" s="1"/>
  <c r="F14" i="209"/>
  <c r="I14" i="209" s="1"/>
  <c r="G14" i="209"/>
  <c r="J14" i="209" s="1"/>
  <c r="F4" i="188"/>
  <c r="H4" i="188"/>
  <c r="O4" i="188"/>
  <c r="P4" i="188"/>
  <c r="Q4" i="188"/>
  <c r="R4" i="188"/>
  <c r="F5" i="188"/>
  <c r="H5" i="188"/>
  <c r="O5" i="188"/>
  <c r="P5" i="188"/>
  <c r="Q5" i="188"/>
  <c r="R5" i="188"/>
  <c r="F6" i="188"/>
  <c r="H6" i="188"/>
  <c r="O6" i="188"/>
  <c r="P6" i="188"/>
  <c r="Q6" i="188"/>
  <c r="R6" i="188"/>
  <c r="F7" i="188"/>
  <c r="H7" i="188"/>
  <c r="O7" i="188"/>
  <c r="P7" i="188"/>
  <c r="Q7" i="188"/>
  <c r="R7" i="188"/>
  <c r="F8" i="188"/>
  <c r="H8" i="188"/>
  <c r="O8" i="188"/>
  <c r="P8" i="188"/>
  <c r="Q8" i="188"/>
  <c r="R8" i="188"/>
  <c r="O9" i="188"/>
  <c r="P9" i="188"/>
  <c r="Q9" i="188"/>
  <c r="R9" i="188"/>
  <c r="O10" i="188"/>
  <c r="P10" i="188"/>
  <c r="Q10" i="188"/>
  <c r="R10" i="188"/>
  <c r="O11" i="188"/>
  <c r="P11" i="188"/>
  <c r="Q11" i="188"/>
  <c r="R11" i="188"/>
  <c r="O12" i="188"/>
  <c r="P12" i="188"/>
  <c r="Q12" i="188"/>
  <c r="R12" i="188"/>
  <c r="O13" i="188"/>
  <c r="P13" i="188"/>
  <c r="Q13" i="188"/>
  <c r="R13" i="188"/>
  <c r="D14" i="188"/>
  <c r="E14" i="188"/>
  <c r="G14" i="188"/>
  <c r="L14" i="188"/>
  <c r="M14" i="188"/>
  <c r="P21" i="188"/>
  <c r="Q21" i="188"/>
  <c r="R21" i="188"/>
  <c r="O22" i="188"/>
  <c r="P22" i="188"/>
  <c r="Q22" i="188"/>
  <c r="R22" i="188"/>
  <c r="O23" i="188"/>
  <c r="P23" i="188"/>
  <c r="Q23" i="188"/>
  <c r="R23" i="188"/>
  <c r="O24" i="188"/>
  <c r="P24" i="188"/>
  <c r="Q24" i="188"/>
  <c r="R24" i="188"/>
  <c r="O25" i="188"/>
  <c r="P25" i="188"/>
  <c r="Q25" i="188"/>
  <c r="R25" i="188"/>
  <c r="O26" i="188"/>
  <c r="P26" i="188"/>
  <c r="Q26" i="188"/>
  <c r="R26" i="188"/>
  <c r="O27" i="188"/>
  <c r="P27" i="188"/>
  <c r="Q27" i="188"/>
  <c r="R27" i="188"/>
  <c r="O28" i="188"/>
  <c r="P28" i="188"/>
  <c r="Q28" i="188"/>
  <c r="R28" i="188"/>
  <c r="O29" i="188"/>
  <c r="P29" i="188"/>
  <c r="Q29" i="188"/>
  <c r="R29" i="188"/>
  <c r="O30" i="188"/>
  <c r="P30" i="188"/>
  <c r="Q30" i="188"/>
  <c r="R30" i="188"/>
  <c r="L31" i="188"/>
  <c r="M31" i="188"/>
  <c r="O39" i="188"/>
  <c r="P39" i="188"/>
  <c r="Q39" i="188"/>
  <c r="R39" i="188"/>
  <c r="O40" i="188"/>
  <c r="P40" i="188"/>
  <c r="Q40" i="188"/>
  <c r="R40" i="188"/>
  <c r="O41" i="188"/>
  <c r="P41" i="188"/>
  <c r="Q41" i="188"/>
  <c r="R41" i="188"/>
  <c r="O42" i="188"/>
  <c r="P42" i="188"/>
  <c r="Q42" i="188"/>
  <c r="R42" i="188"/>
  <c r="O43" i="188"/>
  <c r="P43" i="188"/>
  <c r="Q43" i="188"/>
  <c r="R43" i="188"/>
  <c r="O44" i="188"/>
  <c r="P44" i="188"/>
  <c r="Q44" i="188"/>
  <c r="R44" i="188"/>
  <c r="O45" i="188"/>
  <c r="P45" i="188"/>
  <c r="Q45" i="188"/>
  <c r="R45" i="188"/>
  <c r="O46" i="188"/>
  <c r="P46" i="188"/>
  <c r="Q46" i="188"/>
  <c r="R46" i="188"/>
  <c r="O47" i="188"/>
  <c r="P47" i="188"/>
  <c r="Q47" i="188"/>
  <c r="R47" i="188"/>
  <c r="O48" i="188"/>
  <c r="P48" i="188"/>
  <c r="Q48" i="188"/>
  <c r="R48" i="188"/>
  <c r="L49" i="188"/>
  <c r="M49" i="188"/>
  <c r="G3" i="214"/>
  <c r="I3" i="214" s="1"/>
  <c r="K3" i="214" s="1"/>
  <c r="G4" i="214"/>
  <c r="I4" i="214" s="1"/>
  <c r="K4" i="214" s="1"/>
  <c r="G5" i="214"/>
  <c r="I5" i="214" s="1"/>
  <c r="K5" i="214" s="1"/>
  <c r="G6" i="214"/>
  <c r="I6" i="214" s="1"/>
  <c r="K6" i="214" s="1"/>
  <c r="G7" i="214"/>
  <c r="I7" i="214" s="1"/>
  <c r="K7" i="214" s="1"/>
  <c r="G8" i="214"/>
  <c r="I8" i="214" s="1"/>
  <c r="K8" i="214" s="1"/>
  <c r="G9" i="214"/>
  <c r="I9" i="214" s="1"/>
  <c r="K9" i="214" s="1"/>
  <c r="G10" i="214"/>
  <c r="I10" i="214" s="1"/>
  <c r="K10" i="214" s="1"/>
  <c r="G12" i="214"/>
  <c r="I12" i="214" s="1"/>
  <c r="K12" i="214" s="1"/>
  <c r="G13" i="214"/>
  <c r="I13" i="214" s="1"/>
  <c r="K13" i="214" s="1"/>
  <c r="F23" i="214"/>
  <c r="F32" i="214" s="1"/>
  <c r="G32" i="214" s="1"/>
  <c r="F25" i="214"/>
  <c r="G17" i="214"/>
  <c r="I17" i="214" s="1"/>
  <c r="K17" i="214" s="1"/>
  <c r="G18" i="214"/>
  <c r="I18" i="214" s="1"/>
  <c r="K18" i="214" s="1"/>
  <c r="G19" i="214"/>
  <c r="I19" i="214" s="1"/>
  <c r="K19" i="214" s="1"/>
  <c r="G20" i="214"/>
  <c r="I20" i="214" s="1"/>
  <c r="K20" i="214" s="1"/>
  <c r="F21" i="214"/>
  <c r="G21" i="214" s="1"/>
  <c r="I21" i="214" s="1"/>
  <c r="K21" i="214" s="1"/>
  <c r="F26" i="214"/>
  <c r="G26" i="214" s="1"/>
  <c r="K29" i="214"/>
  <c r="G38" i="214"/>
  <c r="I38" i="214" s="1"/>
  <c r="K38" i="214" s="1"/>
  <c r="G39" i="214"/>
  <c r="I39" i="214" s="1"/>
  <c r="K39" i="214" s="1"/>
  <c r="G40" i="214"/>
  <c r="I40" i="214" s="1"/>
  <c r="K40" i="214" s="1"/>
  <c r="G41" i="214"/>
  <c r="I41" i="214" s="1"/>
  <c r="K41" i="214" s="1"/>
  <c r="G42" i="214"/>
  <c r="I42" i="214" s="1"/>
  <c r="K42" i="214" s="1"/>
  <c r="G43" i="214"/>
  <c r="I43" i="214" s="1"/>
  <c r="K43" i="214" s="1"/>
  <c r="G44" i="214"/>
  <c r="I44" i="214" s="1"/>
  <c r="K44" i="214" s="1"/>
  <c r="G45" i="214"/>
  <c r="I45" i="214" s="1"/>
  <c r="K45" i="214" s="1"/>
  <c r="G46" i="214"/>
  <c r="I46" i="214" s="1"/>
  <c r="K46" i="214" s="1"/>
  <c r="G47" i="214"/>
  <c r="I47" i="214" s="1"/>
  <c r="K47" i="214" s="1"/>
  <c r="G48" i="214"/>
  <c r="I48" i="214" s="1"/>
  <c r="K48" i="214" s="1"/>
  <c r="F49" i="214"/>
  <c r="G49" i="214" s="1"/>
  <c r="I49" i="214" s="1"/>
  <c r="K49" i="214" s="1"/>
  <c r="F50" i="214"/>
  <c r="G50" i="214" s="1"/>
  <c r="I50" i="214" s="1"/>
  <c r="K50" i="214" s="1"/>
  <c r="F51" i="214"/>
  <c r="G51" i="214" s="1"/>
  <c r="I51" i="214" s="1"/>
  <c r="K51" i="214" s="1"/>
  <c r="F52" i="214"/>
  <c r="G52" i="214" s="1"/>
  <c r="I52" i="214" s="1"/>
  <c r="K52" i="214" s="1"/>
  <c r="F53" i="214"/>
  <c r="G53" i="214" s="1"/>
  <c r="I53" i="214" s="1"/>
  <c r="K53" i="214" s="1"/>
  <c r="F54" i="214"/>
  <c r="G54" i="214" s="1"/>
  <c r="I54" i="214" s="1"/>
  <c r="K54" i="214" s="1"/>
  <c r="F55" i="214"/>
  <c r="G55" i="214" s="1"/>
  <c r="I55" i="214" s="1"/>
  <c r="K55" i="214" s="1"/>
  <c r="G56" i="214"/>
  <c r="I56" i="214" s="1"/>
  <c r="K56" i="214" s="1"/>
  <c r="G57" i="214"/>
  <c r="I57" i="214" s="1"/>
  <c r="K57" i="214" s="1"/>
  <c r="G58" i="214"/>
  <c r="I58" i="214" s="1"/>
  <c r="K58" i="214" s="1"/>
  <c r="G59" i="214"/>
  <c r="I59" i="214" s="1"/>
  <c r="K59" i="214" s="1"/>
  <c r="G60" i="214"/>
  <c r="I60" i="214" s="1"/>
  <c r="K60" i="214" s="1"/>
  <c r="G61" i="214"/>
  <c r="I61" i="214" s="1"/>
  <c r="K61" i="214" s="1"/>
  <c r="G62" i="214"/>
  <c r="I62" i="214" s="1"/>
  <c r="K62" i="214" s="1"/>
  <c r="G63" i="214"/>
  <c r="I63" i="214" s="1"/>
  <c r="K63" i="214" s="1"/>
  <c r="E3" i="8"/>
  <c r="E4" i="8"/>
  <c r="E5" i="8"/>
  <c r="E8" i="8"/>
  <c r="E9" i="8"/>
  <c r="E10" i="8"/>
  <c r="E11" i="8"/>
  <c r="E12" i="8"/>
  <c r="C13" i="8"/>
  <c r="D14" i="11" s="1"/>
  <c r="F8" i="229"/>
  <c r="G8" i="229"/>
  <c r="F9" i="229"/>
  <c r="G9" i="229"/>
  <c r="F10" i="229"/>
  <c r="G10" i="229"/>
  <c r="F11" i="229"/>
  <c r="G11" i="229"/>
  <c r="F12" i="229"/>
  <c r="G12" i="229"/>
  <c r="F13" i="229"/>
  <c r="G13" i="229"/>
  <c r="F14" i="229"/>
  <c r="G14" i="229"/>
  <c r="F20" i="229"/>
  <c r="G20" i="229"/>
  <c r="F31" i="229"/>
  <c r="G31" i="229"/>
  <c r="G4" i="206"/>
  <c r="H4" i="206"/>
  <c r="G5" i="206"/>
  <c r="I5" i="206" s="1"/>
  <c r="H5" i="206"/>
  <c r="G6" i="206"/>
  <c r="H6" i="206"/>
  <c r="G7" i="206"/>
  <c r="H7" i="206"/>
  <c r="G8" i="206"/>
  <c r="H8" i="206"/>
  <c r="I8" i="206"/>
  <c r="G9" i="206"/>
  <c r="H9" i="206"/>
  <c r="G10" i="206"/>
  <c r="H10" i="206"/>
  <c r="G11" i="206"/>
  <c r="H11" i="206"/>
  <c r="G12" i="206"/>
  <c r="H12" i="206"/>
  <c r="G13" i="206"/>
  <c r="H13" i="206"/>
  <c r="G14" i="206"/>
  <c r="H14" i="206"/>
  <c r="I14" i="206" s="1"/>
  <c r="G15" i="206"/>
  <c r="H15" i="206"/>
  <c r="G16" i="206"/>
  <c r="H16" i="206"/>
  <c r="G17" i="206"/>
  <c r="H17" i="206"/>
  <c r="G18" i="206"/>
  <c r="H18" i="206"/>
  <c r="G4" i="207"/>
  <c r="F5" i="207"/>
  <c r="G5" i="207"/>
  <c r="F6" i="207"/>
  <c r="H6" i="207" s="1"/>
  <c r="G6" i="207"/>
  <c r="F7" i="207"/>
  <c r="G7" i="207"/>
  <c r="F8" i="207"/>
  <c r="G8" i="207"/>
  <c r="F9" i="207"/>
  <c r="G9" i="207"/>
  <c r="F10" i="207"/>
  <c r="H10" i="207" s="1"/>
  <c r="G10" i="207"/>
  <c r="F11" i="207"/>
  <c r="G11" i="207"/>
  <c r="F12" i="207"/>
  <c r="H12" i="207" s="1"/>
  <c r="G12" i="207"/>
  <c r="F13" i="207"/>
  <c r="G13" i="207"/>
  <c r="F14" i="207"/>
  <c r="G14" i="207"/>
  <c r="F15" i="207"/>
  <c r="G15" i="207"/>
  <c r="F16" i="207"/>
  <c r="G16" i="207"/>
  <c r="F17" i="207"/>
  <c r="G17" i="207"/>
  <c r="F18" i="207"/>
  <c r="H18" i="207" s="1"/>
  <c r="G18" i="207"/>
  <c r="F19" i="207"/>
  <c r="G19" i="207"/>
  <c r="F20" i="207"/>
  <c r="H20" i="207" s="1"/>
  <c r="G20" i="207"/>
  <c r="F21" i="207"/>
  <c r="G21" i="207"/>
  <c r="F22" i="207"/>
  <c r="G22" i="207"/>
  <c r="F23" i="207"/>
  <c r="G23" i="207"/>
  <c r="F24" i="207"/>
  <c r="G24" i="207"/>
  <c r="F25" i="207"/>
  <c r="G25" i="207"/>
  <c r="F26" i="207"/>
  <c r="H26" i="207" s="1"/>
  <c r="G26" i="207"/>
  <c r="F27" i="207"/>
  <c r="G27" i="207"/>
  <c r="F5" i="3"/>
  <c r="G5" i="3"/>
  <c r="F6" i="3"/>
  <c r="G6" i="3"/>
  <c r="F7" i="3"/>
  <c r="G7" i="3"/>
  <c r="F8" i="3"/>
  <c r="G8" i="3"/>
  <c r="F9" i="3"/>
  <c r="G9" i="3"/>
  <c r="F10" i="3"/>
  <c r="G10" i="3"/>
  <c r="F11" i="3"/>
  <c r="G11" i="3"/>
  <c r="F13" i="3"/>
  <c r="G13" i="3"/>
  <c r="F14" i="3"/>
  <c r="G14" i="3"/>
  <c r="F15" i="3"/>
  <c r="G15" i="3"/>
  <c r="F16" i="3"/>
  <c r="G16" i="3"/>
  <c r="F17" i="3"/>
  <c r="G17" i="3"/>
  <c r="F18" i="3"/>
  <c r="G18" i="3"/>
  <c r="F19" i="3"/>
  <c r="G19" i="3"/>
  <c r="F20" i="3"/>
  <c r="G20" i="3"/>
  <c r="F21" i="3"/>
  <c r="G21" i="3"/>
  <c r="G22" i="3"/>
  <c r="G23" i="3"/>
  <c r="H23" i="3" s="1"/>
  <c r="G24" i="3"/>
  <c r="G25" i="3"/>
  <c r="H25" i="3" s="1"/>
  <c r="G26" i="3"/>
  <c r="H26" i="3" s="1"/>
  <c r="G27" i="3"/>
  <c r="H27" i="3" s="1"/>
  <c r="G28" i="3"/>
  <c r="H28" i="3" s="1"/>
  <c r="J45" i="3"/>
  <c r="L47" i="3"/>
  <c r="L49" i="3" s="1"/>
  <c r="J6" i="4"/>
  <c r="J19" i="4" s="1"/>
  <c r="K6" i="4"/>
  <c r="L6" i="4"/>
  <c r="L19" i="4" s="1"/>
  <c r="M6" i="4"/>
  <c r="M19" i="4" s="1"/>
  <c r="N6" i="4"/>
  <c r="N19" i="4" s="1"/>
  <c r="G7" i="4"/>
  <c r="H7" i="4"/>
  <c r="M7" i="4"/>
  <c r="J8" i="4"/>
  <c r="K8" i="4"/>
  <c r="L8" i="4"/>
  <c r="M8" i="4"/>
  <c r="N8" i="4"/>
  <c r="M9" i="4"/>
  <c r="H10" i="4"/>
  <c r="I10" i="4" s="1"/>
  <c r="M10" i="4"/>
  <c r="G11" i="4"/>
  <c r="H11" i="4"/>
  <c r="G12" i="4"/>
  <c r="H12" i="4"/>
  <c r="G13" i="4"/>
  <c r="H13" i="4"/>
  <c r="G14" i="4"/>
  <c r="H14" i="4"/>
  <c r="G15" i="4"/>
  <c r="I15" i="4" s="1"/>
  <c r="H15" i="4"/>
  <c r="G16" i="4"/>
  <c r="H16" i="4"/>
  <c r="G17" i="4"/>
  <c r="H17" i="4"/>
  <c r="G18" i="4"/>
  <c r="H18" i="4"/>
  <c r="K19" i="4"/>
  <c r="G4" i="205"/>
  <c r="H4" i="205"/>
  <c r="G5" i="205"/>
  <c r="H5" i="205"/>
  <c r="G6" i="205"/>
  <c r="H6" i="205"/>
  <c r="G7" i="205"/>
  <c r="H7" i="205"/>
  <c r="G8" i="205"/>
  <c r="H8" i="205"/>
  <c r="G9" i="205"/>
  <c r="H9" i="205"/>
  <c r="G10" i="205"/>
  <c r="H10" i="205"/>
  <c r="G11" i="205"/>
  <c r="H11" i="205"/>
  <c r="G17" i="205"/>
  <c r="H17" i="205"/>
  <c r="G18" i="205"/>
  <c r="H18" i="205"/>
  <c r="G19" i="205"/>
  <c r="H19" i="205"/>
  <c r="G20" i="205"/>
  <c r="I20" i="205" s="1"/>
  <c r="H20" i="205"/>
  <c r="G21" i="205"/>
  <c r="H21" i="205"/>
  <c r="G28" i="205"/>
  <c r="H28" i="205"/>
  <c r="G29" i="205"/>
  <c r="H29" i="205"/>
  <c r="G30" i="205"/>
  <c r="H30" i="205"/>
  <c r="G31" i="205"/>
  <c r="H31" i="205"/>
  <c r="I31" i="205" s="1"/>
  <c r="G32" i="205"/>
  <c r="H32" i="205"/>
  <c r="G33" i="205"/>
  <c r="H33" i="205"/>
  <c r="G40" i="205"/>
  <c r="H40" i="205"/>
  <c r="G41" i="205"/>
  <c r="H41" i="205"/>
  <c r="G42" i="205"/>
  <c r="H42" i="205"/>
  <c r="G43" i="205"/>
  <c r="H43" i="205"/>
  <c r="G44" i="205"/>
  <c r="H44" i="205"/>
  <c r="G45" i="205"/>
  <c r="H45" i="205"/>
  <c r="G46" i="205"/>
  <c r="H46" i="205"/>
  <c r="G47" i="205"/>
  <c r="H47" i="205"/>
  <c r="G48" i="205"/>
  <c r="I48" i="205" s="1"/>
  <c r="H48" i="205"/>
  <c r="G54" i="205"/>
  <c r="H54" i="205"/>
  <c r="I54" i="205" s="1"/>
  <c r="G55" i="205"/>
  <c r="H55" i="205"/>
  <c r="G56" i="205"/>
  <c r="H56" i="205"/>
  <c r="G57" i="205"/>
  <c r="H57" i="205"/>
  <c r="G58" i="205"/>
  <c r="H58" i="205"/>
  <c r="G59" i="205"/>
  <c r="H59" i="205"/>
  <c r="G4" i="2"/>
  <c r="H4" i="2"/>
  <c r="G5" i="2"/>
  <c r="H5" i="2"/>
  <c r="G6" i="2"/>
  <c r="H6" i="2"/>
  <c r="G7" i="2"/>
  <c r="H7" i="2"/>
  <c r="G8" i="2"/>
  <c r="H8" i="2"/>
  <c r="G9" i="2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I19" i="2" s="1"/>
  <c r="H19" i="2"/>
  <c r="G4" i="51"/>
  <c r="G5" i="51"/>
  <c r="F6" i="51"/>
  <c r="G6" i="51"/>
  <c r="H6" i="51" s="1"/>
  <c r="F7" i="51"/>
  <c r="G7" i="51"/>
  <c r="F8" i="51"/>
  <c r="G8" i="51"/>
  <c r="F9" i="51"/>
  <c r="G9" i="51"/>
  <c r="F10" i="51"/>
  <c r="G10" i="51"/>
  <c r="F11" i="51"/>
  <c r="G11" i="51"/>
  <c r="F12" i="51"/>
  <c r="G12" i="51"/>
  <c r="F13" i="51"/>
  <c r="G13" i="51"/>
  <c r="F14" i="51"/>
  <c r="G14" i="51"/>
  <c r="H14" i="51" s="1"/>
  <c r="F15" i="51"/>
  <c r="G15" i="51"/>
  <c r="F16" i="51"/>
  <c r="G16" i="51"/>
  <c r="F17" i="51"/>
  <c r="G17" i="51"/>
  <c r="I18" i="51"/>
  <c r="E3" i="107"/>
  <c r="G3" i="107" s="1"/>
  <c r="G4" i="107" s="1"/>
  <c r="F4" i="11" s="1"/>
  <c r="F4" i="107"/>
  <c r="E4" i="11" s="1"/>
  <c r="I11" i="244"/>
  <c r="F14" i="188" l="1"/>
  <c r="I4" i="206"/>
  <c r="I18" i="2"/>
  <c r="I33" i="205"/>
  <c r="I18" i="4"/>
  <c r="I12" i="4"/>
  <c r="I18" i="206"/>
  <c r="I12" i="206"/>
  <c r="I10" i="206"/>
  <c r="H3" i="245"/>
  <c r="D2" i="245"/>
  <c r="F27" i="211"/>
  <c r="F10" i="245" s="1"/>
  <c r="AT3" i="212"/>
  <c r="AQ2" i="212"/>
  <c r="DL2" i="242" s="1"/>
  <c r="Y2" i="212"/>
  <c r="CR2" i="242" s="1"/>
  <c r="C21" i="236"/>
  <c r="EJ19" i="242"/>
  <c r="L1" i="241"/>
  <c r="ET2" i="242" s="1"/>
  <c r="H10" i="51"/>
  <c r="H8" i="51"/>
  <c r="I59" i="205"/>
  <c r="H9" i="207"/>
  <c r="E27" i="211"/>
  <c r="E10" i="245" s="1"/>
  <c r="U10" i="212"/>
  <c r="CN10" i="242" s="1"/>
  <c r="Y3" i="212"/>
  <c r="CR3" i="242" s="1"/>
  <c r="AP2" i="212"/>
  <c r="DK2" i="242" s="1"/>
  <c r="AD2" i="212"/>
  <c r="CW2" i="242" s="1"/>
  <c r="C21" i="249"/>
  <c r="H32" i="242"/>
  <c r="O14" i="188"/>
  <c r="I20" i="211"/>
  <c r="AL3" i="212"/>
  <c r="FF2" i="242"/>
  <c r="N14" i="233"/>
  <c r="K12" i="209"/>
  <c r="M2" i="245"/>
  <c r="F1" i="241"/>
  <c r="EN2" i="242" s="1"/>
  <c r="H16" i="51"/>
  <c r="AG3" i="212"/>
  <c r="CZ3" i="242" s="1"/>
  <c r="FD2" i="242"/>
  <c r="I10" i="205"/>
  <c r="I6" i="206"/>
  <c r="H15" i="51"/>
  <c r="H12" i="51"/>
  <c r="I17" i="2"/>
  <c r="I13" i="4"/>
  <c r="AA2" i="212"/>
  <c r="CT2" i="242" s="1"/>
  <c r="GN4" i="242"/>
  <c r="FJ2" i="242"/>
  <c r="G2" i="245"/>
  <c r="U6" i="212"/>
  <c r="AN3" i="212"/>
  <c r="AT2" i="212"/>
  <c r="DO2" i="242" s="1"/>
  <c r="AN2" i="212"/>
  <c r="DI2" i="242" s="1"/>
  <c r="AG2" i="212"/>
  <c r="CZ2" i="242" s="1"/>
  <c r="N19" i="249"/>
  <c r="H1" i="241"/>
  <c r="EP2" i="242" s="1"/>
  <c r="H10" i="3"/>
  <c r="I13" i="217"/>
  <c r="I29" i="217" s="1"/>
  <c r="H14" i="242"/>
  <c r="H7" i="242"/>
  <c r="H23" i="242" s="1"/>
  <c r="G11" i="217"/>
  <c r="G27" i="217" s="1"/>
  <c r="G23" i="214"/>
  <c r="I23" i="214" s="1"/>
  <c r="K23" i="214" s="1"/>
  <c r="I30" i="205"/>
  <c r="I55" i="205"/>
  <c r="AC2" i="212"/>
  <c r="CV2" i="242" s="1"/>
  <c r="I47" i="205"/>
  <c r="I41" i="205"/>
  <c r="I17" i="4"/>
  <c r="I14" i="4"/>
  <c r="I11" i="4"/>
  <c r="F45" i="3"/>
  <c r="D8" i="11" s="1"/>
  <c r="H22" i="207"/>
  <c r="H19" i="207"/>
  <c r="H16" i="207"/>
  <c r="H5" i="207"/>
  <c r="I11" i="206"/>
  <c r="I26" i="214"/>
  <c r="K26" i="214" s="1"/>
  <c r="K14" i="209"/>
  <c r="D3" i="245"/>
  <c r="AJ3" i="212"/>
  <c r="W3" i="212"/>
  <c r="CP3" i="242" s="1"/>
  <c r="L3" i="249"/>
  <c r="F3" i="249"/>
  <c r="K3" i="236"/>
  <c r="FH2" i="242"/>
  <c r="E5" i="234"/>
  <c r="GJ5" i="242" s="1"/>
  <c r="H8" i="207"/>
  <c r="GP4" i="242"/>
  <c r="I6" i="205"/>
  <c r="I16" i="206"/>
  <c r="I29" i="211"/>
  <c r="P14" i="212" s="1"/>
  <c r="K3" i="249"/>
  <c r="E3" i="249"/>
  <c r="CE17" i="242"/>
  <c r="D1" i="241"/>
  <c r="EL2" i="242" s="1"/>
  <c r="I32" i="214"/>
  <c r="K32" i="214" s="1"/>
  <c r="E3" i="245"/>
  <c r="W2" i="212"/>
  <c r="CP2" i="242" s="1"/>
  <c r="I43" i="205"/>
  <c r="H24" i="207"/>
  <c r="H21" i="207"/>
  <c r="K13" i="209"/>
  <c r="H27" i="211"/>
  <c r="H10" i="245" s="1"/>
  <c r="I10" i="217"/>
  <c r="I26" i="217" s="1"/>
  <c r="AP3" i="212"/>
  <c r="I29" i="248"/>
  <c r="CV9" i="242" s="1"/>
  <c r="K1" i="241"/>
  <c r="ES2" i="242" s="1"/>
  <c r="O31" i="188"/>
  <c r="I18" i="205"/>
  <c r="I7" i="4"/>
  <c r="H14" i="207"/>
  <c r="H7" i="51"/>
  <c r="I15" i="2"/>
  <c r="I42" i="205"/>
  <c r="I8" i="205"/>
  <c r="K10" i="209"/>
  <c r="E2" i="245"/>
  <c r="B28" i="211"/>
  <c r="U14" i="212"/>
  <c r="U7" i="212"/>
  <c r="CN7" i="242" s="1"/>
  <c r="AC3" i="212"/>
  <c r="CV3" i="242" s="1"/>
  <c r="J1" i="241"/>
  <c r="ER2" i="242" s="1"/>
  <c r="I16" i="217"/>
  <c r="I32" i="217" s="1"/>
  <c r="I14" i="217"/>
  <c r="I30" i="217" s="1"/>
  <c r="I12" i="217"/>
  <c r="I28" i="217" s="1"/>
  <c r="H30" i="242"/>
  <c r="F30" i="214"/>
  <c r="G30" i="214" s="1"/>
  <c r="I30" i="214" s="1"/>
  <c r="K30" i="214" s="1"/>
  <c r="G45" i="3"/>
  <c r="E8" i="11" s="1"/>
  <c r="H19" i="3"/>
  <c r="H21" i="3"/>
  <c r="H6" i="3"/>
  <c r="I40" i="205"/>
  <c r="I11" i="205"/>
  <c r="H12" i="205"/>
  <c r="H4" i="4" s="1"/>
  <c r="I4" i="205"/>
  <c r="I7" i="2"/>
  <c r="I4" i="2"/>
  <c r="G12" i="248"/>
  <c r="BB11" i="242" s="1"/>
  <c r="AX11" i="242"/>
  <c r="J25" i="211"/>
  <c r="U22" i="228"/>
  <c r="H17" i="51"/>
  <c r="H9" i="51"/>
  <c r="I12" i="2"/>
  <c r="G49" i="205"/>
  <c r="G9" i="4" s="1"/>
  <c r="I46" i="205"/>
  <c r="I32" i="205"/>
  <c r="I16" i="4"/>
  <c r="H8" i="3"/>
  <c r="G19" i="206"/>
  <c r="D10" i="11" s="1"/>
  <c r="C10" i="211" s="1"/>
  <c r="I7" i="206"/>
  <c r="F3" i="245"/>
  <c r="L2" i="245"/>
  <c r="F2" i="245"/>
  <c r="G16" i="217"/>
  <c r="G32" i="217" s="1"/>
  <c r="G12" i="217"/>
  <c r="G28" i="217" s="1"/>
  <c r="F10" i="217"/>
  <c r="F26" i="217" s="1"/>
  <c r="AM3" i="212"/>
  <c r="C23" i="249"/>
  <c r="L3" i="236"/>
  <c r="F3" i="236"/>
  <c r="AN11" i="242"/>
  <c r="AQ11" i="242" s="1"/>
  <c r="E34" i="216"/>
  <c r="DX32" i="242" s="1"/>
  <c r="K2" i="246"/>
  <c r="H11" i="51"/>
  <c r="I9" i="206"/>
  <c r="B12" i="245"/>
  <c r="D27" i="211"/>
  <c r="D10" i="245" s="1"/>
  <c r="G13" i="217"/>
  <c r="G29" i="217" s="1"/>
  <c r="G8" i="217"/>
  <c r="G24" i="217" s="1"/>
  <c r="AH17" i="212"/>
  <c r="DC17" i="242" s="1"/>
  <c r="U16" i="212"/>
  <c r="AH16" i="212" s="1"/>
  <c r="DC16" i="242" s="1"/>
  <c r="I7" i="212"/>
  <c r="U4" i="212"/>
  <c r="CN4" i="242" s="1"/>
  <c r="AS3" i="212"/>
  <c r="B7" i="249"/>
  <c r="E25" i="216"/>
  <c r="DX24" i="242" s="1"/>
  <c r="N11" i="233"/>
  <c r="E4" i="107"/>
  <c r="D4" i="11" s="1"/>
  <c r="C4" i="230" s="1"/>
  <c r="H13" i="51"/>
  <c r="I14" i="2"/>
  <c r="I8" i="2"/>
  <c r="I5" i="2"/>
  <c r="I28" i="205"/>
  <c r="I7" i="205"/>
  <c r="J27" i="211"/>
  <c r="G14" i="217"/>
  <c r="G30" i="217" s="1"/>
  <c r="G9" i="217"/>
  <c r="G25" i="217" s="1"/>
  <c r="D8" i="217"/>
  <c r="D24" i="217" s="1"/>
  <c r="I4" i="212"/>
  <c r="CB4" i="242" s="1"/>
  <c r="B5" i="249"/>
  <c r="C23" i="236"/>
  <c r="GL4" i="242"/>
  <c r="E2" i="246"/>
  <c r="I16" i="2"/>
  <c r="I13" i="2"/>
  <c r="I45" i="205"/>
  <c r="I19" i="205"/>
  <c r="I9" i="205"/>
  <c r="I13" i="206"/>
  <c r="G16" i="214"/>
  <c r="I16" i="214" s="1"/>
  <c r="K16" i="214" s="1"/>
  <c r="K7" i="209"/>
  <c r="G15" i="217"/>
  <c r="G31" i="217" s="1"/>
  <c r="B10" i="217"/>
  <c r="B26" i="217" s="1"/>
  <c r="I17" i="212"/>
  <c r="CB17" i="242" s="1"/>
  <c r="U12" i="212"/>
  <c r="CN12" i="242" s="1"/>
  <c r="U5" i="212"/>
  <c r="AH5" i="212" s="1"/>
  <c r="DC5" i="242" s="1"/>
  <c r="GR4" i="242"/>
  <c r="FC2" i="242"/>
  <c r="H4" i="51"/>
  <c r="I44" i="205"/>
  <c r="I21" i="205"/>
  <c r="H7" i="207"/>
  <c r="H4" i="207"/>
  <c r="Q31" i="188"/>
  <c r="R14" i="188"/>
  <c r="P15" i="188" s="1"/>
  <c r="G27" i="211"/>
  <c r="G10" i="245" s="1"/>
  <c r="G10" i="217"/>
  <c r="G26" i="217" s="1"/>
  <c r="AH10" i="212"/>
  <c r="DC10" i="242" s="1"/>
  <c r="U9" i="212"/>
  <c r="X17" i="212"/>
  <c r="L17" i="212"/>
  <c r="CT17" i="242"/>
  <c r="V17" i="212"/>
  <c r="CO17" i="242" s="1"/>
  <c r="N17" i="212"/>
  <c r="J17" i="212"/>
  <c r="H20" i="3"/>
  <c r="H17" i="3"/>
  <c r="H16" i="3"/>
  <c r="H15" i="3"/>
  <c r="H13" i="3"/>
  <c r="K8" i="209"/>
  <c r="H34" i="217"/>
  <c r="Q49" i="188"/>
  <c r="O50" i="188" s="1"/>
  <c r="R49" i="188"/>
  <c r="P50" i="188" s="1"/>
  <c r="P49" i="188"/>
  <c r="P14" i="188"/>
  <c r="Q14" i="188"/>
  <c r="O15" i="188" s="1"/>
  <c r="F34" i="214"/>
  <c r="G34" i="214" s="1"/>
  <c r="I34" i="214" s="1"/>
  <c r="K34" i="214" s="1"/>
  <c r="G25" i="214"/>
  <c r="I25" i="214" s="1"/>
  <c r="K25" i="214" s="1"/>
  <c r="F35" i="214"/>
  <c r="G35" i="214" s="1"/>
  <c r="I35" i="214" s="1"/>
  <c r="K35" i="214" s="1"/>
  <c r="G14" i="214"/>
  <c r="I14" i="214" s="1"/>
  <c r="K14" i="214" s="1"/>
  <c r="H13" i="229"/>
  <c r="G6" i="229"/>
  <c r="H11" i="229"/>
  <c r="H20" i="229"/>
  <c r="G5" i="229"/>
  <c r="F5" i="229"/>
  <c r="H14" i="229"/>
  <c r="H9" i="229"/>
  <c r="H31" i="229"/>
  <c r="H10" i="229"/>
  <c r="H12" i="229"/>
  <c r="H19" i="206"/>
  <c r="E10" i="11" s="1"/>
  <c r="D9" i="210" s="1"/>
  <c r="G9" i="210" s="1"/>
  <c r="H18" i="3"/>
  <c r="H22" i="3"/>
  <c r="H5" i="3"/>
  <c r="K11" i="209"/>
  <c r="K6" i="209"/>
  <c r="I58" i="205"/>
  <c r="G60" i="205"/>
  <c r="I57" i="205"/>
  <c r="I56" i="205"/>
  <c r="I29" i="205"/>
  <c r="G34" i="205"/>
  <c r="G6" i="4" s="1"/>
  <c r="H22" i="205"/>
  <c r="H5" i="4" s="1"/>
  <c r="I11" i="2"/>
  <c r="I6" i="2"/>
  <c r="I10" i="2"/>
  <c r="I9" i="2"/>
  <c r="G20" i="2"/>
  <c r="D6" i="11" s="1"/>
  <c r="H7" i="3"/>
  <c r="H23" i="207"/>
  <c r="H11" i="207"/>
  <c r="I15" i="206"/>
  <c r="G15" i="214"/>
  <c r="I15" i="214" s="1"/>
  <c r="K15" i="214" s="1"/>
  <c r="F24" i="214"/>
  <c r="H9" i="3"/>
  <c r="H25" i="207"/>
  <c r="H13" i="207"/>
  <c r="I17" i="206"/>
  <c r="K9" i="209"/>
  <c r="J15" i="209"/>
  <c r="AW8" i="242"/>
  <c r="B25" i="211"/>
  <c r="H60" i="205"/>
  <c r="H8" i="4" s="1"/>
  <c r="H20" i="2"/>
  <c r="E6" i="11" s="1"/>
  <c r="H5" i="51"/>
  <c r="F18" i="51"/>
  <c r="D5" i="11" s="1"/>
  <c r="H49" i="205"/>
  <c r="H9" i="4" s="1"/>
  <c r="H11" i="3"/>
  <c r="H27" i="207"/>
  <c r="H15" i="207"/>
  <c r="G28" i="207"/>
  <c r="E9" i="11" s="1"/>
  <c r="E9" i="230" s="1"/>
  <c r="R31" i="188"/>
  <c r="H14" i="188"/>
  <c r="H16" i="188" s="1"/>
  <c r="K5" i="209"/>
  <c r="I15" i="209"/>
  <c r="BU11" i="242"/>
  <c r="I11" i="212"/>
  <c r="G18" i="51"/>
  <c r="E5" i="11" s="1"/>
  <c r="S4" i="242"/>
  <c r="E4" i="230"/>
  <c r="G4" i="230"/>
  <c r="D4" i="211"/>
  <c r="I17" i="205"/>
  <c r="G22" i="205"/>
  <c r="G5" i="4" s="1"/>
  <c r="H14" i="3"/>
  <c r="H17" i="207"/>
  <c r="O49" i="188"/>
  <c r="A9" i="241"/>
  <c r="EI10" i="242" s="1"/>
  <c r="X19" i="242"/>
  <c r="B10" i="249"/>
  <c r="B10" i="236"/>
  <c r="H34" i="205"/>
  <c r="H6" i="4" s="1"/>
  <c r="I5" i="205"/>
  <c r="G12" i="205"/>
  <c r="G4" i="4" s="1"/>
  <c r="H24" i="3"/>
  <c r="P31" i="188"/>
  <c r="F28" i="214"/>
  <c r="F27" i="214"/>
  <c r="F22" i="214"/>
  <c r="BB19" i="242"/>
  <c r="I27" i="211"/>
  <c r="I10" i="245" s="1"/>
  <c r="J29" i="211"/>
  <c r="Q14" i="212" s="1"/>
  <c r="AW4" i="242"/>
  <c r="B21" i="211"/>
  <c r="BO18" i="242"/>
  <c r="BP18" i="242" s="1"/>
  <c r="BZ16" i="242" s="1"/>
  <c r="G16" i="212"/>
  <c r="AH7" i="212"/>
  <c r="DC7" i="242" s="1"/>
  <c r="K20" i="248"/>
  <c r="K25" i="248"/>
  <c r="BF24" i="242" s="1"/>
  <c r="K29" i="248"/>
  <c r="BF28" i="242" s="1"/>
  <c r="K26" i="248"/>
  <c r="BF25" i="242" s="1"/>
  <c r="F28" i="207"/>
  <c r="D9" i="11" s="1"/>
  <c r="AW5" i="242"/>
  <c r="B22" i="211"/>
  <c r="H8" i="229"/>
  <c r="I25" i="211"/>
  <c r="I8" i="245" s="1"/>
  <c r="AW9" i="242"/>
  <c r="B26" i="211"/>
  <c r="I24" i="217"/>
  <c r="I5" i="242"/>
  <c r="CW17" i="242" s="1"/>
  <c r="J5" i="217"/>
  <c r="AE17" i="212" s="1"/>
  <c r="BU15" i="242"/>
  <c r="I15" i="212"/>
  <c r="CA13" i="242"/>
  <c r="U13" i="212"/>
  <c r="CB7" i="242"/>
  <c r="V7" i="212"/>
  <c r="CN14" i="242"/>
  <c r="AH14" i="212"/>
  <c r="DC14" i="242" s="1"/>
  <c r="CA11" i="242"/>
  <c r="U11" i="212"/>
  <c r="BU9" i="242"/>
  <c r="I9" i="212"/>
  <c r="BU5" i="242"/>
  <c r="I5" i="212"/>
  <c r="AW7" i="242"/>
  <c r="B24" i="211"/>
  <c r="CN8" i="242"/>
  <c r="AH8" i="212"/>
  <c r="DC8" i="242" s="1"/>
  <c r="J20" i="211"/>
  <c r="K25" i="211" s="1"/>
  <c r="J8" i="245" s="1"/>
  <c r="A7" i="241"/>
  <c r="EI8" i="242" s="1"/>
  <c r="X17" i="242"/>
  <c r="B8" i="249"/>
  <c r="AD17" i="212"/>
  <c r="I16" i="212"/>
  <c r="U15" i="212"/>
  <c r="AH4" i="212"/>
  <c r="DC4" i="242" s="1"/>
  <c r="CJ2" i="242"/>
  <c r="AD3" i="212"/>
  <c r="CW3" i="242" s="1"/>
  <c r="CD2" i="242"/>
  <c r="X3" i="212"/>
  <c r="CQ3" i="242" s="1"/>
  <c r="J29" i="248"/>
  <c r="AZ12" i="242"/>
  <c r="L29" i="248"/>
  <c r="BG28" i="242" s="1"/>
  <c r="AZ9" i="242"/>
  <c r="L26" i="248"/>
  <c r="BG25" i="242" s="1"/>
  <c r="H26" i="248"/>
  <c r="BC25" i="242" s="1"/>
  <c r="I26" i="248"/>
  <c r="BD25" i="242" s="1"/>
  <c r="J26" i="248"/>
  <c r="BE25" i="242" s="1"/>
  <c r="K17" i="212"/>
  <c r="Q17" i="212"/>
  <c r="W17" i="212"/>
  <c r="AJ17" i="212" s="1"/>
  <c r="C23" i="216" s="1"/>
  <c r="AC17" i="212"/>
  <c r="M17" i="212"/>
  <c r="Y17" i="212"/>
  <c r="O17" i="212"/>
  <c r="AA17" i="212"/>
  <c r="I4" i="242"/>
  <c r="I9" i="242" s="1"/>
  <c r="I25" i="242" s="1"/>
  <c r="J4" i="217"/>
  <c r="A5" i="241"/>
  <c r="EI6" i="242" s="1"/>
  <c r="X15" i="242"/>
  <c r="B6" i="249"/>
  <c r="AB17" i="212"/>
  <c r="BU13" i="242"/>
  <c r="I13" i="212"/>
  <c r="CN5" i="242"/>
  <c r="B6" i="236"/>
  <c r="B27" i="211"/>
  <c r="B23" i="211"/>
  <c r="I15" i="217"/>
  <c r="I31" i="217" s="1"/>
  <c r="I9" i="217"/>
  <c r="I25" i="217" s="1"/>
  <c r="J3" i="216"/>
  <c r="J42" i="233" s="1"/>
  <c r="I3" i="242"/>
  <c r="CJ17" i="242" s="1"/>
  <c r="J3" i="217"/>
  <c r="R17" i="212" s="1"/>
  <c r="Z17" i="212"/>
  <c r="P17" i="212"/>
  <c r="F17" i="212"/>
  <c r="BU14" i="242"/>
  <c r="I14" i="212"/>
  <c r="AH12" i="212"/>
  <c r="DC12" i="242" s="1"/>
  <c r="I12" i="212"/>
  <c r="BU8" i="242"/>
  <c r="I8" i="212"/>
  <c r="AH6" i="212"/>
  <c r="DC6" i="242" s="1"/>
  <c r="CN6" i="242"/>
  <c r="I6" i="212"/>
  <c r="CH2" i="242"/>
  <c r="AO3" i="212"/>
  <c r="AB3" i="212"/>
  <c r="CU3" i="242" s="1"/>
  <c r="AZ8" i="242"/>
  <c r="L25" i="248"/>
  <c r="BG24" i="242" s="1"/>
  <c r="I25" i="248"/>
  <c r="BD24" i="242" s="1"/>
  <c r="J25" i="248"/>
  <c r="BE24" i="242" s="1"/>
  <c r="AI17" i="212"/>
  <c r="DD17" i="242" s="1"/>
  <c r="I10" i="212"/>
  <c r="BU10" i="242"/>
  <c r="AZ7" i="242"/>
  <c r="G15" i="242"/>
  <c r="G31" i="242" s="1"/>
  <c r="G14" i="242"/>
  <c r="G30" i="242" s="1"/>
  <c r="G20" i="242"/>
  <c r="G16" i="242"/>
  <c r="G32" i="242" s="1"/>
  <c r="G17" i="242"/>
  <c r="A8" i="241"/>
  <c r="EI9" i="242" s="1"/>
  <c r="X18" i="242"/>
  <c r="B7" i="236"/>
  <c r="B9" i="249"/>
  <c r="CD17" i="242"/>
  <c r="CP17" i="242"/>
  <c r="CF17" i="242"/>
  <c r="CS17" i="242"/>
  <c r="CC17" i="242"/>
  <c r="CV17" i="242"/>
  <c r="BY17" i="242"/>
  <c r="CH17" i="242"/>
  <c r="CQ17" i="242"/>
  <c r="X16" i="242"/>
  <c r="A4" i="241"/>
  <c r="EI5" i="242" s="1"/>
  <c r="X14" i="242"/>
  <c r="AF3" i="212"/>
  <c r="CY3" i="242" s="1"/>
  <c r="Z3" i="212"/>
  <c r="CS3" i="242" s="1"/>
  <c r="BW17" i="242"/>
  <c r="FL11" i="242"/>
  <c r="M2" i="246"/>
  <c r="FK2" i="242"/>
  <c r="M1" i="241"/>
  <c r="EU2" i="242" s="1"/>
  <c r="G2" i="246"/>
  <c r="FE2" i="242"/>
  <c r="G1" i="241"/>
  <c r="EO2" i="242" s="1"/>
  <c r="AZ4" i="242"/>
  <c r="G7" i="242"/>
  <c r="G23" i="242" s="1"/>
  <c r="H3" i="242"/>
  <c r="I3" i="216"/>
  <c r="J25" i="216" s="1"/>
  <c r="B9" i="236"/>
  <c r="CU17" i="242"/>
  <c r="CG17" i="242"/>
  <c r="AB3" i="242"/>
  <c r="Z9" i="242"/>
  <c r="H13" i="242"/>
  <c r="H29" i="242" s="1"/>
  <c r="E42" i="233"/>
  <c r="I7" i="233" s="1"/>
  <c r="I18" i="241" s="1"/>
  <c r="H25" i="216"/>
  <c r="EA24" i="242" s="1"/>
  <c r="G34" i="216"/>
  <c r="DZ32" i="242" s="1"/>
  <c r="I33" i="216"/>
  <c r="EB31" i="242" s="1"/>
  <c r="I34" i="216"/>
  <c r="EB32" i="242" s="1"/>
  <c r="K25" i="216"/>
  <c r="ED24" i="242" s="1"/>
  <c r="I24" i="216"/>
  <c r="F25" i="216"/>
  <c r="DY24" i="242" s="1"/>
  <c r="G25" i="216"/>
  <c r="DZ24" i="242" s="1"/>
  <c r="F34" i="216"/>
  <c r="DY32" i="242" s="1"/>
  <c r="I25" i="216"/>
  <c r="EB24" i="242" s="1"/>
  <c r="H34" i="216"/>
  <c r="EA32" i="242" s="1"/>
  <c r="FL4" i="242"/>
  <c r="J5" i="234"/>
  <c r="GO5" i="242" s="1"/>
  <c r="GO4" i="242"/>
  <c r="D5" i="234"/>
  <c r="GI5" i="242" s="1"/>
  <c r="GI4" i="242"/>
  <c r="E7" i="233"/>
  <c r="E4" i="233" s="1"/>
  <c r="AA9" i="244"/>
  <c r="AA8" i="244" s="1"/>
  <c r="X9" i="244"/>
  <c r="X8" i="244" s="1"/>
  <c r="Y9" i="244"/>
  <c r="Y8" i="244" s="1"/>
  <c r="Z9" i="244"/>
  <c r="Z8" i="244" s="1"/>
  <c r="C13" i="230"/>
  <c r="B4" i="239"/>
  <c r="R14" i="242"/>
  <c r="C13" i="248" s="1"/>
  <c r="C13" i="211"/>
  <c r="D11" i="11"/>
  <c r="C11" i="230" s="1"/>
  <c r="H6" i="229"/>
  <c r="CR17" i="242"/>
  <c r="H12" i="242"/>
  <c r="H28" i="242" s="1"/>
  <c r="I12" i="242"/>
  <c r="I28" i="242" s="1"/>
  <c r="H11" i="242"/>
  <c r="H27" i="242" s="1"/>
  <c r="I11" i="242"/>
  <c r="I27" i="242" s="1"/>
  <c r="H10" i="242"/>
  <c r="H26" i="242" s="1"/>
  <c r="H9" i="242"/>
  <c r="H25" i="242" s="1"/>
  <c r="M6" i="242"/>
  <c r="H8" i="242"/>
  <c r="H24" i="242" s="1"/>
  <c r="G12" i="242"/>
  <c r="G28" i="242" s="1"/>
  <c r="G11" i="242"/>
  <c r="G27" i="242" s="1"/>
  <c r="G10" i="242"/>
  <c r="G26" i="242" s="1"/>
  <c r="G9" i="242"/>
  <c r="G25" i="242" s="1"/>
  <c r="G8" i="242"/>
  <c r="G13" i="242"/>
  <c r="G29" i="242" s="1"/>
  <c r="H22" i="217"/>
  <c r="H31" i="242"/>
  <c r="N5" i="244"/>
  <c r="C27" i="249"/>
  <c r="C30" i="249" s="1"/>
  <c r="N27" i="236"/>
  <c r="L27" i="236"/>
  <c r="J27" i="236"/>
  <c r="H27" i="236"/>
  <c r="F27" i="236"/>
  <c r="D27" i="236"/>
  <c r="D11" i="239"/>
  <c r="C10" i="247"/>
  <c r="M27" i="236"/>
  <c r="K27" i="236"/>
  <c r="I27" i="236"/>
  <c r="G27" i="236"/>
  <c r="E27" i="236"/>
  <c r="O16" i="188" l="1"/>
  <c r="C10" i="230"/>
  <c r="S10" i="242"/>
  <c r="E10" i="230"/>
  <c r="G10" i="230"/>
  <c r="BD19" i="242"/>
  <c r="I3" i="245"/>
  <c r="P32" i="188"/>
  <c r="P33" i="188" s="1"/>
  <c r="D6" i="8"/>
  <c r="O32" i="188"/>
  <c r="O33" i="188" s="1"/>
  <c r="J24" i="216"/>
  <c r="J17" i="233" s="1"/>
  <c r="FH17" i="242" s="1"/>
  <c r="C9" i="210"/>
  <c r="F9" i="210" s="1"/>
  <c r="V4" i="212"/>
  <c r="CN16" i="242"/>
  <c r="D10" i="211"/>
  <c r="E10" i="211" s="1"/>
  <c r="DF17" i="242"/>
  <c r="DW22" i="242" s="1"/>
  <c r="AN17" i="212"/>
  <c r="G23" i="216" s="1"/>
  <c r="DI17" i="242"/>
  <c r="DZ22" i="242" s="1"/>
  <c r="B9" i="217"/>
  <c r="B25" i="217" s="1"/>
  <c r="F8" i="217"/>
  <c r="F24" i="217" s="1"/>
  <c r="C4" i="211"/>
  <c r="E4" i="211" s="1"/>
  <c r="I12" i="245"/>
  <c r="AW27" i="242"/>
  <c r="B11" i="245"/>
  <c r="CW9" i="242"/>
  <c r="D10" i="217"/>
  <c r="D26" i="217" s="1"/>
  <c r="I12" i="205"/>
  <c r="I4" i="4" s="1"/>
  <c r="I19" i="206"/>
  <c r="F10" i="11" s="1"/>
  <c r="DG17" i="242"/>
  <c r="DX22" i="242" s="1"/>
  <c r="F7" i="233"/>
  <c r="G16" i="247" s="1"/>
  <c r="G17" i="247" s="1"/>
  <c r="K34" i="216"/>
  <c r="ED32" i="242" s="1"/>
  <c r="AM17" i="212"/>
  <c r="F23" i="216" s="1"/>
  <c r="H4" i="230"/>
  <c r="I4" i="230" s="1"/>
  <c r="R10" i="242"/>
  <c r="C10" i="248" s="1"/>
  <c r="D4" i="242"/>
  <c r="D8" i="242" s="1"/>
  <c r="D24" i="242" s="1"/>
  <c r="BD28" i="242"/>
  <c r="CI14" i="242" s="1"/>
  <c r="J33" i="216"/>
  <c r="EC31" i="242" s="1"/>
  <c r="K24" i="216"/>
  <c r="AE15" i="212" s="1"/>
  <c r="DJ17" i="242"/>
  <c r="EA22" i="242" s="1"/>
  <c r="AK17" i="212"/>
  <c r="D23" i="216" s="1"/>
  <c r="B13" i="217"/>
  <c r="B29" i="217" s="1"/>
  <c r="B4" i="242"/>
  <c r="B7" i="242" s="1"/>
  <c r="B23" i="242" s="1"/>
  <c r="F11" i="217"/>
  <c r="F27" i="217" s="1"/>
  <c r="B15" i="217"/>
  <c r="B31" i="217" s="1"/>
  <c r="B12" i="217"/>
  <c r="B28" i="217" s="1"/>
  <c r="B8" i="217"/>
  <c r="B24" i="217" s="1"/>
  <c r="F9" i="217"/>
  <c r="F25" i="217" s="1"/>
  <c r="B11" i="217"/>
  <c r="B27" i="217" s="1"/>
  <c r="D16" i="217"/>
  <c r="D32" i="217" s="1"/>
  <c r="B14" i="217"/>
  <c r="B30" i="217" s="1"/>
  <c r="D11" i="217"/>
  <c r="D27" i="217" s="1"/>
  <c r="F15" i="217"/>
  <c r="F31" i="217" s="1"/>
  <c r="F14" i="217"/>
  <c r="F30" i="217" s="1"/>
  <c r="D15" i="217"/>
  <c r="D31" i="217" s="1"/>
  <c r="D14" i="217"/>
  <c r="D30" i="217" s="1"/>
  <c r="D13" i="217"/>
  <c r="D29" i="217" s="1"/>
  <c r="D12" i="217"/>
  <c r="D28" i="217" s="1"/>
  <c r="D9" i="217"/>
  <c r="D25" i="217" s="1"/>
  <c r="B16" i="217"/>
  <c r="B32" i="217" s="1"/>
  <c r="G34" i="217"/>
  <c r="F18" i="101" s="1"/>
  <c r="G22" i="217"/>
  <c r="H45" i="3"/>
  <c r="F8" i="11" s="1"/>
  <c r="E8" i="230"/>
  <c r="D8" i="211"/>
  <c r="I49" i="205"/>
  <c r="I9" i="4" s="1"/>
  <c r="I34" i="205"/>
  <c r="I6" i="4" s="1"/>
  <c r="I20" i="2"/>
  <c r="F6" i="11" s="1"/>
  <c r="R4" i="242"/>
  <c r="C4" i="248" s="1"/>
  <c r="G4" i="248" s="1"/>
  <c r="E45" i="216"/>
  <c r="F27" i="247" s="1"/>
  <c r="C31" i="249"/>
  <c r="C33" i="249" s="1"/>
  <c r="I13" i="242"/>
  <c r="I29" i="242" s="1"/>
  <c r="I10" i="242"/>
  <c r="I26" i="242" s="1"/>
  <c r="AO17" i="212"/>
  <c r="H23" i="216" s="1"/>
  <c r="F13" i="217"/>
  <c r="F29" i="217" s="1"/>
  <c r="I22" i="205"/>
  <c r="I5" i="4" s="1"/>
  <c r="I8" i="242"/>
  <c r="I24" i="242" s="1"/>
  <c r="F12" i="217"/>
  <c r="F28" i="217" s="1"/>
  <c r="F4" i="242"/>
  <c r="F15" i="242" s="1"/>
  <c r="F31" i="242" s="1"/>
  <c r="H18" i="51"/>
  <c r="F5" i="11" s="1"/>
  <c r="D7" i="210"/>
  <c r="G7" i="210" s="1"/>
  <c r="CN9" i="242"/>
  <c r="AH9" i="212"/>
  <c r="DC9" i="242" s="1"/>
  <c r="AR17" i="212"/>
  <c r="K23" i="216" s="1"/>
  <c r="P16" i="188"/>
  <c r="P17" i="188" s="1"/>
  <c r="D5" i="202" s="1"/>
  <c r="AL17" i="212"/>
  <c r="E23" i="216" s="1"/>
  <c r="F16" i="217"/>
  <c r="F32" i="217" s="1"/>
  <c r="G8" i="230"/>
  <c r="I60" i="205"/>
  <c r="I8" i="4" s="1"/>
  <c r="P51" i="188"/>
  <c r="H28" i="207"/>
  <c r="F9" i="11" s="1"/>
  <c r="E4" i="242"/>
  <c r="E15" i="217"/>
  <c r="E31" i="217" s="1"/>
  <c r="E9" i="217"/>
  <c r="E25" i="217" s="1"/>
  <c r="E14" i="217"/>
  <c r="E30" i="217" s="1"/>
  <c r="E8" i="217"/>
  <c r="E24" i="217" s="1"/>
  <c r="E13" i="217"/>
  <c r="E29" i="217" s="1"/>
  <c r="E12" i="217"/>
  <c r="E28" i="217" s="1"/>
  <c r="E16" i="217"/>
  <c r="E32" i="217" s="1"/>
  <c r="E11" i="217"/>
  <c r="E27" i="217" s="1"/>
  <c r="E10" i="217"/>
  <c r="E26" i="217" s="1"/>
  <c r="AQ17" i="212"/>
  <c r="J23" i="216" s="1"/>
  <c r="I34" i="217"/>
  <c r="I22" i="217"/>
  <c r="O51" i="188"/>
  <c r="G32" i="229"/>
  <c r="K7" i="229"/>
  <c r="H5" i="229"/>
  <c r="C11" i="211"/>
  <c r="R11" i="242"/>
  <c r="C11" i="248" s="1"/>
  <c r="H9" i="210"/>
  <c r="H10" i="230"/>
  <c r="S8" i="242"/>
  <c r="AO7" i="242" s="1"/>
  <c r="AR7" i="242" s="1"/>
  <c r="H19" i="4"/>
  <c r="E7" i="11" s="1"/>
  <c r="E7" i="230" s="1"/>
  <c r="I45" i="216"/>
  <c r="J27" i="247" s="1"/>
  <c r="I17" i="233"/>
  <c r="FG17" i="242" s="1"/>
  <c r="G19" i="4"/>
  <c r="D7" i="11" s="1"/>
  <c r="D13" i="11" s="1"/>
  <c r="B3" i="239" s="1"/>
  <c r="B5" i="239" s="1"/>
  <c r="B7" i="239" s="1"/>
  <c r="B9" i="239" s="1"/>
  <c r="B17" i="239" s="1"/>
  <c r="B12" i="239" s="1"/>
  <c r="J26" i="247"/>
  <c r="F45" i="216"/>
  <c r="G27" i="247" s="1"/>
  <c r="G45" i="216"/>
  <c r="H27" i="247" s="1"/>
  <c r="I43" i="237"/>
  <c r="I44" i="237" s="1"/>
  <c r="EB23" i="242"/>
  <c r="H45" i="216"/>
  <c r="I27" i="247" s="1"/>
  <c r="EC24" i="242"/>
  <c r="DL17" i="242"/>
  <c r="EC22" i="242" s="1"/>
  <c r="J4" i="242"/>
  <c r="J8" i="217"/>
  <c r="J9" i="217"/>
  <c r="J25" i="217" s="1"/>
  <c r="J10" i="217"/>
  <c r="J26" i="217" s="1"/>
  <c r="J11" i="217"/>
  <c r="J27" i="217" s="1"/>
  <c r="J12" i="217"/>
  <c r="J28" i="217" s="1"/>
  <c r="J13" i="217"/>
  <c r="J29" i="217" s="1"/>
  <c r="J14" i="217"/>
  <c r="J30" i="217" s="1"/>
  <c r="J15" i="217"/>
  <c r="J31" i="217" s="1"/>
  <c r="J16" i="217"/>
  <c r="J32" i="217" s="1"/>
  <c r="K4" i="217"/>
  <c r="AH14" i="242" s="1"/>
  <c r="I4" i="233"/>
  <c r="AC15" i="212"/>
  <c r="E18" i="241"/>
  <c r="FC7" i="242"/>
  <c r="FC4" i="242" s="1"/>
  <c r="AB14" i="242"/>
  <c r="AD14" i="242"/>
  <c r="AC14" i="242"/>
  <c r="AF14" i="242"/>
  <c r="Z14" i="242"/>
  <c r="Y14" i="242"/>
  <c r="AE14" i="242"/>
  <c r="AG14" i="242"/>
  <c r="C4" i="242"/>
  <c r="C13" i="217"/>
  <c r="C29" i="217" s="1"/>
  <c r="C8" i="217"/>
  <c r="C14" i="217"/>
  <c r="C30" i="217" s="1"/>
  <c r="C9" i="217"/>
  <c r="C25" i="217" s="1"/>
  <c r="C15" i="217"/>
  <c r="C31" i="217" s="1"/>
  <c r="C16" i="217"/>
  <c r="C32" i="217" s="1"/>
  <c r="C10" i="217"/>
  <c r="C26" i="217" s="1"/>
  <c r="C11" i="217"/>
  <c r="C27" i="217" s="1"/>
  <c r="C12" i="217"/>
  <c r="C28" i="217" s="1"/>
  <c r="DE17" i="242"/>
  <c r="DV22" i="242" s="1"/>
  <c r="CB10" i="242"/>
  <c r="V10" i="212"/>
  <c r="I15" i="242"/>
  <c r="I31" i="242" s="1"/>
  <c r="I17" i="242"/>
  <c r="I20" i="242"/>
  <c r="I7" i="242"/>
  <c r="I23" i="242" s="1"/>
  <c r="I16" i="242"/>
  <c r="I32" i="242" s="1"/>
  <c r="I14" i="242"/>
  <c r="I30" i="242" s="1"/>
  <c r="J5" i="242"/>
  <c r="CX17" i="242" s="1"/>
  <c r="K5" i="217"/>
  <c r="AF16" i="212" s="1"/>
  <c r="F16" i="212"/>
  <c r="L16" i="212"/>
  <c r="R16" i="212"/>
  <c r="X16" i="212"/>
  <c r="AD16" i="212"/>
  <c r="N16" i="212"/>
  <c r="Z16" i="212"/>
  <c r="D16" i="212"/>
  <c r="J16" i="212"/>
  <c r="P16" i="212"/>
  <c r="AB16" i="212"/>
  <c r="M16" i="212"/>
  <c r="Y16" i="212"/>
  <c r="Q16" i="212"/>
  <c r="AC16" i="212"/>
  <c r="AE16" i="212"/>
  <c r="W16" i="212"/>
  <c r="AA16" i="212"/>
  <c r="K16" i="212"/>
  <c r="O16" i="212"/>
  <c r="F36" i="214"/>
  <c r="G36" i="214" s="1"/>
  <c r="I36" i="214" s="1"/>
  <c r="K36" i="214" s="1"/>
  <c r="G27" i="214"/>
  <c r="I27" i="214" s="1"/>
  <c r="K27" i="214" s="1"/>
  <c r="C6" i="230"/>
  <c r="R6" i="242"/>
  <c r="C6" i="211"/>
  <c r="C5" i="210"/>
  <c r="F5" i="210" s="1"/>
  <c r="CB8" i="242"/>
  <c r="V8" i="212"/>
  <c r="CB11" i="242"/>
  <c r="V11" i="212"/>
  <c r="C8" i="230"/>
  <c r="R8" i="242"/>
  <c r="C8" i="211"/>
  <c r="C7" i="210"/>
  <c r="F7" i="210" s="1"/>
  <c r="H22" i="242"/>
  <c r="H34" i="242" s="1"/>
  <c r="FG9" i="242" s="1"/>
  <c r="FG8" i="242" s="1"/>
  <c r="H6" i="242"/>
  <c r="F16" i="247"/>
  <c r="F17" i="247" s="1"/>
  <c r="CO4" i="242"/>
  <c r="AI4" i="212"/>
  <c r="DD4" i="242" s="1"/>
  <c r="CB12" i="242"/>
  <c r="V12" i="212"/>
  <c r="CN15" i="242"/>
  <c r="AH15" i="212"/>
  <c r="DC15" i="242" s="1"/>
  <c r="B17" i="242"/>
  <c r="CB9" i="242"/>
  <c r="V9" i="212"/>
  <c r="CN13" i="242"/>
  <c r="AH13" i="212"/>
  <c r="DC13" i="242" s="1"/>
  <c r="AA14" i="242"/>
  <c r="CH16" i="242"/>
  <c r="CT16" i="242"/>
  <c r="CD16" i="242"/>
  <c r="CJ16" i="242"/>
  <c r="CP16" i="242"/>
  <c r="CV16" i="242"/>
  <c r="CE16" i="242"/>
  <c r="CW16" i="242"/>
  <c r="CI16" i="242"/>
  <c r="CR16" i="242"/>
  <c r="CS16" i="242"/>
  <c r="CC16" i="242"/>
  <c r="CU16" i="242"/>
  <c r="DJ16" i="242" s="1"/>
  <c r="EA21" i="242" s="1"/>
  <c r="CF16" i="242"/>
  <c r="CG16" i="242"/>
  <c r="BW16" i="242"/>
  <c r="BY16" i="242"/>
  <c r="CQ16" i="242"/>
  <c r="G28" i="214"/>
  <c r="I28" i="214" s="1"/>
  <c r="K28" i="214" s="1"/>
  <c r="F37" i="214"/>
  <c r="G37" i="214" s="1"/>
  <c r="I37" i="214" s="1"/>
  <c r="K37" i="214" s="1"/>
  <c r="S6" i="242"/>
  <c r="G6" i="230"/>
  <c r="E6" i="230"/>
  <c r="D6" i="211"/>
  <c r="D5" i="210"/>
  <c r="G5" i="210" s="1"/>
  <c r="J21" i="249"/>
  <c r="J23" i="249" s="1"/>
  <c r="J31" i="249" s="1"/>
  <c r="J33" i="249" s="1"/>
  <c r="J21" i="236"/>
  <c r="J23" i="236" s="1"/>
  <c r="CI17" i="242"/>
  <c r="DK17" i="242" s="1"/>
  <c r="EB22" i="242" s="1"/>
  <c r="CB5" i="242"/>
  <c r="V5" i="212"/>
  <c r="G22" i="214"/>
  <c r="I22" i="214" s="1"/>
  <c r="K22" i="214" s="1"/>
  <c r="F31" i="214"/>
  <c r="G31" i="214" s="1"/>
  <c r="I31" i="214" s="1"/>
  <c r="K31" i="214" s="1"/>
  <c r="BE28" i="242"/>
  <c r="CJ14" i="242" s="1"/>
  <c r="EQ19" i="242"/>
  <c r="P15" i="212"/>
  <c r="CI15" i="242" s="1"/>
  <c r="I45" i="250"/>
  <c r="I46" i="250" s="1"/>
  <c r="J16" i="247"/>
  <c r="J17" i="247" s="1"/>
  <c r="C10" i="210"/>
  <c r="F10" i="210" s="1"/>
  <c r="FG7" i="242"/>
  <c r="FG4" i="242" s="1"/>
  <c r="G7" i="233"/>
  <c r="H7" i="233"/>
  <c r="DH17" i="242"/>
  <c r="DY22" i="242" s="1"/>
  <c r="CB6" i="242"/>
  <c r="V6" i="212"/>
  <c r="AW22" i="242"/>
  <c r="B6" i="245"/>
  <c r="AP17" i="212"/>
  <c r="I23" i="216" s="1"/>
  <c r="CB16" i="242"/>
  <c r="V16" i="212"/>
  <c r="AW23" i="242"/>
  <c r="B7" i="245"/>
  <c r="AW21" i="242"/>
  <c r="B5" i="245"/>
  <c r="AW20" i="242"/>
  <c r="B4" i="245"/>
  <c r="G9" i="230"/>
  <c r="S9" i="242"/>
  <c r="D9" i="211"/>
  <c r="D8" i="210"/>
  <c r="G8" i="210" s="1"/>
  <c r="C5" i="230"/>
  <c r="R5" i="242"/>
  <c r="C4" i="210"/>
  <c r="F4" i="210" s="1"/>
  <c r="C5" i="211"/>
  <c r="AO9" i="242"/>
  <c r="AR9" i="242" s="1"/>
  <c r="D10" i="248"/>
  <c r="CO7" i="242"/>
  <c r="AI7" i="212"/>
  <c r="DD7" i="242" s="1"/>
  <c r="I45" i="237"/>
  <c r="I46" i="237" s="1"/>
  <c r="I16" i="241"/>
  <c r="EQ17" i="242" s="1"/>
  <c r="I43" i="250"/>
  <c r="I44" i="250" s="1"/>
  <c r="J34" i="216"/>
  <c r="J3" i="242"/>
  <c r="K3" i="216"/>
  <c r="L24" i="216" s="1"/>
  <c r="K3" i="217"/>
  <c r="S16" i="212" s="1"/>
  <c r="AW26" i="242"/>
  <c r="B10" i="245"/>
  <c r="CN11" i="242"/>
  <c r="AH11" i="212"/>
  <c r="DC11" i="242" s="1"/>
  <c r="CB15" i="242"/>
  <c r="V15" i="212"/>
  <c r="L20" i="248"/>
  <c r="D4" i="248"/>
  <c r="H4" i="248" s="1"/>
  <c r="K15" i="209"/>
  <c r="D6" i="202" s="1"/>
  <c r="AW24" i="242"/>
  <c r="B8" i="245"/>
  <c r="G24" i="214"/>
  <c r="I24" i="214" s="1"/>
  <c r="K24" i="214" s="1"/>
  <c r="F33" i="214"/>
  <c r="G33" i="214" s="1"/>
  <c r="I33" i="214" s="1"/>
  <c r="K33" i="214" s="1"/>
  <c r="I42" i="233"/>
  <c r="K7" i="233" s="1"/>
  <c r="CB14" i="242"/>
  <c r="V14" i="212"/>
  <c r="CB13" i="242"/>
  <c r="V13" i="212"/>
  <c r="BE19" i="242"/>
  <c r="K27" i="211"/>
  <c r="J10" i="245" s="1"/>
  <c r="J3" i="245"/>
  <c r="K20" i="211"/>
  <c r="K29" i="211"/>
  <c r="AW25" i="242"/>
  <c r="B9" i="245"/>
  <c r="C9" i="230"/>
  <c r="R9" i="242"/>
  <c r="C9" i="211"/>
  <c r="C8" i="210"/>
  <c r="F8" i="210" s="1"/>
  <c r="G5" i="230"/>
  <c r="S5" i="242"/>
  <c r="E5" i="230"/>
  <c r="D5" i="211"/>
  <c r="D4" i="210"/>
  <c r="G4" i="210" s="1"/>
  <c r="G13" i="248"/>
  <c r="BB12" i="242" s="1"/>
  <c r="AX12" i="242"/>
  <c r="G6" i="242"/>
  <c r="G24" i="242"/>
  <c r="G22" i="242" s="1"/>
  <c r="G34" i="242" s="1"/>
  <c r="CK14" i="242"/>
  <c r="CL14" i="242"/>
  <c r="I10" i="230" l="1"/>
  <c r="AN9" i="242"/>
  <c r="AQ9" i="242" s="1"/>
  <c r="AS9" i="242"/>
  <c r="P34" i="188"/>
  <c r="D4" i="202" s="1"/>
  <c r="E4" i="202" s="1"/>
  <c r="G5" i="212" s="1"/>
  <c r="J5" i="212" s="1"/>
  <c r="E6" i="8"/>
  <c r="E13" i="8" s="1"/>
  <c r="D13" i="8"/>
  <c r="E14" i="11" s="1"/>
  <c r="AD15" i="212"/>
  <c r="J43" i="250"/>
  <c r="J44" i="250" s="1"/>
  <c r="EC23" i="242"/>
  <c r="J45" i="250"/>
  <c r="J46" i="250" s="1"/>
  <c r="Q15" i="212"/>
  <c r="CJ15" i="242" s="1"/>
  <c r="J43" i="237"/>
  <c r="J44" i="237" s="1"/>
  <c r="J45" i="237"/>
  <c r="J46" i="237" s="1"/>
  <c r="D10" i="242"/>
  <c r="D26" i="242" s="1"/>
  <c r="D13" i="242"/>
  <c r="D29" i="242" s="1"/>
  <c r="D7" i="242"/>
  <c r="D23" i="242" s="1"/>
  <c r="B16" i="242"/>
  <c r="B32" i="242" s="1"/>
  <c r="D11" i="242"/>
  <c r="D27" i="242" s="1"/>
  <c r="D20" i="242"/>
  <c r="D15" i="242"/>
  <c r="D31" i="242" s="1"/>
  <c r="D9" i="242"/>
  <c r="D25" i="242" s="1"/>
  <c r="D17" i="242"/>
  <c r="F17" i="242"/>
  <c r="D14" i="242"/>
  <c r="D30" i="242" s="1"/>
  <c r="F20" i="242"/>
  <c r="F13" i="242"/>
  <c r="F29" i="242" s="1"/>
  <c r="D12" i="242"/>
  <c r="D28" i="242" s="1"/>
  <c r="D16" i="242"/>
  <c r="D32" i="242" s="1"/>
  <c r="K45" i="237"/>
  <c r="K46" i="237" s="1"/>
  <c r="K43" i="250"/>
  <c r="K44" i="250" s="1"/>
  <c r="K45" i="216"/>
  <c r="K18" i="233" s="1"/>
  <c r="FI18" i="242" s="1"/>
  <c r="K45" i="250"/>
  <c r="K46" i="250" s="1"/>
  <c r="K26" i="247"/>
  <c r="K43" i="237"/>
  <c r="K44" i="237" s="1"/>
  <c r="R15" i="212"/>
  <c r="CK15" i="242" s="1"/>
  <c r="F18" i="241"/>
  <c r="F16" i="241" s="1"/>
  <c r="F5" i="237" s="1"/>
  <c r="F6" i="237" s="1"/>
  <c r="F4" i="233"/>
  <c r="ED23" i="242"/>
  <c r="K17" i="233"/>
  <c r="FI17" i="242" s="1"/>
  <c r="FD7" i="242"/>
  <c r="FD4" i="242" s="1"/>
  <c r="I4" i="248"/>
  <c r="K4" i="248" s="1"/>
  <c r="L4" i="248" s="1"/>
  <c r="T10" i="242"/>
  <c r="B10" i="242"/>
  <c r="B26" i="242" s="1"/>
  <c r="B9" i="242"/>
  <c r="B25" i="242" s="1"/>
  <c r="B13" i="242"/>
  <c r="B29" i="242" s="1"/>
  <c r="B14" i="242"/>
  <c r="B30" i="242" s="1"/>
  <c r="B20" i="242"/>
  <c r="B15" i="242"/>
  <c r="B31" i="242" s="1"/>
  <c r="B12" i="242"/>
  <c r="B28" i="242" s="1"/>
  <c r="B8" i="242"/>
  <c r="B24" i="242" s="1"/>
  <c r="B11" i="242"/>
  <c r="B27" i="242" s="1"/>
  <c r="F16" i="242"/>
  <c r="F32" i="242" s="1"/>
  <c r="F14" i="242"/>
  <c r="F30" i="242" s="1"/>
  <c r="F7" i="242"/>
  <c r="F23" i="242" s="1"/>
  <c r="D34" i="217"/>
  <c r="B6" i="217"/>
  <c r="E8" i="211"/>
  <c r="G8" i="211" s="1"/>
  <c r="H8" i="211" s="1"/>
  <c r="K8" i="211" s="1"/>
  <c r="H7" i="210"/>
  <c r="H8" i="230"/>
  <c r="J8" i="230" s="1"/>
  <c r="P52" i="188"/>
  <c r="D12" i="202" s="1"/>
  <c r="BO13" i="242" s="1"/>
  <c r="BP13" i="242" s="1"/>
  <c r="BZ12" i="242" s="1"/>
  <c r="D8" i="248"/>
  <c r="H8" i="248" s="1"/>
  <c r="BC7" i="242" s="1"/>
  <c r="I19" i="4"/>
  <c r="F7" i="11" s="1"/>
  <c r="E6" i="211"/>
  <c r="G6" i="211" s="1"/>
  <c r="H6" i="211" s="1"/>
  <c r="K6" i="211" s="1"/>
  <c r="H5" i="230"/>
  <c r="E5" i="211"/>
  <c r="G5" i="211" s="1"/>
  <c r="H5" i="211" s="1"/>
  <c r="K5" i="211" s="1"/>
  <c r="T4" i="242"/>
  <c r="C6" i="210"/>
  <c r="F6" i="210" s="1"/>
  <c r="F12" i="210" s="1"/>
  <c r="E11" i="11"/>
  <c r="G11" i="230" s="1"/>
  <c r="H32" i="229"/>
  <c r="F11" i="11" s="1"/>
  <c r="E15" i="242"/>
  <c r="E31" i="242" s="1"/>
  <c r="E13" i="242"/>
  <c r="E29" i="242" s="1"/>
  <c r="E17" i="242"/>
  <c r="E12" i="242"/>
  <c r="E28" i="242" s="1"/>
  <c r="E20" i="242"/>
  <c r="E7" i="242"/>
  <c r="E16" i="242"/>
  <c r="E32" i="242" s="1"/>
  <c r="E14" i="242"/>
  <c r="E30" i="242" s="1"/>
  <c r="E9" i="242"/>
  <c r="E25" i="242" s="1"/>
  <c r="E8" i="242"/>
  <c r="E24" i="242" s="1"/>
  <c r="E10" i="242"/>
  <c r="E26" i="242" s="1"/>
  <c r="E11" i="242"/>
  <c r="E27" i="242" s="1"/>
  <c r="F9" i="242"/>
  <c r="F25" i="242" s="1"/>
  <c r="F8" i="242"/>
  <c r="F24" i="242" s="1"/>
  <c r="F10" i="242"/>
  <c r="F26" i="242" s="1"/>
  <c r="F11" i="242"/>
  <c r="F27" i="242" s="1"/>
  <c r="F12" i="242"/>
  <c r="F28" i="242" s="1"/>
  <c r="AK16" i="212"/>
  <c r="D22" i="216" s="1"/>
  <c r="I22" i="242"/>
  <c r="I34" i="242" s="1"/>
  <c r="FH9" i="242" s="1"/>
  <c r="FH8" i="242" s="1"/>
  <c r="F34" i="217"/>
  <c r="AE17" i="242"/>
  <c r="EQ8" i="242" s="1"/>
  <c r="I6" i="242"/>
  <c r="K64" i="214"/>
  <c r="D3" i="202" s="1"/>
  <c r="BO4" i="242" s="1"/>
  <c r="AN10" i="242"/>
  <c r="AQ10" i="242" s="1"/>
  <c r="H8" i="210"/>
  <c r="DH16" i="242"/>
  <c r="DY21" i="242" s="1"/>
  <c r="AN16" i="212"/>
  <c r="G22" i="216" s="1"/>
  <c r="DL16" i="242"/>
  <c r="EC21" i="242" s="1"/>
  <c r="DI16" i="242"/>
  <c r="DZ21" i="242" s="1"/>
  <c r="AJ16" i="212"/>
  <c r="C22" i="216" s="1"/>
  <c r="D6" i="210"/>
  <c r="G6" i="210" s="1"/>
  <c r="D7" i="211"/>
  <c r="S7" i="242"/>
  <c r="I18" i="233"/>
  <c r="FG18" i="242" s="1"/>
  <c r="G7" i="230"/>
  <c r="H7" i="230" s="1"/>
  <c r="C7" i="211"/>
  <c r="C14" i="211" s="1"/>
  <c r="R7" i="242"/>
  <c r="C7" i="248" s="1"/>
  <c r="C7" i="230"/>
  <c r="C15" i="230" s="1"/>
  <c r="I7" i="237"/>
  <c r="I8" i="237" s="1"/>
  <c r="I11" i="250"/>
  <c r="I12" i="250" s="1"/>
  <c r="H4" i="210"/>
  <c r="AP15" i="212"/>
  <c r="I5" i="250"/>
  <c r="I6" i="250" s="1"/>
  <c r="FG3" i="242"/>
  <c r="I5" i="237"/>
  <c r="I6" i="237" s="1"/>
  <c r="I11" i="237"/>
  <c r="I12" i="237" s="1"/>
  <c r="I7" i="250"/>
  <c r="I8" i="250" s="1"/>
  <c r="CO13" i="242"/>
  <c r="AI13" i="212"/>
  <c r="DD13" i="242" s="1"/>
  <c r="K42" i="233"/>
  <c r="AM16" i="212"/>
  <c r="F22" i="216" s="1"/>
  <c r="CO10" i="242"/>
  <c r="AI10" i="212"/>
  <c r="DD10" i="242" s="1"/>
  <c r="K4" i="242"/>
  <c r="L4" i="217"/>
  <c r="K8" i="217"/>
  <c r="K14" i="217"/>
  <c r="K30" i="217" s="1"/>
  <c r="K9" i="217"/>
  <c r="K25" i="217" s="1"/>
  <c r="K15" i="217"/>
  <c r="K31" i="217" s="1"/>
  <c r="K10" i="217"/>
  <c r="K26" i="217" s="1"/>
  <c r="K16" i="217"/>
  <c r="K32" i="217" s="1"/>
  <c r="K11" i="217"/>
  <c r="K27" i="217" s="1"/>
  <c r="K12" i="217"/>
  <c r="K28" i="217" s="1"/>
  <c r="K13" i="217"/>
  <c r="K29" i="217" s="1"/>
  <c r="D15" i="11"/>
  <c r="D17" i="11" s="1"/>
  <c r="F11" i="101" s="1"/>
  <c r="FI7" i="242"/>
  <c r="FI4" i="242" s="1"/>
  <c r="L16" i="247"/>
  <c r="L17" i="247" s="1"/>
  <c r="K4" i="233"/>
  <c r="K18" i="241"/>
  <c r="BO7" i="242"/>
  <c r="E6" i="202"/>
  <c r="G7" i="212" s="1"/>
  <c r="CK17" i="242"/>
  <c r="DM17" i="242" s="1"/>
  <c r="ED22" i="242" s="1"/>
  <c r="CO6" i="242"/>
  <c r="AI6" i="212"/>
  <c r="DD6" i="242" s="1"/>
  <c r="H6" i="230"/>
  <c r="CK16" i="242"/>
  <c r="DK16" i="242"/>
  <c r="EB21" i="242" s="1"/>
  <c r="AN7" i="242"/>
  <c r="AQ7" i="242" s="1"/>
  <c r="AS7" i="242" s="1"/>
  <c r="C8" i="248"/>
  <c r="AX9" i="242"/>
  <c r="G10" i="248"/>
  <c r="AR16" i="212"/>
  <c r="K22" i="216" s="1"/>
  <c r="AO16" i="212"/>
  <c r="H22" i="216" s="1"/>
  <c r="C7" i="242"/>
  <c r="C14" i="242"/>
  <c r="C30" i="242" s="1"/>
  <c r="C16" i="242"/>
  <c r="C32" i="242" s="1"/>
  <c r="C20" i="242"/>
  <c r="C17" i="242"/>
  <c r="C15" i="242"/>
  <c r="C31" i="242" s="1"/>
  <c r="C13" i="242"/>
  <c r="C29" i="242" s="1"/>
  <c r="C12" i="242"/>
  <c r="C28" i="242" s="1"/>
  <c r="C11" i="242"/>
  <c r="C27" i="242" s="1"/>
  <c r="C9" i="242"/>
  <c r="C25" i="242" s="1"/>
  <c r="C10" i="242"/>
  <c r="C26" i="242" s="1"/>
  <c r="C8" i="242"/>
  <c r="C24" i="242" s="1"/>
  <c r="L25" i="216"/>
  <c r="EE24" i="242" s="1"/>
  <c r="CO15" i="242"/>
  <c r="AI15" i="212"/>
  <c r="DD15" i="242" s="1"/>
  <c r="H9" i="230"/>
  <c r="EE23" i="242"/>
  <c r="FE7" i="242"/>
  <c r="FE4" i="242" s="1"/>
  <c r="H16" i="247"/>
  <c r="H17" i="247" s="1"/>
  <c r="G4" i="233"/>
  <c r="G18" i="241"/>
  <c r="AO4" i="242"/>
  <c r="AR4" i="242" s="1"/>
  <c r="T5" i="242"/>
  <c r="D5" i="248"/>
  <c r="BF19" i="242"/>
  <c r="K3" i="245"/>
  <c r="L20" i="211"/>
  <c r="L27" i="211"/>
  <c r="K10" i="245" s="1"/>
  <c r="L29" i="211"/>
  <c r="L25" i="211"/>
  <c r="K8" i="245" s="1"/>
  <c r="M20" i="248"/>
  <c r="M26" i="248"/>
  <c r="BH25" i="242" s="1"/>
  <c r="M25" i="248"/>
  <c r="BH24" i="242" s="1"/>
  <c r="M29" i="248"/>
  <c r="EC32" i="242"/>
  <c r="J45" i="216"/>
  <c r="E9" i="211"/>
  <c r="G9" i="211" s="1"/>
  <c r="H9" i="211" s="1"/>
  <c r="K9" i="211" s="1"/>
  <c r="CO16" i="242"/>
  <c r="AI16" i="212"/>
  <c r="DD16" i="242" s="1"/>
  <c r="BO6" i="242"/>
  <c r="E5" i="202"/>
  <c r="G6" i="212" s="1"/>
  <c r="AO5" i="242"/>
  <c r="AR5" i="242" s="1"/>
  <c r="T6" i="242"/>
  <c r="D6" i="248"/>
  <c r="DF16" i="242"/>
  <c r="DW21" i="242" s="1"/>
  <c r="CX16" i="242"/>
  <c r="DG16" i="242"/>
  <c r="DX21" i="242" s="1"/>
  <c r="DE16" i="242"/>
  <c r="DV21" i="242" s="1"/>
  <c r="CX9" i="242"/>
  <c r="H5" i="210"/>
  <c r="L34" i="216"/>
  <c r="T8" i="242"/>
  <c r="AY9" i="242"/>
  <c r="H10" i="248"/>
  <c r="BC9" i="242" s="1"/>
  <c r="G10" i="211"/>
  <c r="H10" i="211" s="1"/>
  <c r="K10" i="211" s="1"/>
  <c r="CO9" i="242"/>
  <c r="AI9" i="212"/>
  <c r="DD9" i="242" s="1"/>
  <c r="CO14" i="242"/>
  <c r="AI14" i="212"/>
  <c r="DD14" i="242" s="1"/>
  <c r="T9" i="242"/>
  <c r="AO8" i="242"/>
  <c r="AR8" i="242" s="1"/>
  <c r="D9" i="248"/>
  <c r="CO5" i="242"/>
  <c r="AI5" i="212"/>
  <c r="DD5" i="242" s="1"/>
  <c r="J7" i="233"/>
  <c r="CO11" i="242"/>
  <c r="AI11" i="212"/>
  <c r="DD11" i="242" s="1"/>
  <c r="G4" i="211"/>
  <c r="H4" i="211" s="1"/>
  <c r="K4" i="211" s="1"/>
  <c r="AP16" i="212"/>
  <c r="I22" i="216" s="1"/>
  <c r="AQ16" i="212"/>
  <c r="J22" i="216" s="1"/>
  <c r="K5" i="242"/>
  <c r="L5" i="217"/>
  <c r="AF17" i="212"/>
  <c r="J24" i="217"/>
  <c r="J34" i="217" s="1"/>
  <c r="AN5" i="242"/>
  <c r="AQ5" i="242" s="1"/>
  <c r="C6" i="248"/>
  <c r="D5" i="212"/>
  <c r="F5" i="212"/>
  <c r="T5" i="212"/>
  <c r="Z5" i="212"/>
  <c r="AF5" i="212"/>
  <c r="O5" i="212"/>
  <c r="W5" i="212"/>
  <c r="Q5" i="212"/>
  <c r="M5" i="212"/>
  <c r="C24" i="217"/>
  <c r="F21" i="236"/>
  <c r="F23" i="236" s="1"/>
  <c r="EM19" i="242"/>
  <c r="F21" i="249"/>
  <c r="F23" i="249" s="1"/>
  <c r="F31" i="249" s="1"/>
  <c r="F33" i="249" s="1"/>
  <c r="E16" i="241"/>
  <c r="AN8" i="242"/>
  <c r="AQ8" i="242" s="1"/>
  <c r="C9" i="248"/>
  <c r="R14" i="212"/>
  <c r="J12" i="245"/>
  <c r="L3" i="216"/>
  <c r="M24" i="216" s="1"/>
  <c r="K3" i="242"/>
  <c r="S17" i="212"/>
  <c r="AN4" i="242"/>
  <c r="AQ4" i="242" s="1"/>
  <c r="C5" i="248"/>
  <c r="I64" i="214"/>
  <c r="H4" i="233"/>
  <c r="H18" i="241"/>
  <c r="I16" i="247"/>
  <c r="I17" i="247" s="1"/>
  <c r="FF7" i="242"/>
  <c r="FF4" i="242" s="1"/>
  <c r="CO12" i="242"/>
  <c r="AI12" i="212"/>
  <c r="DD12" i="242" s="1"/>
  <c r="CO8" i="242"/>
  <c r="AI8" i="212"/>
  <c r="DD8" i="242" s="1"/>
  <c r="AL16" i="212"/>
  <c r="E22" i="216" s="1"/>
  <c r="AS16" i="212"/>
  <c r="L22" i="216" s="1"/>
  <c r="B34" i="217"/>
  <c r="J13" i="242"/>
  <c r="J29" i="242" s="1"/>
  <c r="J7" i="242"/>
  <c r="J23" i="242" s="1"/>
  <c r="J14" i="242"/>
  <c r="J30" i="242" s="1"/>
  <c r="J16" i="242"/>
  <c r="J32" i="242" s="1"/>
  <c r="J17" i="242"/>
  <c r="J20" i="242"/>
  <c r="J15" i="242"/>
  <c r="J31" i="242" s="1"/>
  <c r="J10" i="242"/>
  <c r="J26" i="242" s="1"/>
  <c r="J9" i="242"/>
  <c r="J25" i="242" s="1"/>
  <c r="J11" i="242"/>
  <c r="J27" i="242" s="1"/>
  <c r="J12" i="242"/>
  <c r="J28" i="242" s="1"/>
  <c r="J8" i="242"/>
  <c r="H10" i="210"/>
  <c r="AX10" i="242"/>
  <c r="G11" i="248"/>
  <c r="AD17" i="242"/>
  <c r="EP8" i="242" s="1"/>
  <c r="FF9" i="242"/>
  <c r="FF8" i="242" s="1"/>
  <c r="K5" i="212" l="1"/>
  <c r="X5" i="212"/>
  <c r="BO5" i="242"/>
  <c r="AE5" i="212"/>
  <c r="L5" i="212"/>
  <c r="AC5" i="212"/>
  <c r="S5" i="212"/>
  <c r="AS5" i="212" s="1"/>
  <c r="L7" i="216" s="1"/>
  <c r="N5" i="212"/>
  <c r="AB5" i="212"/>
  <c r="AO5" i="212" s="1"/>
  <c r="H7" i="216" s="1"/>
  <c r="Y5" i="212"/>
  <c r="AA5" i="212"/>
  <c r="AD5" i="212"/>
  <c r="AQ5" i="212" s="1"/>
  <c r="J7" i="216" s="1"/>
  <c r="P5" i="212"/>
  <c r="R5" i="212"/>
  <c r="S14" i="242"/>
  <c r="D13" i="211"/>
  <c r="E13" i="211" s="1"/>
  <c r="G13" i="211" s="1"/>
  <c r="H13" i="211" s="1"/>
  <c r="K13" i="211" s="1"/>
  <c r="C4" i="239"/>
  <c r="E13" i="230"/>
  <c r="G13" i="230"/>
  <c r="F14" i="11"/>
  <c r="AQ15" i="212"/>
  <c r="D22" i="242"/>
  <c r="D34" i="242" s="1"/>
  <c r="AA17" i="242" s="1"/>
  <c r="EM8" i="242" s="1"/>
  <c r="D6" i="242"/>
  <c r="L27" i="247"/>
  <c r="AR15" i="212"/>
  <c r="F11" i="237"/>
  <c r="F12" i="237" s="1"/>
  <c r="EN19" i="242"/>
  <c r="F11" i="250"/>
  <c r="F12" i="250" s="1"/>
  <c r="F7" i="250"/>
  <c r="F8" i="250" s="1"/>
  <c r="F5" i="250"/>
  <c r="F6" i="250" s="1"/>
  <c r="G21" i="249"/>
  <c r="G23" i="249" s="1"/>
  <c r="G31" i="249" s="1"/>
  <c r="G33" i="249" s="1"/>
  <c r="F7" i="237"/>
  <c r="F8" i="237" s="1"/>
  <c r="EN17" i="242"/>
  <c r="G21" i="236"/>
  <c r="G23" i="236" s="1"/>
  <c r="B6" i="242"/>
  <c r="L22" i="211"/>
  <c r="E11" i="230"/>
  <c r="E12" i="11"/>
  <c r="B22" i="242"/>
  <c r="B34" i="242" s="1"/>
  <c r="Y17" i="242" s="1"/>
  <c r="EK8" i="242" s="1"/>
  <c r="F6" i="242"/>
  <c r="I8" i="230"/>
  <c r="AY7" i="242"/>
  <c r="F22" i="242"/>
  <c r="F34" i="242" s="1"/>
  <c r="AC17" i="242" s="1"/>
  <c r="EO8" i="242" s="1"/>
  <c r="E12" i="202"/>
  <c r="G12" i="212" s="1"/>
  <c r="N12" i="212" s="1"/>
  <c r="S11" i="242"/>
  <c r="T11" i="242" s="1"/>
  <c r="D11" i="211"/>
  <c r="E11" i="211" s="1"/>
  <c r="G11" i="211" s="1"/>
  <c r="H11" i="211" s="1"/>
  <c r="K11" i="211" s="1"/>
  <c r="H6" i="210"/>
  <c r="AN6" i="242"/>
  <c r="AQ6" i="242" s="1"/>
  <c r="AQ12" i="242" s="1"/>
  <c r="I5" i="230"/>
  <c r="E23" i="242"/>
  <c r="E22" i="242" s="1"/>
  <c r="E34" i="242" s="1"/>
  <c r="E6" i="242"/>
  <c r="C12" i="210"/>
  <c r="E34" i="217"/>
  <c r="E3" i="202"/>
  <c r="G4" i="212" s="1"/>
  <c r="AS8" i="242"/>
  <c r="AF17" i="242"/>
  <c r="ER8" i="242" s="1"/>
  <c r="C34" i="217"/>
  <c r="AJ5" i="212"/>
  <c r="C7" i="216" s="1"/>
  <c r="D7" i="248"/>
  <c r="H7" i="248" s="1"/>
  <c r="BC6" i="242" s="1"/>
  <c r="E7" i="211"/>
  <c r="G7" i="211" s="1"/>
  <c r="H7" i="211" s="1"/>
  <c r="K7" i="211" s="1"/>
  <c r="I7" i="230"/>
  <c r="AO6" i="242"/>
  <c r="AR6" i="242" s="1"/>
  <c r="T7" i="242"/>
  <c r="R13" i="242"/>
  <c r="R15" i="242" s="1"/>
  <c r="R17" i="242" s="1"/>
  <c r="C14" i="248"/>
  <c r="L45" i="237"/>
  <c r="L46" i="237" s="1"/>
  <c r="S15" i="212"/>
  <c r="CL15" i="242" s="1"/>
  <c r="L43" i="237"/>
  <c r="L44" i="237" s="1"/>
  <c r="AF15" i="212"/>
  <c r="L17" i="233"/>
  <c r="FJ17" i="242" s="1"/>
  <c r="L45" i="250"/>
  <c r="L46" i="250" s="1"/>
  <c r="C26" i="211"/>
  <c r="C9" i="245" s="1"/>
  <c r="J26" i="211"/>
  <c r="I26" i="211"/>
  <c r="G26" i="211"/>
  <c r="E26" i="211"/>
  <c r="D26" i="211"/>
  <c r="H26" i="211"/>
  <c r="F26" i="211"/>
  <c r="K26" i="211"/>
  <c r="EF23" i="242"/>
  <c r="L5" i="242"/>
  <c r="CZ9" i="242" s="1"/>
  <c r="AG17" i="212"/>
  <c r="AG16" i="212"/>
  <c r="EE32" i="242"/>
  <c r="L45" i="216"/>
  <c r="BG19" i="242"/>
  <c r="L3" i="245"/>
  <c r="M20" i="211"/>
  <c r="M22" i="211" s="1"/>
  <c r="M27" i="211"/>
  <c r="M29" i="211"/>
  <c r="M25" i="211"/>
  <c r="H21" i="236"/>
  <c r="H23" i="236" s="1"/>
  <c r="H21" i="249"/>
  <c r="H23" i="249" s="1"/>
  <c r="H31" i="249" s="1"/>
  <c r="H33" i="249" s="1"/>
  <c r="EO19" i="242"/>
  <c r="G16" i="241"/>
  <c r="BB9" i="242"/>
  <c r="I10" i="248"/>
  <c r="K24" i="217"/>
  <c r="K22" i="217" s="1"/>
  <c r="C24" i="211"/>
  <c r="C7" i="245" s="1"/>
  <c r="E24" i="211"/>
  <c r="F24" i="211"/>
  <c r="G24" i="211"/>
  <c r="J24" i="211"/>
  <c r="I24" i="211"/>
  <c r="D24" i="211"/>
  <c r="H24" i="211"/>
  <c r="K24" i="211"/>
  <c r="FF3" i="242"/>
  <c r="EP19" i="242"/>
  <c r="I21" i="249"/>
  <c r="I23" i="249" s="1"/>
  <c r="I31" i="249" s="1"/>
  <c r="I33" i="249" s="1"/>
  <c r="H16" i="241"/>
  <c r="I21" i="236"/>
  <c r="I23" i="236" s="1"/>
  <c r="L3" i="242"/>
  <c r="M3" i="216"/>
  <c r="M42" i="233" s="1"/>
  <c r="T17" i="212"/>
  <c r="T16" i="212"/>
  <c r="N6" i="212"/>
  <c r="T6" i="212"/>
  <c r="Z6" i="212"/>
  <c r="AF6" i="212"/>
  <c r="D6" i="212"/>
  <c r="J6" i="212"/>
  <c r="P6" i="212"/>
  <c r="AB6" i="212"/>
  <c r="F6" i="212"/>
  <c r="L6" i="212"/>
  <c r="R6" i="212"/>
  <c r="X6" i="212"/>
  <c r="AD6" i="212"/>
  <c r="Q6" i="212"/>
  <c r="AC6" i="212"/>
  <c r="AG6" i="212"/>
  <c r="K6" i="212"/>
  <c r="W6" i="212"/>
  <c r="M6" i="212"/>
  <c r="Y6" i="212"/>
  <c r="AA6" i="212"/>
  <c r="AE6" i="212"/>
  <c r="O6" i="212"/>
  <c r="S6" i="212"/>
  <c r="AS4" i="242"/>
  <c r="L43" i="250"/>
  <c r="L44" i="250" s="1"/>
  <c r="K16" i="241"/>
  <c r="ES19" i="242"/>
  <c r="L21" i="236"/>
  <c r="L23" i="236" s="1"/>
  <c r="L21" i="249"/>
  <c r="L23" i="249" s="1"/>
  <c r="L31" i="249" s="1"/>
  <c r="L33" i="249" s="1"/>
  <c r="L4" i="242"/>
  <c r="BP7" i="242" s="1"/>
  <c r="BZ7" i="242" s="1"/>
  <c r="L8" i="217"/>
  <c r="L9" i="217"/>
  <c r="L25" i="217" s="1"/>
  <c r="L10" i="217"/>
  <c r="L26" i="217" s="1"/>
  <c r="L11" i="217"/>
  <c r="L27" i="217" s="1"/>
  <c r="L12" i="217"/>
  <c r="L28" i="217" s="1"/>
  <c r="L13" i="217"/>
  <c r="L29" i="217" s="1"/>
  <c r="L14" i="217"/>
  <c r="L30" i="217" s="1"/>
  <c r="L15" i="217"/>
  <c r="L31" i="217" s="1"/>
  <c r="L16" i="217"/>
  <c r="L32" i="217" s="1"/>
  <c r="AI14" i="242"/>
  <c r="C21" i="211"/>
  <c r="C4" i="245" s="1"/>
  <c r="F21" i="211"/>
  <c r="H21" i="211"/>
  <c r="G21" i="211"/>
  <c r="I21" i="211"/>
  <c r="D21" i="211"/>
  <c r="E21" i="211"/>
  <c r="J21" i="211"/>
  <c r="K21" i="211"/>
  <c r="C22" i="211"/>
  <c r="C5" i="245" s="1"/>
  <c r="G22" i="211"/>
  <c r="F22" i="211"/>
  <c r="J22" i="211"/>
  <c r="E22" i="211"/>
  <c r="H22" i="211"/>
  <c r="D22" i="211"/>
  <c r="I22" i="211"/>
  <c r="K22" i="211"/>
  <c r="BW12" i="242"/>
  <c r="CC12" i="242"/>
  <c r="CI12" i="242"/>
  <c r="CU12" i="242"/>
  <c r="BY12" i="242"/>
  <c r="CE12" i="242"/>
  <c r="CK12" i="242"/>
  <c r="CQ12" i="242"/>
  <c r="CW12" i="242"/>
  <c r="CH12" i="242"/>
  <c r="CR12" i="242"/>
  <c r="CZ12" i="242"/>
  <c r="CL12" i="242"/>
  <c r="CT12" i="242"/>
  <c r="CF12" i="242"/>
  <c r="CS12" i="242"/>
  <c r="CM12" i="242"/>
  <c r="CY12" i="242"/>
  <c r="CP12" i="242"/>
  <c r="CV12" i="242"/>
  <c r="CX12" i="242"/>
  <c r="CD12" i="242"/>
  <c r="CG12" i="242"/>
  <c r="CJ12" i="242"/>
  <c r="DM16" i="242"/>
  <c r="ED21" i="242" s="1"/>
  <c r="I9" i="230"/>
  <c r="AX7" i="242"/>
  <c r="G8" i="248"/>
  <c r="K14" i="242"/>
  <c r="K30" i="242" s="1"/>
  <c r="K15" i="242"/>
  <c r="K31" i="242" s="1"/>
  <c r="K17" i="242"/>
  <c r="K16" i="242"/>
  <c r="K32" i="242" s="1"/>
  <c r="K7" i="242"/>
  <c r="K20" i="242"/>
  <c r="K9" i="242"/>
  <c r="K25" i="242" s="1"/>
  <c r="K11" i="242"/>
  <c r="K27" i="242" s="1"/>
  <c r="K12" i="242"/>
  <c r="K28" i="242" s="1"/>
  <c r="K10" i="242"/>
  <c r="K26" i="242" s="1"/>
  <c r="K8" i="242"/>
  <c r="K24" i="242" s="1"/>
  <c r="K13" i="242"/>
  <c r="K29" i="242" s="1"/>
  <c r="AY5" i="242"/>
  <c r="H6" i="248"/>
  <c r="BC5" i="242" s="1"/>
  <c r="G9" i="248"/>
  <c r="AX8" i="242"/>
  <c r="J18" i="241"/>
  <c r="K16" i="247"/>
  <c r="K17" i="247" s="1"/>
  <c r="FH7" i="242"/>
  <c r="FH4" i="242" s="1"/>
  <c r="FH3" i="242" s="1"/>
  <c r="J4" i="233"/>
  <c r="AS5" i="242"/>
  <c r="K27" i="247"/>
  <c r="J18" i="233"/>
  <c r="FH18" i="242" s="1"/>
  <c r="CL17" i="242"/>
  <c r="CL16" i="242"/>
  <c r="J22" i="217"/>
  <c r="J6" i="242"/>
  <c r="J24" i="242"/>
  <c r="J22" i="242" s="1"/>
  <c r="J34" i="242" s="1"/>
  <c r="I6" i="230"/>
  <c r="L42" i="233"/>
  <c r="M7" i="233" s="1"/>
  <c r="M25" i="216"/>
  <c r="EF24" i="242" s="1"/>
  <c r="AS17" i="212"/>
  <c r="L23" i="216" s="1"/>
  <c r="AY8" i="242"/>
  <c r="H9" i="248"/>
  <c r="BC8" i="242" s="1"/>
  <c r="C23" i="242"/>
  <c r="C22" i="242" s="1"/>
  <c r="C34" i="242" s="1"/>
  <c r="C6" i="242"/>
  <c r="M34" i="216"/>
  <c r="L7" i="233"/>
  <c r="EM17" i="242"/>
  <c r="E5" i="237"/>
  <c r="E6" i="237" s="1"/>
  <c r="E11" i="237"/>
  <c r="E12" i="237" s="1"/>
  <c r="E5" i="250"/>
  <c r="E6" i="250" s="1"/>
  <c r="E11" i="250"/>
  <c r="E12" i="250" s="1"/>
  <c r="E7" i="250"/>
  <c r="E8" i="250" s="1"/>
  <c r="E7" i="237"/>
  <c r="E8" i="237" s="1"/>
  <c r="K12" i="245"/>
  <c r="S14" i="212"/>
  <c r="AX4" i="242"/>
  <c r="G5" i="248"/>
  <c r="B35" i="217"/>
  <c r="AG5" i="212"/>
  <c r="AT5" i="212" s="1"/>
  <c r="M7" i="216" s="1"/>
  <c r="AM5" i="212"/>
  <c r="F7" i="216" s="1"/>
  <c r="AX5" i="242"/>
  <c r="G6" i="248"/>
  <c r="CY17" i="242"/>
  <c r="CY9" i="242"/>
  <c r="CY16" i="242"/>
  <c r="D25" i="211"/>
  <c r="F25" i="211"/>
  <c r="C25" i="211"/>
  <c r="E25" i="211"/>
  <c r="BH28" i="242"/>
  <c r="CM14" i="242" s="1"/>
  <c r="L21" i="211"/>
  <c r="AY4" i="242"/>
  <c r="H5" i="248"/>
  <c r="BC4" i="242" s="1"/>
  <c r="F7" i="212"/>
  <c r="L7" i="212"/>
  <c r="R7" i="212"/>
  <c r="X7" i="212"/>
  <c r="AD7" i="212"/>
  <c r="N7" i="212"/>
  <c r="T7" i="212"/>
  <c r="Z7" i="212"/>
  <c r="AF7" i="212"/>
  <c r="D7" i="212"/>
  <c r="J7" i="212"/>
  <c r="P7" i="212"/>
  <c r="AB7" i="212"/>
  <c r="S7" i="212"/>
  <c r="AE7" i="212"/>
  <c r="AR7" i="212" s="1"/>
  <c r="K9" i="216" s="1"/>
  <c r="K7" i="212"/>
  <c r="W7" i="212"/>
  <c r="M7" i="212"/>
  <c r="Y7" i="212"/>
  <c r="O7" i="212"/>
  <c r="AA7" i="212"/>
  <c r="AG7" i="212"/>
  <c r="Q7" i="212"/>
  <c r="AC7" i="212"/>
  <c r="AX6" i="242"/>
  <c r="G7" i="248"/>
  <c r="BB10" i="242"/>
  <c r="D11" i="248" l="1"/>
  <c r="AY10" i="242" s="1"/>
  <c r="AK5" i="212"/>
  <c r="D7" i="216" s="1"/>
  <c r="AR5" i="212"/>
  <c r="K7" i="216" s="1"/>
  <c r="AL5" i="212"/>
  <c r="E7" i="216" s="1"/>
  <c r="AJ6" i="212"/>
  <c r="C8" i="216" s="1"/>
  <c r="AO10" i="242"/>
  <c r="AR10" i="242" s="1"/>
  <c r="AS10" i="242" s="1"/>
  <c r="D9" i="245"/>
  <c r="E9" i="245" s="1"/>
  <c r="AN5" i="212"/>
  <c r="G7" i="216" s="1"/>
  <c r="AP5" i="212"/>
  <c r="I7" i="216" s="1"/>
  <c r="H13" i="230"/>
  <c r="I13" i="230" s="1"/>
  <c r="G13" i="241"/>
  <c r="E16" i="236"/>
  <c r="I16" i="236"/>
  <c r="C13" i="241"/>
  <c r="C21" i="247"/>
  <c r="E13" i="241"/>
  <c r="J13" i="241"/>
  <c r="D16" i="236"/>
  <c r="M13" i="241"/>
  <c r="G16" i="236"/>
  <c r="J16" i="236"/>
  <c r="L16" i="236"/>
  <c r="F16" i="236"/>
  <c r="D13" i="241"/>
  <c r="L13" i="241"/>
  <c r="B13" i="241"/>
  <c r="K13" i="241"/>
  <c r="F13" i="241"/>
  <c r="C16" i="236"/>
  <c r="C18" i="236" s="1"/>
  <c r="H13" i="241"/>
  <c r="M16" i="236"/>
  <c r="I13" i="241"/>
  <c r="K16" i="236"/>
  <c r="H16" i="236"/>
  <c r="N16" i="236"/>
  <c r="D4" i="239"/>
  <c r="D29" i="211"/>
  <c r="C29" i="211"/>
  <c r="F29" i="211"/>
  <c r="E29" i="211"/>
  <c r="L14" i="212" s="1"/>
  <c r="D15" i="202"/>
  <c r="E15" i="202" s="1"/>
  <c r="G14" i="212" s="1"/>
  <c r="T14" i="242"/>
  <c r="D13" i="248"/>
  <c r="BP4" i="242"/>
  <c r="BZ4" i="242" s="1"/>
  <c r="CL4" i="242" s="1"/>
  <c r="FC9" i="242"/>
  <c r="FC8" i="242" s="1"/>
  <c r="FC3" i="242" s="1"/>
  <c r="AN6" i="212"/>
  <c r="G8" i="216" s="1"/>
  <c r="AA12" i="212"/>
  <c r="AN12" i="212" s="1"/>
  <c r="G18" i="216" s="1"/>
  <c r="Q12" i="212"/>
  <c r="D12" i="212"/>
  <c r="AF12" i="212"/>
  <c r="W12" i="212"/>
  <c r="L12" i="212"/>
  <c r="S12" i="212"/>
  <c r="X12" i="212"/>
  <c r="Z12" i="212"/>
  <c r="K12" i="212"/>
  <c r="AB12" i="212"/>
  <c r="Y12" i="212"/>
  <c r="R12" i="212"/>
  <c r="O12" i="212"/>
  <c r="AC12" i="212"/>
  <c r="J12" i="212"/>
  <c r="E13" i="11"/>
  <c r="C3" i="239" s="1"/>
  <c r="C5" i="239" s="1"/>
  <c r="G12" i="230"/>
  <c r="D11" i="210"/>
  <c r="G11" i="210" s="1"/>
  <c r="H11" i="210" s="1"/>
  <c r="H12" i="210" s="1"/>
  <c r="D7" i="202" s="1"/>
  <c r="BO8" i="242" s="1"/>
  <c r="BP8" i="242" s="1"/>
  <c r="BZ8" i="242" s="1"/>
  <c r="AP6" i="212"/>
  <c r="I8" i="216" s="1"/>
  <c r="D12" i="211"/>
  <c r="E12" i="211" s="1"/>
  <c r="G12" i="211" s="1"/>
  <c r="G14" i="211" s="1"/>
  <c r="N10" i="233" s="1"/>
  <c r="FL10" i="242" s="1"/>
  <c r="FL8" i="242" s="1"/>
  <c r="FL3" i="242" s="1"/>
  <c r="FL20" i="242" s="1"/>
  <c r="M21" i="211"/>
  <c r="S12" i="242"/>
  <c r="T12" i="242" s="1"/>
  <c r="F12" i="11"/>
  <c r="F13" i="11" s="1"/>
  <c r="J13" i="236" s="1"/>
  <c r="H11" i="230"/>
  <c r="DN17" i="242"/>
  <c r="EE22" i="242" s="1"/>
  <c r="E12" i="230"/>
  <c r="B35" i="242"/>
  <c r="B36" i="242" s="1"/>
  <c r="DV3" i="242" s="1"/>
  <c r="FA9" i="242"/>
  <c r="FA8" i="242" s="1"/>
  <c r="AM6" i="212"/>
  <c r="F8" i="216" s="1"/>
  <c r="AA4" i="242"/>
  <c r="AB4" i="242" s="1"/>
  <c r="AC15" i="242" s="1"/>
  <c r="EO6" i="242" s="1"/>
  <c r="BP6" i="242"/>
  <c r="BZ6" i="242" s="1"/>
  <c r="CJ6" i="242" s="1"/>
  <c r="AK6" i="212"/>
  <c r="D8" i="216" s="1"/>
  <c r="FE9" i="242"/>
  <c r="FE8" i="242" s="1"/>
  <c r="FE3" i="242" s="1"/>
  <c r="AE12" i="212"/>
  <c r="AG12" i="212"/>
  <c r="F12" i="212"/>
  <c r="T12" i="212"/>
  <c r="M12" i="212"/>
  <c r="AD12" i="212"/>
  <c r="P12" i="212"/>
  <c r="E4" i="208"/>
  <c r="F4" i="208" s="1"/>
  <c r="H15" i="208" s="1"/>
  <c r="AS6" i="242"/>
  <c r="AN12" i="242"/>
  <c r="AY6" i="242"/>
  <c r="D5" i="245"/>
  <c r="E5" i="245" s="1"/>
  <c r="D4" i="245"/>
  <c r="AB17" i="242"/>
  <c r="EN8" i="242" s="1"/>
  <c r="FD9" i="242"/>
  <c r="FD8" i="242" s="1"/>
  <c r="FD3" i="242" s="1"/>
  <c r="AT17" i="212"/>
  <c r="M23" i="216" s="1"/>
  <c r="C35" i="217"/>
  <c r="D35" i="217" s="1"/>
  <c r="K34" i="217"/>
  <c r="DM12" i="242"/>
  <c r="ED17" i="242" s="1"/>
  <c r="DE12" i="242"/>
  <c r="DV17" i="242" s="1"/>
  <c r="DG12" i="242"/>
  <c r="DX17" i="242" s="1"/>
  <c r="DL12" i="242"/>
  <c r="EC17" i="242" s="1"/>
  <c r="AR6" i="212"/>
  <c r="K8" i="216" s="1"/>
  <c r="AL6" i="212"/>
  <c r="E8" i="216" s="1"/>
  <c r="AO6" i="212"/>
  <c r="H8" i="216" s="1"/>
  <c r="L26" i="211"/>
  <c r="D7" i="245"/>
  <c r="G25" i="211"/>
  <c r="H25" i="211" s="1"/>
  <c r="H8" i="245" s="1"/>
  <c r="DN16" i="242"/>
  <c r="EE21" i="242" s="1"/>
  <c r="AJ7" i="212"/>
  <c r="C9" i="216" s="1"/>
  <c r="AS15" i="212"/>
  <c r="AM7" i="212"/>
  <c r="F9" i="216" s="1"/>
  <c r="AP7" i="212"/>
  <c r="I9" i="216" s="1"/>
  <c r="AT7" i="212"/>
  <c r="M9" i="216" s="1"/>
  <c r="L24" i="211"/>
  <c r="AX13" i="242"/>
  <c r="M45" i="250"/>
  <c r="M46" i="250" s="1"/>
  <c r="M43" i="237"/>
  <c r="M44" i="237" s="1"/>
  <c r="M18" i="241"/>
  <c r="N16" i="247"/>
  <c r="N17" i="247" s="1"/>
  <c r="M4" i="233"/>
  <c r="FK7" i="242"/>
  <c r="FK4" i="242" s="1"/>
  <c r="FB9" i="242"/>
  <c r="FB8" i="242" s="1"/>
  <c r="Z17" i="242"/>
  <c r="EL8" i="242" s="1"/>
  <c r="CH7" i="242"/>
  <c r="CT7" i="242"/>
  <c r="CZ7" i="242"/>
  <c r="CD7" i="242"/>
  <c r="CJ7" i="242"/>
  <c r="CP7" i="242"/>
  <c r="CV7" i="242"/>
  <c r="BW7" i="242"/>
  <c r="CF7" i="242"/>
  <c r="CX7" i="242"/>
  <c r="CI7" i="242"/>
  <c r="CR7" i="242"/>
  <c r="CG7" i="242"/>
  <c r="CU7" i="242"/>
  <c r="CM7" i="242"/>
  <c r="CC7" i="242"/>
  <c r="CQ7" i="242"/>
  <c r="CL7" i="242"/>
  <c r="CS7" i="242"/>
  <c r="CW7" i="242"/>
  <c r="BY7" i="242"/>
  <c r="CY7" i="242"/>
  <c r="CE7" i="242"/>
  <c r="CK7" i="242"/>
  <c r="L8" i="245"/>
  <c r="M8" i="245"/>
  <c r="AL7" i="212"/>
  <c r="E9" i="216" s="1"/>
  <c r="AO7" i="212"/>
  <c r="H9" i="216" s="1"/>
  <c r="B36" i="217"/>
  <c r="DK12" i="242"/>
  <c r="EB17" i="242" s="1"/>
  <c r="DI12" i="242"/>
  <c r="DZ17" i="242" s="1"/>
  <c r="DF12" i="242"/>
  <c r="DW17" i="242" s="1"/>
  <c r="H11" i="250"/>
  <c r="H12" i="250" s="1"/>
  <c r="H5" i="250"/>
  <c r="H6" i="250" s="1"/>
  <c r="H11" i="237"/>
  <c r="H12" i="237" s="1"/>
  <c r="H5" i="237"/>
  <c r="H6" i="237" s="1"/>
  <c r="H7" i="250"/>
  <c r="H8" i="250" s="1"/>
  <c r="EP17" i="242"/>
  <c r="H7" i="237"/>
  <c r="H8" i="237" s="1"/>
  <c r="T14" i="212"/>
  <c r="L12" i="245"/>
  <c r="M12" i="245"/>
  <c r="M27" i="247"/>
  <c r="L18" i="233"/>
  <c r="FJ18" i="242" s="1"/>
  <c r="M45" i="237"/>
  <c r="M46" i="237" s="1"/>
  <c r="T15" i="212"/>
  <c r="CM15" i="242" s="1"/>
  <c r="BB7" i="242"/>
  <c r="I8" i="248"/>
  <c r="AT6" i="212"/>
  <c r="M8" i="216" s="1"/>
  <c r="AS6" i="212"/>
  <c r="L8" i="216" s="1"/>
  <c r="BD9" i="242"/>
  <c r="K10" i="248"/>
  <c r="BF9" i="242" s="1"/>
  <c r="M10" i="245"/>
  <c r="L10" i="245"/>
  <c r="AG15" i="212"/>
  <c r="BB6" i="242"/>
  <c r="I7" i="248"/>
  <c r="ER19" i="242"/>
  <c r="J16" i="241"/>
  <c r="K21" i="236"/>
  <c r="K23" i="236" s="1"/>
  <c r="K21" i="249"/>
  <c r="K23" i="249" s="1"/>
  <c r="K31" i="249" s="1"/>
  <c r="K33" i="249" s="1"/>
  <c r="F4" i="212"/>
  <c r="L4" i="212"/>
  <c r="R4" i="212"/>
  <c r="X4" i="212"/>
  <c r="AD4" i="212"/>
  <c r="N4" i="212"/>
  <c r="T4" i="212"/>
  <c r="Z4" i="212"/>
  <c r="AF4" i="212"/>
  <c r="D4" i="212"/>
  <c r="J4" i="212"/>
  <c r="P4" i="212"/>
  <c r="AB4" i="212"/>
  <c r="M4" i="212"/>
  <c r="Y4" i="212"/>
  <c r="Q4" i="212"/>
  <c r="AC4" i="212"/>
  <c r="S4" i="212"/>
  <c r="AE4" i="212"/>
  <c r="AG4" i="212"/>
  <c r="K4" i="212"/>
  <c r="O4" i="212"/>
  <c r="W4" i="212"/>
  <c r="AA4" i="212"/>
  <c r="AQ7" i="212"/>
  <c r="J9" i="216" s="1"/>
  <c r="C8" i="245"/>
  <c r="D8" i="245" s="1"/>
  <c r="E8" i="245" s="1"/>
  <c r="BB5" i="242"/>
  <c r="I6" i="248"/>
  <c r="BB4" i="242"/>
  <c r="I5" i="248"/>
  <c r="L4" i="233"/>
  <c r="FJ7" i="242"/>
  <c r="FJ4" i="242" s="1"/>
  <c r="M16" i="247"/>
  <c r="M17" i="247" s="1"/>
  <c r="L18" i="241"/>
  <c r="FI9" i="242"/>
  <c r="FI8" i="242" s="1"/>
  <c r="FI3" i="242" s="1"/>
  <c r="AG17" i="242"/>
  <c r="ES8" i="242" s="1"/>
  <c r="BB8" i="242"/>
  <c r="I9" i="248"/>
  <c r="K23" i="242"/>
  <c r="K22" i="242" s="1"/>
  <c r="K34" i="242" s="1"/>
  <c r="K6" i="242"/>
  <c r="DN12" i="242"/>
  <c r="EE17" i="242" s="1"/>
  <c r="DO12" i="242"/>
  <c r="EF17" i="242" s="1"/>
  <c r="L24" i="217"/>
  <c r="L34" i="217" s="1"/>
  <c r="ES17" i="242"/>
  <c r="K7" i="250"/>
  <c r="K8" i="250" s="1"/>
  <c r="K7" i="237"/>
  <c r="K8" i="237" s="1"/>
  <c r="K5" i="237"/>
  <c r="K6" i="237" s="1"/>
  <c r="K11" i="237"/>
  <c r="K12" i="237" s="1"/>
  <c r="K5" i="250"/>
  <c r="K6" i="250" s="1"/>
  <c r="K11" i="250"/>
  <c r="K12" i="250" s="1"/>
  <c r="BH19" i="242"/>
  <c r="M3" i="245"/>
  <c r="AT16" i="212"/>
  <c r="M22" i="216" s="1"/>
  <c r="M17" i="233"/>
  <c r="FK17" i="242" s="1"/>
  <c r="AK7" i="212"/>
  <c r="D9" i="216" s="1"/>
  <c r="G5" i="237"/>
  <c r="G6" i="237" s="1"/>
  <c r="G11" i="237"/>
  <c r="G12" i="237" s="1"/>
  <c r="G7" i="250"/>
  <c r="G8" i="250" s="1"/>
  <c r="G5" i="250"/>
  <c r="G6" i="250" s="1"/>
  <c r="EO17" i="242"/>
  <c r="G11" i="250"/>
  <c r="G12" i="250" s="1"/>
  <c r="G7" i="237"/>
  <c r="G8" i="237" s="1"/>
  <c r="G14" i="248"/>
  <c r="F23" i="211"/>
  <c r="G23" i="211"/>
  <c r="I23" i="211"/>
  <c r="C23" i="211"/>
  <c r="E23" i="211"/>
  <c r="H23" i="211"/>
  <c r="D23" i="211"/>
  <c r="J23" i="211"/>
  <c r="K23" i="211"/>
  <c r="AN7" i="212"/>
  <c r="G9" i="216" s="1"/>
  <c r="AS7" i="212"/>
  <c r="L9" i="216" s="1"/>
  <c r="M45" i="216"/>
  <c r="EF32" i="242"/>
  <c r="DH12" i="242"/>
  <c r="DY17" i="242" s="1"/>
  <c r="DJ12" i="242"/>
  <c r="EA17" i="242" s="1"/>
  <c r="L7" i="242"/>
  <c r="L23" i="242" s="1"/>
  <c r="L13" i="242"/>
  <c r="L29" i="242" s="1"/>
  <c r="L15" i="242"/>
  <c r="L31" i="242" s="1"/>
  <c r="L17" i="242"/>
  <c r="L20" i="242"/>
  <c r="L16" i="242"/>
  <c r="L32" i="242" s="1"/>
  <c r="L14" i="242"/>
  <c r="L30" i="242" s="1"/>
  <c r="L11" i="242"/>
  <c r="L27" i="242" s="1"/>
  <c r="L10" i="242"/>
  <c r="L26" i="242" s="1"/>
  <c r="L9" i="242"/>
  <c r="L25" i="242" s="1"/>
  <c r="L8" i="242"/>
  <c r="L12" i="242"/>
  <c r="L28" i="242" s="1"/>
  <c r="BP5" i="242"/>
  <c r="BZ5" i="242" s="1"/>
  <c r="AQ6" i="212"/>
  <c r="J8" i="216" s="1"/>
  <c r="CM17" i="242"/>
  <c r="CM16" i="242"/>
  <c r="CZ17" i="242"/>
  <c r="CZ16" i="242"/>
  <c r="M43" i="250"/>
  <c r="M44" i="250" s="1"/>
  <c r="C27" i="211"/>
  <c r="H11" i="248" l="1"/>
  <c r="BC10" i="242" s="1"/>
  <c r="CQ6" i="242"/>
  <c r="F9" i="245"/>
  <c r="M14" i="212"/>
  <c r="G29" i="211"/>
  <c r="N14" i="212" s="1"/>
  <c r="K14" i="212"/>
  <c r="C12" i="245"/>
  <c r="D12" i="245" s="1"/>
  <c r="E12" i="245" s="1"/>
  <c r="J14" i="212"/>
  <c r="D17" i="236"/>
  <c r="D18" i="236" s="1"/>
  <c r="EL14" i="242"/>
  <c r="EM14" i="242"/>
  <c r="EO14" i="242"/>
  <c r="EK14" i="242"/>
  <c r="EN14" i="242"/>
  <c r="EP14" i="242"/>
  <c r="EQ14" i="242"/>
  <c r="ET14" i="242"/>
  <c r="EU14" i="242"/>
  <c r="ER14" i="242"/>
  <c r="ES14" i="242"/>
  <c r="EJ14" i="242"/>
  <c r="H13" i="248"/>
  <c r="AY12" i="242"/>
  <c r="D14" i="212"/>
  <c r="AB14" i="212"/>
  <c r="AD14" i="212"/>
  <c r="AQ14" i="212" s="1"/>
  <c r="J21" i="216" s="1"/>
  <c r="K8" i="247" s="1"/>
  <c r="AG14" i="212"/>
  <c r="AT14" i="212" s="1"/>
  <c r="M21" i="216" s="1"/>
  <c r="N8" i="247" s="1"/>
  <c r="Z14" i="212"/>
  <c r="AA14" i="212"/>
  <c r="F14" i="212"/>
  <c r="AC14" i="212"/>
  <c r="AP14" i="212" s="1"/>
  <c r="I21" i="216" s="1"/>
  <c r="J8" i="247" s="1"/>
  <c r="AE14" i="212"/>
  <c r="AR14" i="212" s="1"/>
  <c r="K21" i="216" s="1"/>
  <c r="L8" i="247" s="1"/>
  <c r="Y14" i="212"/>
  <c r="AL14" i="212" s="1"/>
  <c r="E21" i="216" s="1"/>
  <c r="F8" i="247" s="1"/>
  <c r="W14" i="212"/>
  <c r="X14" i="212"/>
  <c r="AF14" i="212"/>
  <c r="AS14" i="212" s="1"/>
  <c r="L21" i="216" s="1"/>
  <c r="M8" i="247" s="1"/>
  <c r="DO17" i="242"/>
  <c r="EF22" i="242" s="1"/>
  <c r="AL12" i="212"/>
  <c r="E18" i="216" s="1"/>
  <c r="L10" i="248"/>
  <c r="E26" i="248" s="1"/>
  <c r="AZ25" i="242" s="1"/>
  <c r="CI6" i="242"/>
  <c r="CJ4" i="242"/>
  <c r="CP4" i="242"/>
  <c r="CD4" i="242"/>
  <c r="CG4" i="242"/>
  <c r="CQ4" i="242"/>
  <c r="CI4" i="242"/>
  <c r="CM4" i="242"/>
  <c r="CH4" i="242"/>
  <c r="CV4" i="242"/>
  <c r="CE4" i="242"/>
  <c r="CR4" i="242"/>
  <c r="BW4" i="242"/>
  <c r="CY4" i="242"/>
  <c r="DN4" i="242" s="1"/>
  <c r="EE5" i="242" s="1"/>
  <c r="CZ4" i="242"/>
  <c r="CW4" i="242"/>
  <c r="CT4" i="242"/>
  <c r="DI4" i="242" s="1"/>
  <c r="DZ5" i="242" s="1"/>
  <c r="CF4" i="242"/>
  <c r="CU4" i="242"/>
  <c r="BY4" i="242"/>
  <c r="CK4" i="242"/>
  <c r="CS4" i="242"/>
  <c r="CC4" i="242"/>
  <c r="CX4" i="242"/>
  <c r="C35" i="242"/>
  <c r="D35" i="242" s="1"/>
  <c r="E35" i="242" s="1"/>
  <c r="CS6" i="242"/>
  <c r="AO12" i="212"/>
  <c r="H18" i="216" s="1"/>
  <c r="AR12" i="212"/>
  <c r="K18" i="216" s="1"/>
  <c r="AQ12" i="212"/>
  <c r="J18" i="216" s="1"/>
  <c r="AJ12" i="212"/>
  <c r="C18" i="216" s="1"/>
  <c r="AK12" i="212"/>
  <c r="D18" i="216" s="1"/>
  <c r="AS12" i="212"/>
  <c r="L18" i="216" s="1"/>
  <c r="AP12" i="212"/>
  <c r="I18" i="216" s="1"/>
  <c r="AM12" i="212"/>
  <c r="F18" i="216" s="1"/>
  <c r="BY6" i="242"/>
  <c r="CG6" i="242"/>
  <c r="CC6" i="242"/>
  <c r="CF6" i="242"/>
  <c r="CR6" i="242"/>
  <c r="CL6" i="242"/>
  <c r="CW6" i="242"/>
  <c r="DL6" i="242" s="1"/>
  <c r="EC7" i="242" s="1"/>
  <c r="CT6" i="242"/>
  <c r="CV6" i="242"/>
  <c r="CU6" i="242"/>
  <c r="CH6" i="242"/>
  <c r="CK6" i="242"/>
  <c r="CP6" i="242"/>
  <c r="CY6" i="242"/>
  <c r="CZ6" i="242"/>
  <c r="CE6" i="242"/>
  <c r="BW6" i="242"/>
  <c r="CD6" i="242"/>
  <c r="CM6" i="242"/>
  <c r="CX6" i="242"/>
  <c r="AD15" i="242"/>
  <c r="EP6" i="242" s="1"/>
  <c r="Z15" i="242"/>
  <c r="EL6" i="242" s="1"/>
  <c r="Y15" i="242"/>
  <c r="EK6" i="242" s="1"/>
  <c r="E15" i="11"/>
  <c r="F12" i="101" s="1"/>
  <c r="H12" i="230"/>
  <c r="I12" i="230" s="1"/>
  <c r="D14" i="211"/>
  <c r="L13" i="236"/>
  <c r="C13" i="236"/>
  <c r="C15" i="236" s="1"/>
  <c r="C19" i="236" s="1"/>
  <c r="C12" i="241"/>
  <c r="H12" i="241"/>
  <c r="I13" i="236"/>
  <c r="E14" i="211"/>
  <c r="D9" i="202"/>
  <c r="E9" i="202" s="1"/>
  <c r="G10" i="212" s="1"/>
  <c r="D10" i="212" s="1"/>
  <c r="F13" i="236"/>
  <c r="D12" i="248"/>
  <c r="D14" i="248" s="1"/>
  <c r="K12" i="241"/>
  <c r="K13" i="236"/>
  <c r="F15" i="11"/>
  <c r="D16" i="8" s="1"/>
  <c r="D13" i="236"/>
  <c r="G12" i="241"/>
  <c r="E12" i="241"/>
  <c r="M12" i="241"/>
  <c r="L12" i="241"/>
  <c r="I12" i="241"/>
  <c r="G13" i="236"/>
  <c r="M13" i="236"/>
  <c r="E13" i="236"/>
  <c r="G12" i="210"/>
  <c r="D3" i="239"/>
  <c r="D5" i="239" s="1"/>
  <c r="J12" i="241"/>
  <c r="D12" i="210"/>
  <c r="F12" i="241"/>
  <c r="H12" i="211"/>
  <c r="K12" i="211" s="1"/>
  <c r="F28" i="211" s="1"/>
  <c r="F30" i="211" s="1"/>
  <c r="M9" i="212" s="1"/>
  <c r="H13" i="236"/>
  <c r="B12" i="241"/>
  <c r="B11" i="241" s="1"/>
  <c r="D12" i="241"/>
  <c r="N13" i="236"/>
  <c r="C20" i="247"/>
  <c r="C29" i="247" s="1"/>
  <c r="AO11" i="242"/>
  <c r="AR11" i="242" s="1"/>
  <c r="S13" i="242"/>
  <c r="S15" i="242" s="1"/>
  <c r="I11" i="230"/>
  <c r="AA15" i="242"/>
  <c r="EM6" i="242" s="1"/>
  <c r="AG15" i="242"/>
  <c r="ES6" i="242" s="1"/>
  <c r="AI15" i="242"/>
  <c r="EU6" i="242" s="1"/>
  <c r="AH15" i="242"/>
  <c r="ET6" i="242" s="1"/>
  <c r="AB15" i="242"/>
  <c r="EN6" i="242" s="1"/>
  <c r="AF15" i="242"/>
  <c r="ER6" i="242" s="1"/>
  <c r="AE15" i="242"/>
  <c r="EQ6" i="242" s="1"/>
  <c r="AT12" i="212"/>
  <c r="M18" i="216" s="1"/>
  <c r="F15" i="208"/>
  <c r="G6" i="236" s="1"/>
  <c r="L15" i="208"/>
  <c r="M6" i="236" s="1"/>
  <c r="I15" i="208"/>
  <c r="I5" i="241" s="1"/>
  <c r="D15" i="208"/>
  <c r="D5" i="241" s="1"/>
  <c r="AN4" i="212"/>
  <c r="G6" i="216" s="1"/>
  <c r="M15" i="208"/>
  <c r="M5" i="241" s="1"/>
  <c r="E15" i="208"/>
  <c r="F6" i="236" s="1"/>
  <c r="G15" i="208"/>
  <c r="H6" i="236" s="1"/>
  <c r="C15" i="208"/>
  <c r="C5" i="241" s="1"/>
  <c r="J15" i="208"/>
  <c r="K6" i="236" s="1"/>
  <c r="AQ4" i="212"/>
  <c r="J6" i="216" s="1"/>
  <c r="K15" i="208"/>
  <c r="L6" i="236" s="1"/>
  <c r="AJ4" i="212"/>
  <c r="C6" i="216" s="1"/>
  <c r="E7" i="202"/>
  <c r="G8" i="212" s="1"/>
  <c r="Z8" i="212" s="1"/>
  <c r="F5" i="245"/>
  <c r="E4" i="245"/>
  <c r="L22" i="217"/>
  <c r="C36" i="217"/>
  <c r="D9" i="233" s="1"/>
  <c r="D8" i="233" s="1"/>
  <c r="AO4" i="212"/>
  <c r="H6" i="216" s="1"/>
  <c r="AR4" i="212"/>
  <c r="K6" i="216" s="1"/>
  <c r="T13" i="242"/>
  <c r="BO10" i="242"/>
  <c r="BP10" i="242" s="1"/>
  <c r="BZ10" i="242" s="1"/>
  <c r="M26" i="211"/>
  <c r="L9" i="245" s="1"/>
  <c r="BB13" i="242"/>
  <c r="E7" i="245"/>
  <c r="F8" i="245"/>
  <c r="G8" i="245" s="1"/>
  <c r="DO16" i="242"/>
  <c r="EF21" i="242" s="1"/>
  <c r="DK7" i="242"/>
  <c r="EB8" i="242" s="1"/>
  <c r="DL7" i="242"/>
  <c r="EC8" i="242" s="1"/>
  <c r="DG7" i="242"/>
  <c r="DX8" i="242" s="1"/>
  <c r="DH7" i="242"/>
  <c r="DY8" i="242" s="1"/>
  <c r="DE7" i="242"/>
  <c r="DV8" i="242" s="1"/>
  <c r="DF7" i="242"/>
  <c r="DW8" i="242" s="1"/>
  <c r="M24" i="211"/>
  <c r="L7" i="245" s="1"/>
  <c r="N8" i="233"/>
  <c r="N3" i="234" s="1"/>
  <c r="N6" i="234" s="1"/>
  <c r="N10" i="234" s="1"/>
  <c r="AT15" i="212"/>
  <c r="L23" i="211"/>
  <c r="AL4" i="212"/>
  <c r="E6" i="216" s="1"/>
  <c r="AS4" i="212"/>
  <c r="L6" i="216" s="1"/>
  <c r="H5" i="241"/>
  <c r="I6" i="236"/>
  <c r="DJ7" i="242"/>
  <c r="EA8" i="242" s="1"/>
  <c r="DI7" i="242"/>
  <c r="DZ8" i="242" s="1"/>
  <c r="BD4" i="242"/>
  <c r="K5" i="248"/>
  <c r="BF4" i="242" s="1"/>
  <c r="AT4" i="212"/>
  <c r="M6" i="216" s="1"/>
  <c r="AM4" i="212"/>
  <c r="F6" i="216" s="1"/>
  <c r="BD6" i="242"/>
  <c r="K7" i="248"/>
  <c r="BF6" i="242" s="1"/>
  <c r="C4" i="216"/>
  <c r="C9" i="233"/>
  <c r="C8" i="233" s="1"/>
  <c r="BG9" i="242"/>
  <c r="C26" i="248"/>
  <c r="D26" i="248"/>
  <c r="AY25" i="242" s="1"/>
  <c r="BD7" i="242"/>
  <c r="K8" i="248"/>
  <c r="BF7" i="242" s="1"/>
  <c r="BW5" i="242"/>
  <c r="CC5" i="242"/>
  <c r="CI5" i="242"/>
  <c r="CU5" i="242"/>
  <c r="BY5" i="242"/>
  <c r="CE5" i="242"/>
  <c r="CK5" i="242"/>
  <c r="CQ5" i="242"/>
  <c r="CW5" i="242"/>
  <c r="CF5" i="242"/>
  <c r="CL5" i="242"/>
  <c r="CR5" i="242"/>
  <c r="CX5" i="242"/>
  <c r="CG5" i="242"/>
  <c r="CM5" i="242"/>
  <c r="CS5" i="242"/>
  <c r="CY5" i="242"/>
  <c r="CH5" i="242"/>
  <c r="CT5" i="242"/>
  <c r="CZ5" i="242"/>
  <c r="CP5" i="242"/>
  <c r="CD5" i="242"/>
  <c r="CV5" i="242"/>
  <c r="CJ5" i="242"/>
  <c r="ET19" i="242"/>
  <c r="M21" i="236"/>
  <c r="M23" i="236" s="1"/>
  <c r="M21" i="249"/>
  <c r="M31" i="249" s="1"/>
  <c r="M33" i="249" s="1"/>
  <c r="L16" i="241"/>
  <c r="BD5" i="242"/>
  <c r="K6" i="248"/>
  <c r="BF5" i="242" s="1"/>
  <c r="N21" i="236"/>
  <c r="N23" i="236" s="1"/>
  <c r="EU19" i="242"/>
  <c r="M16" i="241"/>
  <c r="N21" i="249"/>
  <c r="N23" i="249" s="1"/>
  <c r="N31" i="249" s="1"/>
  <c r="N33" i="249" s="1"/>
  <c r="M18" i="233"/>
  <c r="FK18" i="242" s="1"/>
  <c r="N27" i="247"/>
  <c r="C6" i="245"/>
  <c r="D6" i="245" s="1"/>
  <c r="FJ9" i="242"/>
  <c r="FJ8" i="242" s="1"/>
  <c r="FJ3" i="242" s="1"/>
  <c r="AH17" i="242"/>
  <c r="ET8" i="242" s="1"/>
  <c r="AP4" i="212"/>
  <c r="I6" i="216" s="1"/>
  <c r="DN7" i="242"/>
  <c r="EE8" i="242" s="1"/>
  <c r="DM7" i="242"/>
  <c r="ED8" i="242" s="1"/>
  <c r="L6" i="242"/>
  <c r="L24" i="242"/>
  <c r="L22" i="242" s="1"/>
  <c r="L34" i="242" s="1"/>
  <c r="BD8" i="242"/>
  <c r="K9" i="248"/>
  <c r="BF8" i="242" s="1"/>
  <c r="AK4" i="212"/>
  <c r="D6" i="216" s="1"/>
  <c r="ER17" i="242"/>
  <c r="J7" i="250"/>
  <c r="J8" i="250" s="1"/>
  <c r="J11" i="237"/>
  <c r="J12" i="237" s="1"/>
  <c r="J5" i="237"/>
  <c r="J6" i="237" s="1"/>
  <c r="J11" i="250"/>
  <c r="J12" i="250" s="1"/>
  <c r="J5" i="250"/>
  <c r="J6" i="250" s="1"/>
  <c r="J7" i="237"/>
  <c r="J8" i="237" s="1"/>
  <c r="DO7" i="242"/>
  <c r="EF8" i="242" s="1"/>
  <c r="D36" i="217"/>
  <c r="E35" i="217"/>
  <c r="C10" i="245"/>
  <c r="CD8" i="242"/>
  <c r="CH8" i="242"/>
  <c r="CL8" i="242"/>
  <c r="CR8" i="242"/>
  <c r="CV8" i="242"/>
  <c r="CZ8" i="242"/>
  <c r="BY8" i="242"/>
  <c r="CE8" i="242"/>
  <c r="CI8" i="242"/>
  <c r="CM8" i="242"/>
  <c r="CS8" i="242"/>
  <c r="CW8" i="242"/>
  <c r="CF8" i="242"/>
  <c r="CJ8" i="242"/>
  <c r="CP8" i="242"/>
  <c r="CT8" i="242"/>
  <c r="CX8" i="242"/>
  <c r="BW8" i="242"/>
  <c r="CC8" i="242"/>
  <c r="CG8" i="242"/>
  <c r="CK8" i="242"/>
  <c r="CQ8" i="242"/>
  <c r="CU8" i="242"/>
  <c r="CY8" i="242"/>
  <c r="I11" i="248" l="1"/>
  <c r="K11" i="248" s="1"/>
  <c r="L11" i="248" s="1"/>
  <c r="F27" i="248" s="1"/>
  <c r="BA26" i="242" s="1"/>
  <c r="DF6" i="242"/>
  <c r="DW7" i="242" s="1"/>
  <c r="DN5" i="242"/>
  <c r="EE6" i="242" s="1"/>
  <c r="DH6" i="242"/>
  <c r="DY7" i="242" s="1"/>
  <c r="DK6" i="242"/>
  <c r="EB7" i="242" s="1"/>
  <c r="G9" i="245"/>
  <c r="H9" i="245" s="1"/>
  <c r="I9" i="245" s="1"/>
  <c r="J9" i="245" s="1"/>
  <c r="DI6" i="242"/>
  <c r="DZ7" i="242" s="1"/>
  <c r="E17" i="236"/>
  <c r="E18" i="236" s="1"/>
  <c r="F12" i="245"/>
  <c r="AN14" i="212"/>
  <c r="G21" i="216" s="1"/>
  <c r="H8" i="247" s="1"/>
  <c r="AJ14" i="212"/>
  <c r="C21" i="216" s="1"/>
  <c r="D8" i="247" s="1"/>
  <c r="AM14" i="212"/>
  <c r="F21" i="216" s="1"/>
  <c r="G8" i="247" s="1"/>
  <c r="BC12" i="242"/>
  <c r="I13" i="248"/>
  <c r="H29" i="211"/>
  <c r="AK14" i="212"/>
  <c r="D21" i="216" s="1"/>
  <c r="E8" i="247" s="1"/>
  <c r="DJ6" i="242"/>
  <c r="EA7" i="242" s="1"/>
  <c r="C36" i="242"/>
  <c r="DW3" i="242" s="1"/>
  <c r="DL4" i="242"/>
  <c r="EC5" i="242" s="1"/>
  <c r="DE4" i="242"/>
  <c r="DV5" i="242" s="1"/>
  <c r="DG4" i="242"/>
  <c r="DX5" i="242" s="1"/>
  <c r="DF4" i="242"/>
  <c r="DW5" i="242" s="1"/>
  <c r="DO4" i="242"/>
  <c r="EF5" i="242" s="1"/>
  <c r="DJ4" i="242"/>
  <c r="EA5" i="242" s="1"/>
  <c r="DH4" i="242"/>
  <c r="DY5" i="242" s="1"/>
  <c r="DK4" i="242"/>
  <c r="EB5" i="242" s="1"/>
  <c r="DM4" i="242"/>
  <c r="ED5" i="242" s="1"/>
  <c r="B13" i="233"/>
  <c r="B12" i="233" s="1"/>
  <c r="B11" i="233" s="1"/>
  <c r="D36" i="242"/>
  <c r="DX3" i="242" s="1"/>
  <c r="DO6" i="242"/>
  <c r="EF7" i="242" s="1"/>
  <c r="DE6" i="242"/>
  <c r="DV7" i="242" s="1"/>
  <c r="DM6" i="242"/>
  <c r="ED7" i="242" s="1"/>
  <c r="DG6" i="242"/>
  <c r="DX7" i="242" s="1"/>
  <c r="DN6" i="242"/>
  <c r="EE7" i="242" s="1"/>
  <c r="L5" i="241"/>
  <c r="H12" i="248"/>
  <c r="I12" i="248" s="1"/>
  <c r="K28" i="211"/>
  <c r="K30" i="211" s="1"/>
  <c r="R9" i="212" s="1"/>
  <c r="AY11" i="242"/>
  <c r="AY13" i="242" s="1"/>
  <c r="E28" i="211"/>
  <c r="E30" i="211" s="1"/>
  <c r="L9" i="212" s="1"/>
  <c r="G28" i="211"/>
  <c r="G30" i="211" s="1"/>
  <c r="N9" i="212" s="1"/>
  <c r="D28" i="211"/>
  <c r="D30" i="211" s="1"/>
  <c r="K9" i="212" s="1"/>
  <c r="H28" i="211"/>
  <c r="AO12" i="242"/>
  <c r="C28" i="211"/>
  <c r="C11" i="245" s="1"/>
  <c r="C13" i="245" s="1"/>
  <c r="J28" i="211"/>
  <c r="J30" i="211" s="1"/>
  <c r="Q9" i="212" s="1"/>
  <c r="F8" i="101"/>
  <c r="M10" i="212"/>
  <c r="S10" i="212"/>
  <c r="Y10" i="212"/>
  <c r="B4" i="232"/>
  <c r="B6" i="232" s="1"/>
  <c r="B7" i="232" s="1"/>
  <c r="B8" i="232" s="1"/>
  <c r="W10" i="212"/>
  <c r="P10" i="212"/>
  <c r="F10" i="212"/>
  <c r="AC10" i="212"/>
  <c r="O10" i="212"/>
  <c r="J10" i="212"/>
  <c r="AA10" i="212"/>
  <c r="AB10" i="212"/>
  <c r="AD10" i="212"/>
  <c r="AG10" i="212"/>
  <c r="L10" i="212"/>
  <c r="AE10" i="212"/>
  <c r="AF10" i="212"/>
  <c r="R10" i="212"/>
  <c r="Q10" i="212"/>
  <c r="D10" i="202"/>
  <c r="E10" i="202" s="1"/>
  <c r="G11" i="212" s="1"/>
  <c r="AD11" i="212" s="1"/>
  <c r="T10" i="212"/>
  <c r="X10" i="212"/>
  <c r="Z10" i="212"/>
  <c r="K10" i="212"/>
  <c r="N10" i="212"/>
  <c r="I28" i="211"/>
  <c r="I30" i="211" s="1"/>
  <c r="P9" i="212" s="1"/>
  <c r="H14" i="211"/>
  <c r="K14" i="211"/>
  <c r="D8" i="202" s="1"/>
  <c r="E8" i="202" s="1"/>
  <c r="F5" i="241"/>
  <c r="DM5" i="242"/>
  <c r="ED6" i="242" s="1"/>
  <c r="D6" i="236"/>
  <c r="J5" i="241"/>
  <c r="E6" i="236"/>
  <c r="J6" i="236"/>
  <c r="F8" i="212"/>
  <c r="N6" i="236"/>
  <c r="G5" i="241"/>
  <c r="E5" i="241"/>
  <c r="K5" i="241"/>
  <c r="L8" i="212"/>
  <c r="N8" i="212"/>
  <c r="M8" i="212"/>
  <c r="AM8" i="212" s="1"/>
  <c r="F10" i="216" s="1"/>
  <c r="F18" i="208" s="1"/>
  <c r="G9" i="236" s="1"/>
  <c r="P8" i="212"/>
  <c r="J8" i="212"/>
  <c r="D8" i="212"/>
  <c r="S8" i="212"/>
  <c r="Q8" i="212"/>
  <c r="T8" i="212"/>
  <c r="W8" i="212"/>
  <c r="Y8" i="212"/>
  <c r="AF8" i="212"/>
  <c r="K8" i="212"/>
  <c r="R8" i="212"/>
  <c r="O8" i="212"/>
  <c r="AE8" i="212"/>
  <c r="AB8" i="212"/>
  <c r="AG8" i="212"/>
  <c r="AD8" i="212"/>
  <c r="AA8" i="212"/>
  <c r="X8" i="212"/>
  <c r="AC8" i="212"/>
  <c r="E6" i="245"/>
  <c r="F6" i="245" s="1"/>
  <c r="G5" i="245"/>
  <c r="H5" i="245" s="1"/>
  <c r="I5" i="245" s="1"/>
  <c r="F4" i="245"/>
  <c r="DH5" i="242"/>
  <c r="DY6" i="242" s="1"/>
  <c r="D4" i="216"/>
  <c r="DG5" i="242"/>
  <c r="DX6" i="242" s="1"/>
  <c r="DJ5" i="242"/>
  <c r="EA6" i="242" s="1"/>
  <c r="DE5" i="242"/>
  <c r="DV6" i="242" s="1"/>
  <c r="DL5" i="242"/>
  <c r="EC6" i="242" s="1"/>
  <c r="DK5" i="242"/>
  <c r="EB6" i="242" s="1"/>
  <c r="J27" i="248"/>
  <c r="BE26" i="242" s="1"/>
  <c r="D27" i="248"/>
  <c r="AY26" i="242" s="1"/>
  <c r="BD10" i="242"/>
  <c r="G27" i="248"/>
  <c r="BB26" i="242" s="1"/>
  <c r="E27" i="248"/>
  <c r="AZ26" i="242" s="1"/>
  <c r="BG10" i="242"/>
  <c r="K27" i="248"/>
  <c r="BF26" i="242" s="1"/>
  <c r="H27" i="248"/>
  <c r="BC26" i="242" s="1"/>
  <c r="I27" i="248"/>
  <c r="BD26" i="242" s="1"/>
  <c r="AS11" i="242"/>
  <c r="AS12" i="242" s="1"/>
  <c r="AR12" i="242"/>
  <c r="CK10" i="242"/>
  <c r="CP10" i="242"/>
  <c r="CM10" i="242"/>
  <c r="CZ10" i="242"/>
  <c r="CQ10" i="242"/>
  <c r="CT10" i="242"/>
  <c r="CS10" i="242"/>
  <c r="CL10" i="242"/>
  <c r="CU10" i="242"/>
  <c r="CX10" i="242"/>
  <c r="CW10" i="242"/>
  <c r="CV10" i="242"/>
  <c r="BW10" i="242"/>
  <c r="CY10" i="242"/>
  <c r="BY10" i="242"/>
  <c r="CD10" i="242"/>
  <c r="CC10" i="242"/>
  <c r="CF10" i="242"/>
  <c r="CE10" i="242"/>
  <c r="CH10" i="242"/>
  <c r="CG10" i="242"/>
  <c r="CJ10" i="242"/>
  <c r="CI10" i="242"/>
  <c r="CR10" i="242"/>
  <c r="EQ13" i="242"/>
  <c r="EO13" i="242"/>
  <c r="EU13" i="242"/>
  <c r="ES13" i="242"/>
  <c r="EL13" i="242"/>
  <c r="EJ13" i="242"/>
  <c r="EJ12" i="242" s="1"/>
  <c r="EM13" i="242"/>
  <c r="EK13" i="242"/>
  <c r="T15" i="242"/>
  <c r="EP13" i="242"/>
  <c r="EN13" i="242"/>
  <c r="ET13" i="242"/>
  <c r="ER13" i="242"/>
  <c r="F26" i="248"/>
  <c r="BA25" i="242" s="1"/>
  <c r="M9" i="245"/>
  <c r="F7" i="245"/>
  <c r="G7" i="245" s="1"/>
  <c r="M7" i="245"/>
  <c r="N3" i="233"/>
  <c r="N20" i="233" s="1"/>
  <c r="N3" i="246" s="1"/>
  <c r="N6" i="246" s="1"/>
  <c r="N10" i="246" s="1"/>
  <c r="N3" i="232"/>
  <c r="N7" i="232" s="1"/>
  <c r="N11" i="232" s="1"/>
  <c r="L7" i="248"/>
  <c r="C23" i="248" s="1"/>
  <c r="M23" i="211"/>
  <c r="M6" i="245" s="1"/>
  <c r="L5" i="248"/>
  <c r="L21" i="248" s="1"/>
  <c r="BG20" i="242" s="1"/>
  <c r="E4" i="216"/>
  <c r="E9" i="233"/>
  <c r="E8" i="233" s="1"/>
  <c r="E3" i="233" s="1"/>
  <c r="L9" i="248"/>
  <c r="L8" i="248"/>
  <c r="AX25" i="242"/>
  <c r="L5" i="250"/>
  <c r="L6" i="250" s="1"/>
  <c r="L11" i="237"/>
  <c r="L12" i="237" s="1"/>
  <c r="L5" i="237"/>
  <c r="L6" i="237" s="1"/>
  <c r="L7" i="237"/>
  <c r="L8" i="237" s="1"/>
  <c r="L11" i="250"/>
  <c r="L12" i="250" s="1"/>
  <c r="ET17" i="242"/>
  <c r="L7" i="250"/>
  <c r="L8" i="250" s="1"/>
  <c r="FK9" i="242"/>
  <c r="FK8" i="242" s="1"/>
  <c r="FK3" i="242" s="1"/>
  <c r="AI17" i="242"/>
  <c r="EU8" i="242" s="1"/>
  <c r="BO14" i="242"/>
  <c r="F35" i="242"/>
  <c r="E36" i="242"/>
  <c r="DY3" i="242" s="1"/>
  <c r="EU17" i="242"/>
  <c r="M11" i="250"/>
  <c r="M12" i="250" s="1"/>
  <c r="M7" i="237"/>
  <c r="M8" i="237" s="1"/>
  <c r="M5" i="237"/>
  <c r="M6" i="237" s="1"/>
  <c r="M5" i="250"/>
  <c r="M6" i="250" s="1"/>
  <c r="M7" i="250"/>
  <c r="M8" i="250" s="1"/>
  <c r="M11" i="237"/>
  <c r="M12" i="237" s="1"/>
  <c r="DO5" i="242"/>
  <c r="EF6" i="242" s="1"/>
  <c r="DF5" i="242"/>
  <c r="DW6" i="242" s="1"/>
  <c r="F35" i="217"/>
  <c r="E36" i="217"/>
  <c r="L6" i="248"/>
  <c r="DI5" i="242"/>
  <c r="DZ6" i="242" s="1"/>
  <c r="DN8" i="242"/>
  <c r="EE9" i="242" s="1"/>
  <c r="DF8" i="242"/>
  <c r="DW9" i="242" s="1"/>
  <c r="DJ8" i="242"/>
  <c r="EA9" i="242" s="1"/>
  <c r="DM8" i="242"/>
  <c r="ED9" i="242" s="1"/>
  <c r="DE8" i="242"/>
  <c r="DV9" i="242" s="1"/>
  <c r="DH8" i="242"/>
  <c r="DY9" i="242" s="1"/>
  <c r="DK8" i="242"/>
  <c r="EB9" i="242" s="1"/>
  <c r="DI8" i="242"/>
  <c r="DZ9" i="242" s="1"/>
  <c r="DL8" i="242"/>
  <c r="EC9" i="242" s="1"/>
  <c r="DO8" i="242"/>
  <c r="EF9" i="242" s="1"/>
  <c r="DG8" i="242"/>
  <c r="DX9" i="242" s="1"/>
  <c r="BF10" i="242" l="1"/>
  <c r="C27" i="248"/>
  <c r="AX26" i="242" s="1"/>
  <c r="G12" i="245"/>
  <c r="K9" i="245"/>
  <c r="F17" i="236"/>
  <c r="G17" i="236" s="1"/>
  <c r="O14" i="212"/>
  <c r="AO14" i="212" s="1"/>
  <c r="H21" i="216" s="1"/>
  <c r="I8" i="247" s="1"/>
  <c r="H12" i="245"/>
  <c r="H30" i="211"/>
  <c r="O9" i="212" s="1"/>
  <c r="BD12" i="242"/>
  <c r="K13" i="248"/>
  <c r="BF12" i="242" s="1"/>
  <c r="C30" i="211"/>
  <c r="C14" i="241" s="1"/>
  <c r="D14" i="241" s="1"/>
  <c r="AH18" i="242"/>
  <c r="ET9" i="242" s="1"/>
  <c r="BC11" i="242"/>
  <c r="BC13" i="242" s="1"/>
  <c r="D11" i="245"/>
  <c r="D13" i="245" s="1"/>
  <c r="H14" i="248"/>
  <c r="AN10" i="212"/>
  <c r="G12" i="216" s="1"/>
  <c r="AQ10" i="212"/>
  <c r="J12" i="216" s="1"/>
  <c r="AS10" i="212"/>
  <c r="L12" i="216" s="1"/>
  <c r="AO10" i="212"/>
  <c r="H12" i="216" s="1"/>
  <c r="AL10" i="212"/>
  <c r="E12" i="216" s="1"/>
  <c r="K11" i="212"/>
  <c r="AC11" i="212"/>
  <c r="AB11" i="212"/>
  <c r="AP10" i="212"/>
  <c r="I12" i="216" s="1"/>
  <c r="J11" i="212"/>
  <c r="M11" i="212"/>
  <c r="S11" i="212"/>
  <c r="AM10" i="212"/>
  <c r="F12" i="216" s="1"/>
  <c r="AK10" i="212"/>
  <c r="D12" i="216" s="1"/>
  <c r="AR10" i="212"/>
  <c r="K12" i="216" s="1"/>
  <c r="AJ10" i="212"/>
  <c r="C12" i="216" s="1"/>
  <c r="AG11" i="212"/>
  <c r="P11" i="212"/>
  <c r="Z11" i="212"/>
  <c r="T11" i="212"/>
  <c r="B11" i="232"/>
  <c r="AT10" i="212"/>
  <c r="M12" i="216" s="1"/>
  <c r="Y11" i="212"/>
  <c r="O11" i="212"/>
  <c r="W11" i="212"/>
  <c r="E11" i="202"/>
  <c r="AA11" i="212"/>
  <c r="D11" i="202"/>
  <c r="AF11" i="212"/>
  <c r="AE11" i="212"/>
  <c r="N11" i="212"/>
  <c r="X11" i="212"/>
  <c r="L11" i="212"/>
  <c r="R11" i="212"/>
  <c r="Q11" i="212"/>
  <c r="AQ11" i="212" s="1"/>
  <c r="J13" i="216" s="1"/>
  <c r="F11" i="212"/>
  <c r="D11" i="212"/>
  <c r="L28" i="211"/>
  <c r="L30" i="211" s="1"/>
  <c r="S9" i="212" s="1"/>
  <c r="D21" i="248"/>
  <c r="AY20" i="242" s="1"/>
  <c r="E21" i="248"/>
  <c r="AZ20" i="242" s="1"/>
  <c r="BG4" i="242"/>
  <c r="AG18" i="242"/>
  <c r="ES9" i="242" s="1"/>
  <c r="AP8" i="212"/>
  <c r="I10" i="216" s="1"/>
  <c r="E7" i="208" s="1"/>
  <c r="F7" i="208" s="1"/>
  <c r="AB18" i="242"/>
  <c r="EN9" i="242" s="1"/>
  <c r="AD18" i="242"/>
  <c r="EP9" i="242" s="1"/>
  <c r="AN8" i="212"/>
  <c r="G10" i="216" s="1"/>
  <c r="G18" i="208" s="1"/>
  <c r="H9" i="236" s="1"/>
  <c r="AL8" i="212"/>
  <c r="E10" i="216" s="1"/>
  <c r="E18" i="208" s="1"/>
  <c r="E8" i="241" s="1"/>
  <c r="AT8" i="212"/>
  <c r="M10" i="216" s="1"/>
  <c r="M18" i="208" s="1"/>
  <c r="N9" i="236" s="1"/>
  <c r="AS8" i="212"/>
  <c r="L10" i="216" s="1"/>
  <c r="L18" i="208" s="1"/>
  <c r="M9" i="236" s="1"/>
  <c r="AK8" i="212"/>
  <c r="D10" i="216" s="1"/>
  <c r="D18" i="208" s="1"/>
  <c r="D8" i="241" s="1"/>
  <c r="AJ8" i="212"/>
  <c r="C10" i="216" s="1"/>
  <c r="C18" i="208" s="1"/>
  <c r="D9" i="236" s="1"/>
  <c r="AQ8" i="212"/>
  <c r="J10" i="216" s="1"/>
  <c r="J18" i="208" s="1"/>
  <c r="J8" i="241" s="1"/>
  <c r="AO8" i="212"/>
  <c r="H10" i="216" s="1"/>
  <c r="H18" i="208" s="1"/>
  <c r="H8" i="241" s="1"/>
  <c r="AR8" i="212"/>
  <c r="K10" i="216" s="1"/>
  <c r="K18" i="208" s="1"/>
  <c r="K8" i="241" s="1"/>
  <c r="G6" i="245"/>
  <c r="H6" i="245" s="1"/>
  <c r="J5" i="245"/>
  <c r="G4" i="245"/>
  <c r="H4" i="245" s="1"/>
  <c r="C21" i="248"/>
  <c r="AX20" i="242" s="1"/>
  <c r="J21" i="248"/>
  <c r="BE20" i="242" s="1"/>
  <c r="AF18" i="242"/>
  <c r="ER9" i="242" s="1"/>
  <c r="H21" i="248"/>
  <c r="BC20" i="242" s="1"/>
  <c r="H7" i="245"/>
  <c r="I7" i="245" s="1"/>
  <c r="AA18" i="242"/>
  <c r="EM9" i="242" s="1"/>
  <c r="Y18" i="242"/>
  <c r="EK9" i="242" s="1"/>
  <c r="AI18" i="242"/>
  <c r="EU9" i="242" s="1"/>
  <c r="AE18" i="242"/>
  <c r="EQ9" i="242" s="1"/>
  <c r="Z18" i="242"/>
  <c r="EL9" i="242" s="1"/>
  <c r="DN10" i="242"/>
  <c r="EE11" i="242" s="1"/>
  <c r="G9" i="212"/>
  <c r="Z9" i="212" s="1"/>
  <c r="AM9" i="212" s="1"/>
  <c r="F11" i="216" s="1"/>
  <c r="DH10" i="242"/>
  <c r="DY11" i="242" s="1"/>
  <c r="DO10" i="242"/>
  <c r="EF11" i="242" s="1"/>
  <c r="DG10" i="242"/>
  <c r="DX11" i="242" s="1"/>
  <c r="DK10" i="242"/>
  <c r="EB11" i="242" s="1"/>
  <c r="DI10" i="242"/>
  <c r="DZ11" i="242" s="1"/>
  <c r="DL10" i="242"/>
  <c r="EC11" i="242" s="1"/>
  <c r="DF10" i="242"/>
  <c r="DW11" i="242" s="1"/>
  <c r="DM10" i="242"/>
  <c r="ED11" i="242" s="1"/>
  <c r="I14" i="248"/>
  <c r="K12" i="248"/>
  <c r="BD11" i="242"/>
  <c r="FQ4" i="242"/>
  <c r="FQ6" i="242" s="1"/>
  <c r="FQ7" i="242" s="1"/>
  <c r="EZ13" i="242"/>
  <c r="DJ10" i="242"/>
  <c r="EA11" i="242" s="1"/>
  <c r="DE10" i="242"/>
  <c r="DV11" i="242" s="1"/>
  <c r="G26" i="248"/>
  <c r="BB25" i="242" s="1"/>
  <c r="J23" i="248"/>
  <c r="BE22" i="242" s="1"/>
  <c r="F23" i="248"/>
  <c r="BA22" i="242" s="1"/>
  <c r="D23" i="248"/>
  <c r="AY22" i="242" s="1"/>
  <c r="BG6" i="242"/>
  <c r="I23" i="248"/>
  <c r="BD22" i="242" s="1"/>
  <c r="G23" i="248"/>
  <c r="BB22" i="242" s="1"/>
  <c r="K23" i="248"/>
  <c r="BF22" i="242" s="1"/>
  <c r="L6" i="245"/>
  <c r="H23" i="248"/>
  <c r="BC22" i="242" s="1"/>
  <c r="E23" i="248"/>
  <c r="AZ22" i="242" s="1"/>
  <c r="M21" i="248"/>
  <c r="BH20" i="242" s="1"/>
  <c r="G21" i="248"/>
  <c r="BB20" i="242" s="1"/>
  <c r="F21" i="248"/>
  <c r="BA20" i="242" s="1"/>
  <c r="K21" i="248"/>
  <c r="BF20" i="242" s="1"/>
  <c r="I21" i="248"/>
  <c r="BD20" i="242" s="1"/>
  <c r="F8" i="241"/>
  <c r="AA7" i="242"/>
  <c r="AB7" i="242" s="1"/>
  <c r="BP14" i="242"/>
  <c r="BO15" i="242"/>
  <c r="AX22" i="242"/>
  <c r="BG7" i="242"/>
  <c r="C24" i="248"/>
  <c r="D24" i="248"/>
  <c r="AY23" i="242" s="1"/>
  <c r="F24" i="248"/>
  <c r="BA23" i="242" s="1"/>
  <c r="I24" i="248"/>
  <c r="BD23" i="242" s="1"/>
  <c r="E24" i="248"/>
  <c r="AZ23" i="242" s="1"/>
  <c r="J24" i="248"/>
  <c r="BE23" i="242" s="1"/>
  <c r="K24" i="248"/>
  <c r="BF23" i="242" s="1"/>
  <c r="H24" i="248"/>
  <c r="BC23" i="242" s="1"/>
  <c r="G24" i="248"/>
  <c r="BB23" i="242" s="1"/>
  <c r="BG5" i="242"/>
  <c r="C22" i="248"/>
  <c r="AX21" i="242" s="1"/>
  <c r="J22" i="248"/>
  <c r="BE21" i="242" s="1"/>
  <c r="D22" i="248"/>
  <c r="AY21" i="242" s="1"/>
  <c r="F22" i="248"/>
  <c r="BA21" i="242" s="1"/>
  <c r="I22" i="248"/>
  <c r="BD21" i="242" s="1"/>
  <c r="H22" i="248"/>
  <c r="BC21" i="242" s="1"/>
  <c r="G22" i="248"/>
  <c r="BB21" i="242" s="1"/>
  <c r="E22" i="248"/>
  <c r="AZ21" i="242" s="1"/>
  <c r="K22" i="248"/>
  <c r="BF21" i="242" s="1"/>
  <c r="L22" i="248"/>
  <c r="BG21" i="242" s="1"/>
  <c r="M22" i="248"/>
  <c r="BH21" i="242" s="1"/>
  <c r="BG8" i="242"/>
  <c r="C25" i="248"/>
  <c r="D25" i="248"/>
  <c r="AY24" i="242" s="1"/>
  <c r="F25" i="248"/>
  <c r="BA24" i="242" s="1"/>
  <c r="E25" i="248"/>
  <c r="AZ24" i="242" s="1"/>
  <c r="AC18" i="242"/>
  <c r="EO9" i="242" s="1"/>
  <c r="F4" i="216"/>
  <c r="F9" i="233"/>
  <c r="F8" i="233" s="1"/>
  <c r="F3" i="233" s="1"/>
  <c r="F36" i="217"/>
  <c r="G35" i="217"/>
  <c r="F36" i="242"/>
  <c r="DZ3" i="242" s="1"/>
  <c r="G35" i="242"/>
  <c r="L27" i="248" l="1"/>
  <c r="M27" i="248" s="1"/>
  <c r="BH26" i="242" s="1"/>
  <c r="L13" i="248"/>
  <c r="C29" i="248" s="1"/>
  <c r="F18" i="236"/>
  <c r="H17" i="236"/>
  <c r="G18" i="236"/>
  <c r="BD13" i="242"/>
  <c r="J9" i="212"/>
  <c r="C11" i="241"/>
  <c r="E11" i="245"/>
  <c r="E13" i="245" s="1"/>
  <c r="AM11" i="212"/>
  <c r="F13" i="216" s="1"/>
  <c r="F14" i="216" s="1"/>
  <c r="AL11" i="212"/>
  <c r="E13" i="216" s="1"/>
  <c r="AT11" i="212"/>
  <c r="M13" i="216" s="1"/>
  <c r="AO11" i="212"/>
  <c r="H13" i="216" s="1"/>
  <c r="AK11" i="212"/>
  <c r="D13" i="216" s="1"/>
  <c r="AP11" i="212"/>
  <c r="I13" i="216" s="1"/>
  <c r="AS11" i="212"/>
  <c r="L13" i="216" s="1"/>
  <c r="AJ11" i="212"/>
  <c r="C13" i="216" s="1"/>
  <c r="AN11" i="212"/>
  <c r="G13" i="216" s="1"/>
  <c r="AR11" i="212"/>
  <c r="K13" i="216" s="1"/>
  <c r="M28" i="211"/>
  <c r="M11" i="245" s="1"/>
  <c r="I18" i="208"/>
  <c r="I8" i="241" s="1"/>
  <c r="M8" i="241"/>
  <c r="G8" i="241"/>
  <c r="F9" i="236"/>
  <c r="E9" i="236"/>
  <c r="L8" i="241"/>
  <c r="K9" i="236"/>
  <c r="I9" i="236"/>
  <c r="C8" i="241"/>
  <c r="L9" i="236"/>
  <c r="I6" i="245"/>
  <c r="J6" i="245" s="1"/>
  <c r="K5" i="245"/>
  <c r="L5" i="245" s="1"/>
  <c r="M5" i="245" s="1"/>
  <c r="I4" i="245"/>
  <c r="J7" i="245"/>
  <c r="K7" i="245" s="1"/>
  <c r="AC9" i="212"/>
  <c r="AP9" i="212" s="1"/>
  <c r="I11" i="216" s="1"/>
  <c r="J7" i="247" s="1"/>
  <c r="Y9" i="212"/>
  <c r="AL9" i="212" s="1"/>
  <c r="E11" i="216" s="1"/>
  <c r="E30" i="216" s="1"/>
  <c r="F9" i="212"/>
  <c r="AG9" i="212"/>
  <c r="D9" i="212"/>
  <c r="AE9" i="212"/>
  <c r="AR9" i="212" s="1"/>
  <c r="K11" i="216" s="1"/>
  <c r="AA9" i="212"/>
  <c r="AN9" i="212" s="1"/>
  <c r="G11" i="216" s="1"/>
  <c r="H7" i="247" s="1"/>
  <c r="AF9" i="212"/>
  <c r="AS9" i="212" s="1"/>
  <c r="L11" i="216" s="1"/>
  <c r="M7" i="247" s="1"/>
  <c r="W9" i="212"/>
  <c r="AB9" i="212"/>
  <c r="AO9" i="212" s="1"/>
  <c r="H11" i="216" s="1"/>
  <c r="I7" i="247" s="1"/>
  <c r="AD9" i="212"/>
  <c r="AQ9" i="212" s="1"/>
  <c r="J11" i="216" s="1"/>
  <c r="K7" i="247" s="1"/>
  <c r="X9" i="212"/>
  <c r="AK9" i="212" s="1"/>
  <c r="D11" i="216" s="1"/>
  <c r="D30" i="216" s="1"/>
  <c r="EZ11" i="242"/>
  <c r="EZ12" i="242"/>
  <c r="FQ8" i="242"/>
  <c r="FQ11" i="242"/>
  <c r="BF11" i="242"/>
  <c r="BF13" i="242" s="1"/>
  <c r="L12" i="248"/>
  <c r="K14" i="248"/>
  <c r="G25" i="248"/>
  <c r="BB24" i="242" s="1"/>
  <c r="L23" i="248"/>
  <c r="BG22" i="242" s="1"/>
  <c r="AX24" i="242"/>
  <c r="H35" i="217"/>
  <c r="G36" i="217"/>
  <c r="L24" i="248"/>
  <c r="BZ13" i="242"/>
  <c r="BP15" i="242"/>
  <c r="G9" i="233"/>
  <c r="G8" i="233" s="1"/>
  <c r="G3" i="233" s="1"/>
  <c r="G4" i="216"/>
  <c r="G36" i="242"/>
  <c r="EA3" i="242" s="1"/>
  <c r="H35" i="242"/>
  <c r="AX23" i="242"/>
  <c r="D11" i="241"/>
  <c r="E14" i="241"/>
  <c r="F30" i="216"/>
  <c r="G7" i="247"/>
  <c r="BG26" i="242" l="1"/>
  <c r="F29" i="248"/>
  <c r="CS9" i="242" s="1"/>
  <c r="AJ9" i="212"/>
  <c r="C11" i="216" s="1"/>
  <c r="D7" i="247" s="1"/>
  <c r="BO16" i="242"/>
  <c r="BP16" i="242" s="1"/>
  <c r="BZ14" i="242" s="1"/>
  <c r="CP14" i="242" s="1"/>
  <c r="BG12" i="242"/>
  <c r="D29" i="248"/>
  <c r="CQ9" i="242" s="1"/>
  <c r="E29" i="248"/>
  <c r="CR9" i="242" s="1"/>
  <c r="H18" i="236"/>
  <c r="I17" i="236"/>
  <c r="CP9" i="242"/>
  <c r="AX28" i="242"/>
  <c r="CC14" i="242" s="1"/>
  <c r="F11" i="245"/>
  <c r="G11" i="245" s="1"/>
  <c r="G13" i="245" s="1"/>
  <c r="L11" i="245"/>
  <c r="M30" i="211"/>
  <c r="T9" i="212" s="1"/>
  <c r="AT9" i="212" s="1"/>
  <c r="M11" i="216" s="1"/>
  <c r="M14" i="216" s="1"/>
  <c r="M16" i="208" s="1"/>
  <c r="K14" i="216"/>
  <c r="K16" i="208" s="1"/>
  <c r="J9" i="236"/>
  <c r="K6" i="245"/>
  <c r="J4" i="245"/>
  <c r="K4" i="245" s="1"/>
  <c r="L30" i="216"/>
  <c r="I30" i="216"/>
  <c r="J14" i="216"/>
  <c r="J30" i="216"/>
  <c r="D14" i="216"/>
  <c r="D19" i="208" s="1"/>
  <c r="E14" i="216"/>
  <c r="E16" i="208" s="1"/>
  <c r="F7" i="247"/>
  <c r="E7" i="247"/>
  <c r="I14" i="216"/>
  <c r="L7" i="247"/>
  <c r="H30" i="216"/>
  <c r="K30" i="216"/>
  <c r="L14" i="216"/>
  <c r="L19" i="208" s="1"/>
  <c r="G30" i="216"/>
  <c r="H14" i="216"/>
  <c r="H16" i="208" s="1"/>
  <c r="G14" i="216"/>
  <c r="G16" i="208" s="1"/>
  <c r="C28" i="248"/>
  <c r="J28" i="248"/>
  <c r="G28" i="248"/>
  <c r="BB27" i="242" s="1"/>
  <c r="BB29" i="242" s="1"/>
  <c r="H28" i="248"/>
  <c r="BC27" i="242" s="1"/>
  <c r="L14" i="248"/>
  <c r="BO9" i="242" s="1"/>
  <c r="BG11" i="242"/>
  <c r="BG13" i="242" s="1"/>
  <c r="I28" i="248"/>
  <c r="D28" i="248"/>
  <c r="E28" i="248"/>
  <c r="F28" i="248"/>
  <c r="K28" i="248"/>
  <c r="H25" i="248"/>
  <c r="M23" i="248"/>
  <c r="BH22" i="242" s="1"/>
  <c r="H36" i="242"/>
  <c r="EB3" i="242" s="1"/>
  <c r="I35" i="242"/>
  <c r="CI13" i="242"/>
  <c r="CW13" i="242"/>
  <c r="CX13" i="242"/>
  <c r="CV13" i="242"/>
  <c r="CK13" i="242"/>
  <c r="CF13" i="242"/>
  <c r="CC13" i="242"/>
  <c r="CJ13" i="242"/>
  <c r="BW13" i="242"/>
  <c r="CY13" i="242"/>
  <c r="CH13" i="242"/>
  <c r="CM13" i="242"/>
  <c r="CD13" i="242"/>
  <c r="BY13" i="242"/>
  <c r="CR13" i="242"/>
  <c r="CQ13" i="242"/>
  <c r="CZ13" i="242"/>
  <c r="CE13" i="242"/>
  <c r="CP13" i="242"/>
  <c r="CS13" i="242"/>
  <c r="CG13" i="242"/>
  <c r="CU13" i="242"/>
  <c r="CT13" i="242"/>
  <c r="CL13" i="242"/>
  <c r="BG23" i="242"/>
  <c r="M24" i="248"/>
  <c r="A39" i="217"/>
  <c r="H9" i="233"/>
  <c r="H8" i="233" s="1"/>
  <c r="H3" i="233" s="1"/>
  <c r="H4" i="216"/>
  <c r="H36" i="217"/>
  <c r="I35" i="217"/>
  <c r="F14" i="241"/>
  <c r="E11" i="241"/>
  <c r="F16" i="208"/>
  <c r="F19" i="208"/>
  <c r="BA28" i="242" l="1"/>
  <c r="CF14" i="242" s="1"/>
  <c r="CT14" i="242"/>
  <c r="CQ14" i="242"/>
  <c r="CU14" i="242"/>
  <c r="CR14" i="242"/>
  <c r="BY14" i="242"/>
  <c r="CX14" i="242"/>
  <c r="DM14" i="242" s="1"/>
  <c r="ED20" i="242" s="1"/>
  <c r="BW14" i="242"/>
  <c r="CZ14" i="242"/>
  <c r="DO14" i="242" s="1"/>
  <c r="EF20" i="242" s="1"/>
  <c r="CW14" i="242"/>
  <c r="DL14" i="242" s="1"/>
  <c r="EC20" i="242" s="1"/>
  <c r="CV14" i="242"/>
  <c r="DK14" i="242" s="1"/>
  <c r="EB20" i="242" s="1"/>
  <c r="CY14" i="242"/>
  <c r="DN14" i="242" s="1"/>
  <c r="EE20" i="242" s="1"/>
  <c r="CS14" i="242"/>
  <c r="C30" i="216"/>
  <c r="D14" i="236"/>
  <c r="D15" i="236" s="1"/>
  <c r="C14" i="216"/>
  <c r="C19" i="208" s="1"/>
  <c r="C9" i="241" s="1"/>
  <c r="G29" i="248"/>
  <c r="CT9" i="242" s="1"/>
  <c r="AY28" i="242"/>
  <c r="CD14" i="242" s="1"/>
  <c r="AZ28" i="242"/>
  <c r="CE14" i="242" s="1"/>
  <c r="I18" i="236"/>
  <c r="J17" i="236"/>
  <c r="DE14" i="242"/>
  <c r="DV20" i="242" s="1"/>
  <c r="I16" i="208"/>
  <c r="I6" i="241" s="1"/>
  <c r="E5" i="208"/>
  <c r="AA5" i="242" s="1"/>
  <c r="F13" i="245"/>
  <c r="K19" i="208"/>
  <c r="L10" i="236" s="1"/>
  <c r="DE13" i="242"/>
  <c r="DV18" i="242" s="1"/>
  <c r="L4" i="245"/>
  <c r="DJ13" i="242"/>
  <c r="EA18" i="242" s="1"/>
  <c r="DI13" i="242"/>
  <c r="DZ18" i="242" s="1"/>
  <c r="DO13" i="242"/>
  <c r="EF18" i="242" s="1"/>
  <c r="DF13" i="242"/>
  <c r="DW18" i="242" s="1"/>
  <c r="DN13" i="242"/>
  <c r="EE18" i="242" s="1"/>
  <c r="DK13" i="242"/>
  <c r="EB18" i="242" s="1"/>
  <c r="E19" i="208"/>
  <c r="E9" i="241" s="1"/>
  <c r="N7" i="247"/>
  <c r="M19" i="208"/>
  <c r="M9" i="241" s="1"/>
  <c r="M30" i="216"/>
  <c r="D16" i="208"/>
  <c r="D6" i="241" s="1"/>
  <c r="J15" i="216"/>
  <c r="J16" i="216" s="1"/>
  <c r="E8" i="208"/>
  <c r="F8" i="208" s="1"/>
  <c r="J19" i="208"/>
  <c r="K10" i="236" s="1"/>
  <c r="I19" i="208"/>
  <c r="I9" i="241" s="1"/>
  <c r="J16" i="208"/>
  <c r="J6" i="241" s="1"/>
  <c r="K15" i="216"/>
  <c r="K16" i="216" s="1"/>
  <c r="L16" i="208"/>
  <c r="L6" i="241" s="1"/>
  <c r="L15" i="216"/>
  <c r="L16" i="216" s="1"/>
  <c r="M15" i="216"/>
  <c r="M16" i="216" s="1"/>
  <c r="H19" i="208"/>
  <c r="H9" i="241" s="1"/>
  <c r="G19" i="208"/>
  <c r="G9" i="241" s="1"/>
  <c r="H30" i="248"/>
  <c r="G30" i="248"/>
  <c r="BF27" i="242"/>
  <c r="BF29" i="242" s="1"/>
  <c r="L28" i="248"/>
  <c r="K30" i="248"/>
  <c r="CK9" i="242" s="1"/>
  <c r="DM9" i="242" s="1"/>
  <c r="ED10" i="242" s="1"/>
  <c r="BP9" i="242"/>
  <c r="BO11" i="242"/>
  <c r="BA27" i="242"/>
  <c r="BA29" i="242" s="1"/>
  <c r="F30" i="248"/>
  <c r="CF9" i="242" s="1"/>
  <c r="DH9" i="242" s="1"/>
  <c r="DY10" i="242" s="1"/>
  <c r="AZ27" i="242"/>
  <c r="AZ29" i="242" s="1"/>
  <c r="E30" i="248"/>
  <c r="CE9" i="242" s="1"/>
  <c r="DG9" i="242" s="1"/>
  <c r="DX10" i="242" s="1"/>
  <c r="AY27" i="242"/>
  <c r="AY29" i="242" s="1"/>
  <c r="D30" i="248"/>
  <c r="CD9" i="242" s="1"/>
  <c r="DF9" i="242" s="1"/>
  <c r="DW10" i="242" s="1"/>
  <c r="BE27" i="242"/>
  <c r="BE29" i="242" s="1"/>
  <c r="J30" i="248"/>
  <c r="CJ9" i="242" s="1"/>
  <c r="DL9" i="242" s="1"/>
  <c r="EC10" i="242" s="1"/>
  <c r="BD27" i="242"/>
  <c r="BD29" i="242" s="1"/>
  <c r="I30" i="248"/>
  <c r="CI9" i="242" s="1"/>
  <c r="DK9" i="242" s="1"/>
  <c r="EB10" i="242" s="1"/>
  <c r="AX27" i="242"/>
  <c r="AX29" i="242" s="1"/>
  <c r="EK15" i="242" s="1"/>
  <c r="EK12" i="242" s="1"/>
  <c r="C30" i="248"/>
  <c r="CC9" i="242" s="1"/>
  <c r="DE9" i="242" s="1"/>
  <c r="DV10" i="242" s="1"/>
  <c r="BC24" i="242"/>
  <c r="BC29" i="242" s="1"/>
  <c r="D13" i="202"/>
  <c r="A37" i="242"/>
  <c r="AA6" i="242" s="1"/>
  <c r="AB6" i="242" s="1"/>
  <c r="J35" i="242"/>
  <c r="I36" i="242"/>
  <c r="EC3" i="242" s="1"/>
  <c r="BH23" i="242"/>
  <c r="I9" i="233"/>
  <c r="I8" i="233" s="1"/>
  <c r="I3" i="233" s="1"/>
  <c r="I4" i="216"/>
  <c r="DG13" i="242"/>
  <c r="DX18" i="242" s="1"/>
  <c r="DM13" i="242"/>
  <c r="ED18" i="242" s="1"/>
  <c r="DH13" i="242"/>
  <c r="DY18" i="242" s="1"/>
  <c r="DL13" i="242"/>
  <c r="EC18" i="242" s="1"/>
  <c r="I36" i="217"/>
  <c r="J35" i="217"/>
  <c r="H11" i="245"/>
  <c r="F11" i="241"/>
  <c r="G14" i="241"/>
  <c r="K6" i="241"/>
  <c r="L7" i="236"/>
  <c r="F6" i="241"/>
  <c r="G7" i="236"/>
  <c r="M6" i="241"/>
  <c r="N7" i="236"/>
  <c r="L9" i="241"/>
  <c r="M10" i="236"/>
  <c r="D9" i="241"/>
  <c r="E10" i="236"/>
  <c r="F9" i="241"/>
  <c r="G10" i="236"/>
  <c r="E6" i="241"/>
  <c r="F7" i="236"/>
  <c r="H6" i="241"/>
  <c r="I7" i="236"/>
  <c r="G6" i="241"/>
  <c r="H7" i="236"/>
  <c r="EB29" i="242" l="1"/>
  <c r="DF14" i="242"/>
  <c r="DW20" i="242" s="1"/>
  <c r="DW29" i="242" s="1"/>
  <c r="EC29" i="242"/>
  <c r="DH14" i="242"/>
  <c r="DY20" i="242" s="1"/>
  <c r="DY29" i="242" s="1"/>
  <c r="ED29" i="242"/>
  <c r="DG14" i="242"/>
  <c r="DX20" i="242" s="1"/>
  <c r="DX29" i="242" s="1"/>
  <c r="CG9" i="242"/>
  <c r="DI9" i="242" s="1"/>
  <c r="DZ10" i="242" s="1"/>
  <c r="BB28" i="242"/>
  <c r="CG14" i="242" s="1"/>
  <c r="DI14" i="242" s="1"/>
  <c r="DZ20" i="242" s="1"/>
  <c r="E14" i="236"/>
  <c r="E15" i="236" s="1"/>
  <c r="D10" i="236"/>
  <c r="H29" i="248"/>
  <c r="CU9" i="242" s="1"/>
  <c r="C16" i="208"/>
  <c r="C6" i="241" s="1"/>
  <c r="C15" i="216"/>
  <c r="C16" i="216" s="1"/>
  <c r="C17" i="216" s="1"/>
  <c r="DV29" i="242"/>
  <c r="J18" i="236"/>
  <c r="K17" i="236"/>
  <c r="J7" i="236"/>
  <c r="K9" i="241"/>
  <c r="L13" i="237" s="1"/>
  <c r="L14" i="237" s="1"/>
  <c r="M4" i="245"/>
  <c r="M13" i="245" s="1"/>
  <c r="L13" i="245"/>
  <c r="N10" i="236"/>
  <c r="F10" i="236"/>
  <c r="J9" i="241"/>
  <c r="J13" i="237" s="1"/>
  <c r="J14" i="237" s="1"/>
  <c r="E7" i="236"/>
  <c r="F5" i="208"/>
  <c r="H10" i="236"/>
  <c r="J10" i="236"/>
  <c r="K7" i="236"/>
  <c r="M7" i="236"/>
  <c r="I10" i="236"/>
  <c r="BP11" i="242"/>
  <c r="BZ11" i="242" s="1"/>
  <c r="BO12" i="242"/>
  <c r="EL15" i="242"/>
  <c r="BZ9" i="242"/>
  <c r="BG27" i="242"/>
  <c r="BG29" i="242" s="1"/>
  <c r="L30" i="248"/>
  <c r="CL9" i="242" s="1"/>
  <c r="M28" i="248"/>
  <c r="J36" i="217"/>
  <c r="K35" i="217"/>
  <c r="K35" i="242"/>
  <c r="J36" i="242"/>
  <c r="ED3" i="242" s="1"/>
  <c r="J9" i="233"/>
  <c r="J8" i="233" s="1"/>
  <c r="J3" i="233" s="1"/>
  <c r="J4" i="216"/>
  <c r="J17" i="216" s="1"/>
  <c r="E13" i="202"/>
  <c r="D14" i="202"/>
  <c r="H13" i="245"/>
  <c r="I11" i="245"/>
  <c r="H14" i="241"/>
  <c r="G11" i="241"/>
  <c r="AB5" i="242"/>
  <c r="M13" i="237"/>
  <c r="M14" i="237" s="1"/>
  <c r="M13" i="250"/>
  <c r="M14" i="250" s="1"/>
  <c r="BC28" i="242" l="1"/>
  <c r="CH14" i="242" s="1"/>
  <c r="DJ14" i="242" s="1"/>
  <c r="EA20" i="242" s="1"/>
  <c r="DZ29" i="242"/>
  <c r="CH9" i="242"/>
  <c r="DJ9" i="242" s="1"/>
  <c r="EA10" i="242" s="1"/>
  <c r="D15" i="216"/>
  <c r="D16" i="216" s="1"/>
  <c r="F14" i="236"/>
  <c r="G14" i="236" s="1"/>
  <c r="G15" i="236" s="1"/>
  <c r="C13" i="250"/>
  <c r="C14" i="250" s="1"/>
  <c r="C13" i="237"/>
  <c r="C14" i="237" s="1"/>
  <c r="D7" i="236"/>
  <c r="L17" i="236"/>
  <c r="K18" i="236"/>
  <c r="L13" i="250"/>
  <c r="L14" i="250" s="1"/>
  <c r="K13" i="250"/>
  <c r="K14" i="250" s="1"/>
  <c r="K13" i="237"/>
  <c r="K14" i="237" s="1"/>
  <c r="J13" i="250"/>
  <c r="J14" i="250" s="1"/>
  <c r="BW9" i="242"/>
  <c r="BY9" i="242"/>
  <c r="BP12" i="242"/>
  <c r="BH27" i="242"/>
  <c r="BH29" i="242" s="1"/>
  <c r="M30" i="248"/>
  <c r="CM9" i="242" s="1"/>
  <c r="DN9" i="242"/>
  <c r="EE10" i="242" s="1"/>
  <c r="EL12" i="242"/>
  <c r="EM15" i="242"/>
  <c r="CY11" i="242"/>
  <c r="CF11" i="242"/>
  <c r="CG11" i="242"/>
  <c r="CJ11" i="242"/>
  <c r="CJ18" i="242" s="1"/>
  <c r="CI11" i="242"/>
  <c r="CI18" i="242" s="1"/>
  <c r="CL11" i="242"/>
  <c r="CL18" i="242" s="1"/>
  <c r="BW11" i="242"/>
  <c r="CH11" i="242"/>
  <c r="CK11" i="242"/>
  <c r="CK18" i="242" s="1"/>
  <c r="CP11" i="242"/>
  <c r="CM11" i="242"/>
  <c r="CR11" i="242"/>
  <c r="CZ11" i="242"/>
  <c r="CD11" i="242"/>
  <c r="CC11" i="242"/>
  <c r="CQ11" i="242"/>
  <c r="CT11" i="242"/>
  <c r="CS11" i="242"/>
  <c r="CV11" i="242"/>
  <c r="CU11" i="242"/>
  <c r="CX11" i="242"/>
  <c r="CW11" i="242"/>
  <c r="BY11" i="242"/>
  <c r="CE11" i="242"/>
  <c r="K36" i="242"/>
  <c r="EE3" i="242" s="1"/>
  <c r="L35" i="242"/>
  <c r="L36" i="242" s="1"/>
  <c r="EF3" i="242" s="1"/>
  <c r="L35" i="217"/>
  <c r="L36" i="217" s="1"/>
  <c r="K36" i="217"/>
  <c r="E14" i="202"/>
  <c r="G13" i="212"/>
  <c r="K4" i="216"/>
  <c r="K17" i="216" s="1"/>
  <c r="K19" i="250" s="1"/>
  <c r="K20" i="250" s="1"/>
  <c r="K9" i="233"/>
  <c r="K8" i="233" s="1"/>
  <c r="K3" i="233" s="1"/>
  <c r="I13" i="245"/>
  <c r="J11" i="245"/>
  <c r="I14" i="241"/>
  <c r="H11" i="241"/>
  <c r="C19" i="237"/>
  <c r="C19" i="250"/>
  <c r="J19" i="237"/>
  <c r="J20" i="237" s="1"/>
  <c r="J19" i="250"/>
  <c r="J20" i="250" s="1"/>
  <c r="EA29" i="242" l="1"/>
  <c r="E15" i="216"/>
  <c r="E16" i="216" s="1"/>
  <c r="E13" i="250" s="1"/>
  <c r="E14" i="250" s="1"/>
  <c r="F15" i="236"/>
  <c r="H14" i="236"/>
  <c r="I14" i="236" s="1"/>
  <c r="I15" i="236" s="1"/>
  <c r="L18" i="236"/>
  <c r="M17" i="236"/>
  <c r="D17" i="216"/>
  <c r="D13" i="237"/>
  <c r="D14" i="237" s="1"/>
  <c r="D13" i="250"/>
  <c r="D14" i="250" s="1"/>
  <c r="DJ11" i="242"/>
  <c r="EA12" i="242" s="1"/>
  <c r="FF15" i="242" s="1"/>
  <c r="DL11" i="242"/>
  <c r="EC12" i="242" s="1"/>
  <c r="EC13" i="242" s="1"/>
  <c r="DM11" i="242"/>
  <c r="ED12" i="242" s="1"/>
  <c r="FI15" i="242" s="1"/>
  <c r="DE11" i="242"/>
  <c r="DV12" i="242" s="1"/>
  <c r="FA15" i="242" s="1"/>
  <c r="DI11" i="242"/>
  <c r="DZ12" i="242" s="1"/>
  <c r="FE15" i="242" s="1"/>
  <c r="DN11" i="242"/>
  <c r="EE12" i="242" s="1"/>
  <c r="FJ15" i="242" s="1"/>
  <c r="DF11" i="242"/>
  <c r="DW12" i="242" s="1"/>
  <c r="EE29" i="242"/>
  <c r="DO9" i="242"/>
  <c r="EF10" i="242" s="1"/>
  <c r="CM18" i="242"/>
  <c r="DK11" i="242"/>
  <c r="EB12" i="242" s="1"/>
  <c r="DO11" i="242"/>
  <c r="EF12" i="242" s="1"/>
  <c r="FK15" i="242" s="1"/>
  <c r="DH11" i="242"/>
  <c r="DY12" i="242" s="1"/>
  <c r="DG11" i="242"/>
  <c r="DX12" i="242" s="1"/>
  <c r="EM12" i="242"/>
  <c r="EN15" i="242"/>
  <c r="K19" i="237"/>
  <c r="K20" i="237" s="1"/>
  <c r="D13" i="212"/>
  <c r="R13" i="212"/>
  <c r="R18" i="212" s="1"/>
  <c r="AF13" i="212"/>
  <c r="AG13" i="212"/>
  <c r="F13" i="212"/>
  <c r="T13" i="212"/>
  <c r="T18" i="212" s="1"/>
  <c r="K13" i="212"/>
  <c r="M13" i="212"/>
  <c r="J13" i="212"/>
  <c r="X13" i="212"/>
  <c r="O13" i="212"/>
  <c r="Q13" i="212"/>
  <c r="Q18" i="212" s="1"/>
  <c r="L13" i="212"/>
  <c r="Z13" i="212"/>
  <c r="S13" i="212"/>
  <c r="S18" i="212" s="1"/>
  <c r="W13" i="212"/>
  <c r="N13" i="212"/>
  <c r="AB13" i="212"/>
  <c r="Y13" i="212"/>
  <c r="AA13" i="212"/>
  <c r="P13" i="212"/>
  <c r="P18" i="212" s="1"/>
  <c r="AD13" i="212"/>
  <c r="AC13" i="212"/>
  <c r="AE13" i="212"/>
  <c r="L4" i="216"/>
  <c r="L17" i="216" s="1"/>
  <c r="L9" i="233"/>
  <c r="L8" i="233" s="1"/>
  <c r="L3" i="233" s="1"/>
  <c r="M9" i="233"/>
  <c r="M8" i="233" s="1"/>
  <c r="M3" i="233" s="1"/>
  <c r="M4" i="216"/>
  <c r="M17" i="216" s="1"/>
  <c r="J13" i="245"/>
  <c r="K11" i="245"/>
  <c r="K13" i="245" s="1"/>
  <c r="J14" i="241"/>
  <c r="I11" i="241"/>
  <c r="C20" i="237"/>
  <c r="J14" i="236"/>
  <c r="C20" i="250"/>
  <c r="F15" i="216" l="1"/>
  <c r="F16" i="216" s="1"/>
  <c r="F13" i="237" s="1"/>
  <c r="F14" i="237" s="1"/>
  <c r="E17" i="216"/>
  <c r="E19" i="237" s="1"/>
  <c r="E20" i="237" s="1"/>
  <c r="E13" i="237"/>
  <c r="E14" i="237" s="1"/>
  <c r="H15" i="236"/>
  <c r="N17" i="236"/>
  <c r="N18" i="236" s="1"/>
  <c r="M18" i="236"/>
  <c r="AM13" i="212"/>
  <c r="F19" i="216" s="1"/>
  <c r="G15" i="216"/>
  <c r="D19" i="237"/>
  <c r="D20" i="237" s="1"/>
  <c r="D19" i="250"/>
  <c r="D20" i="250" s="1"/>
  <c r="EA13" i="242"/>
  <c r="AD16" i="242" s="1"/>
  <c r="FH15" i="242"/>
  <c r="AJ13" i="212"/>
  <c r="C19" i="216" s="1"/>
  <c r="C15" i="233" s="1"/>
  <c r="AK13" i="212"/>
  <c r="D19" i="216" s="1"/>
  <c r="D20" i="216" s="1"/>
  <c r="AL13" i="212"/>
  <c r="E19" i="216" s="1"/>
  <c r="ED13" i="242"/>
  <c r="AG19" i="242" s="1"/>
  <c r="ES10" i="242" s="1"/>
  <c r="DV13" i="242"/>
  <c r="Y19" i="242" s="1"/>
  <c r="EK10" i="242" s="1"/>
  <c r="DZ13" i="242"/>
  <c r="AC16" i="242" s="1"/>
  <c r="EE13" i="242"/>
  <c r="FD15" i="242"/>
  <c r="DY13" i="242"/>
  <c r="FB15" i="242"/>
  <c r="DW13" i="242"/>
  <c r="FG15" i="242"/>
  <c r="EB13" i="242"/>
  <c r="EC14" i="242" s="1"/>
  <c r="EC15" i="242" s="1"/>
  <c r="EC16" i="242" s="1"/>
  <c r="EC19" i="242" s="1"/>
  <c r="EC25" i="242" s="1"/>
  <c r="AF19" i="242"/>
  <c r="ER10" i="242" s="1"/>
  <c r="AF16" i="242"/>
  <c r="EN12" i="242"/>
  <c r="EO15" i="242"/>
  <c r="EF29" i="242"/>
  <c r="EF13" i="242"/>
  <c r="DX13" i="242"/>
  <c r="FC15" i="242"/>
  <c r="AR13" i="212"/>
  <c r="AE18" i="212"/>
  <c r="K3" i="218" s="1"/>
  <c r="AO13" i="212"/>
  <c r="AP13" i="212"/>
  <c r="AC18" i="212"/>
  <c r="I3" i="218" s="1"/>
  <c r="M19" i="237"/>
  <c r="M20" i="237" s="1"/>
  <c r="M19" i="250"/>
  <c r="M20" i="250" s="1"/>
  <c r="AQ13" i="212"/>
  <c r="AD18" i="212"/>
  <c r="J3" i="218" s="1"/>
  <c r="AT13" i="212"/>
  <c r="AG18" i="212"/>
  <c r="M3" i="218" s="1"/>
  <c r="AS13" i="212"/>
  <c r="AF18" i="212"/>
  <c r="L3" i="218" s="1"/>
  <c r="AN13" i="212"/>
  <c r="L19" i="237"/>
  <c r="L20" i="237" s="1"/>
  <c r="L19" i="250"/>
  <c r="L20" i="250" s="1"/>
  <c r="K14" i="241"/>
  <c r="J11" i="241"/>
  <c r="J15" i="236"/>
  <c r="K14" i="236"/>
  <c r="E19" i="250" l="1"/>
  <c r="E20" i="250" s="1"/>
  <c r="F15" i="233"/>
  <c r="E20" i="216"/>
  <c r="F17" i="208"/>
  <c r="F20" i="208" s="1"/>
  <c r="G16" i="216"/>
  <c r="G17" i="216" s="1"/>
  <c r="H15" i="216"/>
  <c r="F17" i="216"/>
  <c r="F13" i="250"/>
  <c r="F14" i="250" s="1"/>
  <c r="AD19" i="242"/>
  <c r="EP10" i="242" s="1"/>
  <c r="C17" i="208"/>
  <c r="C20" i="208" s="1"/>
  <c r="E15" i="233"/>
  <c r="C20" i="216"/>
  <c r="D17" i="208"/>
  <c r="D7" i="241" s="1"/>
  <c r="D15" i="233"/>
  <c r="E17" i="208"/>
  <c r="F8" i="236" s="1"/>
  <c r="AG16" i="242"/>
  <c r="AG20" i="242" s="1"/>
  <c r="EE14" i="242"/>
  <c r="EE15" i="242" s="1"/>
  <c r="EE16" i="242" s="1"/>
  <c r="EE19" i="242" s="1"/>
  <c r="EE25" i="242" s="1"/>
  <c r="ED14" i="242"/>
  <c r="ED15" i="242" s="1"/>
  <c r="ED16" i="242" s="1"/>
  <c r="ED19" i="242" s="1"/>
  <c r="ED25" i="242" s="1"/>
  <c r="DV14" i="242"/>
  <c r="DV15" i="242" s="1"/>
  <c r="DV16" i="242" s="1"/>
  <c r="DV19" i="242" s="1"/>
  <c r="Y16" i="242"/>
  <c r="Y20" i="242" s="1"/>
  <c r="Y21" i="242" s="1"/>
  <c r="AC19" i="242"/>
  <c r="EO10" i="242" s="1"/>
  <c r="AH16" i="242"/>
  <c r="AH19" i="242"/>
  <c r="ET10" i="242" s="1"/>
  <c r="EP7" i="242"/>
  <c r="Z19" i="242"/>
  <c r="EL10" i="242" s="1"/>
  <c r="Z16" i="242"/>
  <c r="AE16" i="242"/>
  <c r="AA8" i="242"/>
  <c r="AE19" i="242"/>
  <c r="EQ10" i="242" s="1"/>
  <c r="AI19" i="242"/>
  <c r="EU10" i="242" s="1"/>
  <c r="AI16" i="242"/>
  <c r="EF14" i="242"/>
  <c r="EF15" i="242" s="1"/>
  <c r="EF16" i="242" s="1"/>
  <c r="EF19" i="242" s="1"/>
  <c r="EF25" i="242" s="1"/>
  <c r="AA19" i="242"/>
  <c r="EM10" i="242" s="1"/>
  <c r="AA16" i="242"/>
  <c r="EO7" i="242"/>
  <c r="EO12" i="242"/>
  <c r="EP15" i="242"/>
  <c r="AF20" i="242"/>
  <c r="ER7" i="242"/>
  <c r="AB19" i="242"/>
  <c r="EN10" i="242" s="1"/>
  <c r="AB16" i="242"/>
  <c r="M5" i="218"/>
  <c r="M4" i="218"/>
  <c r="I5" i="218"/>
  <c r="I4" i="218"/>
  <c r="G19" i="216"/>
  <c r="M19" i="216"/>
  <c r="AT18" i="212"/>
  <c r="AP18" i="212"/>
  <c r="I19" i="216"/>
  <c r="J4" i="218"/>
  <c r="J5" i="218"/>
  <c r="H19" i="216"/>
  <c r="J19" i="216"/>
  <c r="AQ18" i="212"/>
  <c r="L4" i="218"/>
  <c r="L5" i="218"/>
  <c r="K5" i="218"/>
  <c r="K4" i="218"/>
  <c r="AS18" i="212"/>
  <c r="L19" i="216"/>
  <c r="K19" i="216"/>
  <c r="AR18" i="212"/>
  <c r="L14" i="241"/>
  <c r="K11" i="241"/>
  <c r="K15" i="236"/>
  <c r="L14" i="236"/>
  <c r="DW14" i="242" l="1"/>
  <c r="DW15" i="242" s="1"/>
  <c r="DW16" i="242" s="1"/>
  <c r="DW19" i="242" s="1"/>
  <c r="F7" i="241"/>
  <c r="G8" i="236"/>
  <c r="G13" i="237"/>
  <c r="G14" i="237" s="1"/>
  <c r="G13" i="250"/>
  <c r="G14" i="250" s="1"/>
  <c r="H16" i="216"/>
  <c r="H17" i="208" s="1"/>
  <c r="I15" i="216"/>
  <c r="I16" i="216" s="1"/>
  <c r="E6" i="208" s="1"/>
  <c r="F19" i="237"/>
  <c r="F20" i="237" s="1"/>
  <c r="F20" i="216"/>
  <c r="F19" i="250"/>
  <c r="F20" i="250" s="1"/>
  <c r="G19" i="250"/>
  <c r="G20" i="250" s="1"/>
  <c r="G19" i="237"/>
  <c r="G20" i="237" s="1"/>
  <c r="AD20" i="242"/>
  <c r="D8" i="236"/>
  <c r="E8" i="236"/>
  <c r="C7" i="241"/>
  <c r="D15" i="237" s="1"/>
  <c r="D16" i="237" s="1"/>
  <c r="D20" i="208"/>
  <c r="D21" i="208" s="1"/>
  <c r="E7" i="241"/>
  <c r="E20" i="208"/>
  <c r="E17" i="237" s="1"/>
  <c r="E18" i="237" s="1"/>
  <c r="ES7" i="242"/>
  <c r="EK7" i="242"/>
  <c r="AH20" i="242"/>
  <c r="AH21" i="242" s="1"/>
  <c r="AC20" i="242"/>
  <c r="ET7" i="242"/>
  <c r="FA14" i="242"/>
  <c r="FR5" i="242"/>
  <c r="FR6" i="242" s="1"/>
  <c r="AB20" i="242"/>
  <c r="EN7" i="242"/>
  <c r="EP12" i="242"/>
  <c r="EQ15" i="242"/>
  <c r="EM7" i="242"/>
  <c r="AA20" i="242"/>
  <c r="EL7" i="242"/>
  <c r="Z20" i="242"/>
  <c r="Z21" i="242" s="1"/>
  <c r="AB8" i="242"/>
  <c r="AB9" i="242" s="1"/>
  <c r="T16" i="242" s="1"/>
  <c r="T17" i="242" s="1"/>
  <c r="AA9" i="242"/>
  <c r="S16" i="242" s="1"/>
  <c r="S17" i="242" s="1"/>
  <c r="AG21" i="242"/>
  <c r="AI20" i="242"/>
  <c r="EU7" i="242"/>
  <c r="EQ7" i="242"/>
  <c r="AE20" i="242"/>
  <c r="G15" i="233"/>
  <c r="G17" i="208"/>
  <c r="G20" i="216"/>
  <c r="F17" i="250"/>
  <c r="F18" i="250" s="1"/>
  <c r="F17" i="237"/>
  <c r="F18" i="237" s="1"/>
  <c r="K20" i="216"/>
  <c r="K26" i="216" s="1"/>
  <c r="K15" i="233"/>
  <c r="K17" i="208"/>
  <c r="H15" i="233"/>
  <c r="L15" i="233"/>
  <c r="L17" i="208"/>
  <c r="L20" i="216"/>
  <c r="L26" i="216" s="1"/>
  <c r="J20" i="216"/>
  <c r="J26" i="216" s="1"/>
  <c r="J17" i="208"/>
  <c r="J15" i="233"/>
  <c r="M17" i="208"/>
  <c r="M20" i="216"/>
  <c r="M26" i="216" s="1"/>
  <c r="M15" i="233"/>
  <c r="C21" i="208"/>
  <c r="C17" i="237"/>
  <c r="C18" i="237" s="1"/>
  <c r="C17" i="250"/>
  <c r="C18" i="250" s="1"/>
  <c r="M14" i="241"/>
  <c r="M11" i="241" s="1"/>
  <c r="L11" i="241"/>
  <c r="L15" i="236"/>
  <c r="M14" i="236"/>
  <c r="DX14" i="242" l="1"/>
  <c r="DX15" i="242" s="1"/>
  <c r="DX16" i="242" s="1"/>
  <c r="DX19" i="242" s="1"/>
  <c r="I17" i="208"/>
  <c r="J8" i="236" s="1"/>
  <c r="I15" i="233"/>
  <c r="F15" i="237"/>
  <c r="F16" i="237" s="1"/>
  <c r="I13" i="237"/>
  <c r="I14" i="237" s="1"/>
  <c r="I17" i="216"/>
  <c r="I13" i="250"/>
  <c r="I14" i="250" s="1"/>
  <c r="H17" i="216"/>
  <c r="H13" i="237"/>
  <c r="H14" i="237" s="1"/>
  <c r="H13" i="250"/>
  <c r="H14" i="250" s="1"/>
  <c r="AE21" i="242"/>
  <c r="FX5" i="242" s="1"/>
  <c r="FX6" i="242" s="1"/>
  <c r="AD21" i="242"/>
  <c r="FW5" i="242" s="1"/>
  <c r="FW6" i="242" s="1"/>
  <c r="C15" i="250"/>
  <c r="C16" i="250" s="1"/>
  <c r="F21" i="208"/>
  <c r="F5" i="232" s="1"/>
  <c r="D17" i="250"/>
  <c r="D18" i="250" s="1"/>
  <c r="D15" i="250"/>
  <c r="D16" i="250" s="1"/>
  <c r="C15" i="237"/>
  <c r="C16" i="237" s="1"/>
  <c r="D17" i="237"/>
  <c r="D18" i="237" s="1"/>
  <c r="E21" i="208"/>
  <c r="E5" i="232" s="1"/>
  <c r="E17" i="250"/>
  <c r="E18" i="250" s="1"/>
  <c r="E15" i="250"/>
  <c r="E16" i="250" s="1"/>
  <c r="E15" i="237"/>
  <c r="E16" i="237" s="1"/>
  <c r="F15" i="250"/>
  <c r="F16" i="250" s="1"/>
  <c r="AI21" i="242"/>
  <c r="GB5" i="242" s="1"/>
  <c r="GB6" i="242" s="1"/>
  <c r="AC21" i="242"/>
  <c r="FE14" i="242" s="1"/>
  <c r="AA21" i="242"/>
  <c r="FT5" i="242" s="1"/>
  <c r="FT6" i="242" s="1"/>
  <c r="AF21" i="242"/>
  <c r="FY5" i="242" s="1"/>
  <c r="FY6" i="242" s="1"/>
  <c r="FZ5" i="242"/>
  <c r="FZ6" i="242" s="1"/>
  <c r="FI14" i="242"/>
  <c r="GA5" i="242"/>
  <c r="GA6" i="242" s="1"/>
  <c r="FJ14" i="242"/>
  <c r="AB21" i="242"/>
  <c r="EQ12" i="242"/>
  <c r="ER15" i="242"/>
  <c r="FS5" i="242"/>
  <c r="FS6" i="242" s="1"/>
  <c r="FB14" i="242"/>
  <c r="E22" i="247"/>
  <c r="D5" i="232"/>
  <c r="M8" i="236"/>
  <c r="L7" i="241"/>
  <c r="L20" i="208"/>
  <c r="G7" i="241"/>
  <c r="G20" i="208"/>
  <c r="H8" i="236"/>
  <c r="K20" i="208"/>
  <c r="L8" i="236"/>
  <c r="K7" i="241"/>
  <c r="C5" i="232"/>
  <c r="D22" i="247"/>
  <c r="K8" i="236"/>
  <c r="J7" i="241"/>
  <c r="J20" i="208"/>
  <c r="K19" i="233"/>
  <c r="K49" i="216"/>
  <c r="K27" i="216"/>
  <c r="M49" i="216"/>
  <c r="M27" i="216"/>
  <c r="M19" i="233"/>
  <c r="J49" i="216"/>
  <c r="J27" i="216"/>
  <c r="J19" i="233"/>
  <c r="M20" i="208"/>
  <c r="N8" i="236"/>
  <c r="M7" i="241"/>
  <c r="L19" i="233"/>
  <c r="L27" i="216"/>
  <c r="L49" i="216"/>
  <c r="H7" i="241"/>
  <c r="H20" i="208"/>
  <c r="I8" i="236"/>
  <c r="F6" i="208"/>
  <c r="F9" i="208" s="1"/>
  <c r="F16" i="11" s="1"/>
  <c r="E9" i="208"/>
  <c r="E16" i="11" s="1"/>
  <c r="M15" i="236"/>
  <c r="N14" i="236"/>
  <c r="N15" i="236" s="1"/>
  <c r="DY14" i="242" l="1"/>
  <c r="DY15" i="242" s="1"/>
  <c r="DY16" i="242" s="1"/>
  <c r="DY19" i="242" s="1"/>
  <c r="I20" i="208"/>
  <c r="J21" i="208" s="1"/>
  <c r="I7" i="241"/>
  <c r="I15" i="237" s="1"/>
  <c r="I16" i="237" s="1"/>
  <c r="N14" i="237"/>
  <c r="N13" i="237" s="1"/>
  <c r="H19" i="250"/>
  <c r="H20" i="250" s="1"/>
  <c r="H19" i="237"/>
  <c r="H20" i="237" s="1"/>
  <c r="H20" i="216"/>
  <c r="N14" i="250"/>
  <c r="N13" i="250" s="1"/>
  <c r="I19" i="250"/>
  <c r="I20" i="250" s="1"/>
  <c r="I20" i="216"/>
  <c r="I26" i="216" s="1"/>
  <c r="I19" i="237"/>
  <c r="I20" i="237" s="1"/>
  <c r="FG14" i="242"/>
  <c r="FF14" i="242"/>
  <c r="G22" i="247"/>
  <c r="F22" i="247"/>
  <c r="FV5" i="242"/>
  <c r="FV6" i="242" s="1"/>
  <c r="FK14" i="242"/>
  <c r="FH14" i="242"/>
  <c r="FC14" i="242"/>
  <c r="FU5" i="242"/>
  <c r="FU6" i="242" s="1"/>
  <c r="FD14" i="242"/>
  <c r="ES15" i="242"/>
  <c r="ER12" i="242"/>
  <c r="F17" i="11"/>
  <c r="F10" i="101" s="1"/>
  <c r="F9" i="101"/>
  <c r="D6" i="239"/>
  <c r="D7" i="239" s="1"/>
  <c r="D9" i="239" s="1"/>
  <c r="E7" i="239" s="1"/>
  <c r="L16" i="233"/>
  <c r="L3" i="232" s="1"/>
  <c r="EE26" i="242"/>
  <c r="M23" i="247"/>
  <c r="K16" i="233"/>
  <c r="K3" i="232" s="1"/>
  <c r="L23" i="247"/>
  <c r="ED26" i="242"/>
  <c r="G17" i="237"/>
  <c r="G18" i="237" s="1"/>
  <c r="G21" i="208"/>
  <c r="G17" i="250"/>
  <c r="G18" i="250" s="1"/>
  <c r="L15" i="237"/>
  <c r="L16" i="237" s="1"/>
  <c r="L15" i="250"/>
  <c r="L16" i="250" s="1"/>
  <c r="J16" i="233"/>
  <c r="J3" i="232" s="1"/>
  <c r="K23" i="247"/>
  <c r="EC26" i="242"/>
  <c r="M16" i="233"/>
  <c r="M3" i="232" s="1"/>
  <c r="N23" i="247"/>
  <c r="EF26" i="242"/>
  <c r="L24" i="247"/>
  <c r="ED36" i="242"/>
  <c r="C14" i="233"/>
  <c r="C6" i="232"/>
  <c r="G15" i="237"/>
  <c r="G16" i="237" s="1"/>
  <c r="G15" i="250"/>
  <c r="G16" i="250" s="1"/>
  <c r="H17" i="250"/>
  <c r="H18" i="250" s="1"/>
  <c r="H17" i="237"/>
  <c r="H18" i="237" s="1"/>
  <c r="H21" i="208"/>
  <c r="M15" i="237"/>
  <c r="M16" i="237" s="1"/>
  <c r="M15" i="250"/>
  <c r="M16" i="250" s="1"/>
  <c r="K24" i="247"/>
  <c r="EC36" i="242"/>
  <c r="N24" i="247"/>
  <c r="EF36" i="242"/>
  <c r="K15" i="237"/>
  <c r="K16" i="237" s="1"/>
  <c r="K15" i="250"/>
  <c r="K16" i="250" s="1"/>
  <c r="D6" i="232"/>
  <c r="D14" i="233"/>
  <c r="H15" i="237"/>
  <c r="H16" i="237" s="1"/>
  <c r="H15" i="250"/>
  <c r="H16" i="250" s="1"/>
  <c r="E6" i="232"/>
  <c r="E14" i="233"/>
  <c r="F6" i="232"/>
  <c r="F14" i="233"/>
  <c r="J17" i="250"/>
  <c r="J18" i="250" s="1"/>
  <c r="J17" i="237"/>
  <c r="J18" i="237" s="1"/>
  <c r="L28" i="216"/>
  <c r="M17" i="250"/>
  <c r="M18" i="250" s="1"/>
  <c r="M17" i="237"/>
  <c r="M18" i="237" s="1"/>
  <c r="M21" i="208"/>
  <c r="K21" i="208"/>
  <c r="K17" i="250"/>
  <c r="K18" i="250" s="1"/>
  <c r="K17" i="237"/>
  <c r="K18" i="237" s="1"/>
  <c r="E17" i="11"/>
  <c r="E14" i="230"/>
  <c r="F13" i="101"/>
  <c r="G14" i="230"/>
  <c r="C6" i="239"/>
  <c r="C7" i="239" s="1"/>
  <c r="C9" i="239" s="1"/>
  <c r="C17" i="239" s="1"/>
  <c r="EE36" i="242"/>
  <c r="M24" i="247"/>
  <c r="J28" i="216"/>
  <c r="M28" i="216"/>
  <c r="K28" i="216"/>
  <c r="L17" i="250"/>
  <c r="L18" i="250" s="1"/>
  <c r="L17" i="237"/>
  <c r="L18" i="237" s="1"/>
  <c r="L21" i="208"/>
  <c r="G18" i="230" l="1"/>
  <c r="F18" i="230" s="1"/>
  <c r="F20" i="230" s="1"/>
  <c r="G20" i="230"/>
  <c r="DZ14" i="242"/>
  <c r="DZ15" i="242" s="1"/>
  <c r="DZ16" i="242" s="1"/>
  <c r="DZ19" i="242" s="1"/>
  <c r="I17" i="237"/>
  <c r="I18" i="237" s="1"/>
  <c r="N18" i="237" s="1"/>
  <c r="N17" i="237" s="1"/>
  <c r="I21" i="208"/>
  <c r="I5" i="232" s="1"/>
  <c r="J15" i="250"/>
  <c r="J16" i="250" s="1"/>
  <c r="I17" i="250"/>
  <c r="I18" i="250" s="1"/>
  <c r="N18" i="250" s="1"/>
  <c r="N17" i="250" s="1"/>
  <c r="N20" i="250"/>
  <c r="N19" i="250" s="1"/>
  <c r="H14" i="230"/>
  <c r="I15" i="250"/>
  <c r="I16" i="250" s="1"/>
  <c r="J15" i="237"/>
  <c r="J16" i="237" s="1"/>
  <c r="N16" i="237" s="1"/>
  <c r="N15" i="237" s="1"/>
  <c r="N20" i="237"/>
  <c r="N19" i="237" s="1"/>
  <c r="I49" i="216"/>
  <c r="I27" i="216"/>
  <c r="I19" i="233"/>
  <c r="ET15" i="242"/>
  <c r="ES12" i="242"/>
  <c r="E5" i="239"/>
  <c r="E9" i="239"/>
  <c r="E3" i="239"/>
  <c r="D17" i="239"/>
  <c r="E11" i="239" s="1"/>
  <c r="E8" i="239"/>
  <c r="E6" i="239"/>
  <c r="E4" i="239"/>
  <c r="L5" i="232"/>
  <c r="M22" i="247"/>
  <c r="M29" i="247" s="1"/>
  <c r="G15" i="230"/>
  <c r="E41" i="230"/>
  <c r="K5" i="232"/>
  <c r="L22" i="247"/>
  <c r="L29" i="247" s="1"/>
  <c r="L46" i="216"/>
  <c r="M6" i="247"/>
  <c r="M9" i="247" s="1"/>
  <c r="M18" i="247" s="1"/>
  <c r="L21" i="237"/>
  <c r="L22" i="237" s="1"/>
  <c r="L21" i="250"/>
  <c r="L22" i="250" s="1"/>
  <c r="FH16" i="242"/>
  <c r="FY3" i="242" s="1"/>
  <c r="FY7" i="242" s="1"/>
  <c r="FY11" i="242" s="1"/>
  <c r="EC27" i="242"/>
  <c r="FI16" i="242"/>
  <c r="FZ3" i="242" s="1"/>
  <c r="FZ7" i="242" s="1"/>
  <c r="FZ11" i="242" s="1"/>
  <c r="ED27" i="242"/>
  <c r="FJ16" i="242"/>
  <c r="EE27" i="242"/>
  <c r="K46" i="216"/>
  <c r="K21" i="237"/>
  <c r="K22" i="237" s="1"/>
  <c r="K21" i="250"/>
  <c r="K22" i="250" s="1"/>
  <c r="L6" i="247"/>
  <c r="L9" i="247" s="1"/>
  <c r="L18" i="247" s="1"/>
  <c r="E15" i="230"/>
  <c r="L18" i="230" s="1"/>
  <c r="L20" i="230" s="1"/>
  <c r="M21" i="250"/>
  <c r="M22" i="250" s="1"/>
  <c r="N6" i="247"/>
  <c r="N9" i="247" s="1"/>
  <c r="N18" i="247" s="1"/>
  <c r="M46" i="216"/>
  <c r="M21" i="237"/>
  <c r="M22" i="237" s="1"/>
  <c r="M5" i="232"/>
  <c r="N22" i="247"/>
  <c r="N29" i="247" s="1"/>
  <c r="FK16" i="242"/>
  <c r="GB3" i="242" s="1"/>
  <c r="GB7" i="242" s="1"/>
  <c r="GB11" i="242" s="1"/>
  <c r="EF27" i="242"/>
  <c r="K6" i="247"/>
  <c r="K9" i="247" s="1"/>
  <c r="K18" i="247" s="1"/>
  <c r="J21" i="237"/>
  <c r="J22" i="237" s="1"/>
  <c r="J46" i="216"/>
  <c r="J21" i="250"/>
  <c r="J22" i="250" s="1"/>
  <c r="J5" i="232"/>
  <c r="K22" i="247"/>
  <c r="K29" i="247" s="1"/>
  <c r="H5" i="232"/>
  <c r="I22" i="247"/>
  <c r="H22" i="247"/>
  <c r="G5" i="232"/>
  <c r="J14" i="230" l="1"/>
  <c r="I20" i="230"/>
  <c r="N16" i="250"/>
  <c r="N15" i="250" s="1"/>
  <c r="EA14" i="242"/>
  <c r="EA15" i="242" s="1"/>
  <c r="EA16" i="242" s="1"/>
  <c r="EA19" i="242" s="1"/>
  <c r="J22" i="247"/>
  <c r="J23" i="247"/>
  <c r="EB26" i="242"/>
  <c r="FG16" i="242" s="1"/>
  <c r="FX3" i="242" s="1"/>
  <c r="FX7" i="242" s="1"/>
  <c r="FX11" i="242" s="1"/>
  <c r="I16" i="233"/>
  <c r="I3" i="232" s="1"/>
  <c r="I28" i="216"/>
  <c r="EB36" i="242"/>
  <c r="J24" i="247"/>
  <c r="EU15" i="242"/>
  <c r="EU12" i="242" s="1"/>
  <c r="ET12" i="242"/>
  <c r="E17" i="239"/>
  <c r="E15" i="239"/>
  <c r="E16" i="239"/>
  <c r="N30" i="247"/>
  <c r="GG4" i="242"/>
  <c r="C16" i="230"/>
  <c r="FH19" i="242"/>
  <c r="FH11" i="242" s="1"/>
  <c r="FH20" i="242" s="1"/>
  <c r="GO3" i="242" s="1"/>
  <c r="GO6" i="242" s="1"/>
  <c r="GO10" i="242" s="1"/>
  <c r="EC33" i="242"/>
  <c r="L30" i="247"/>
  <c r="H14" i="233"/>
  <c r="H6" i="232"/>
  <c r="M6" i="232"/>
  <c r="M7" i="232" s="1"/>
  <c r="M11" i="232" s="1"/>
  <c r="M14" i="233"/>
  <c r="M11" i="233" s="1"/>
  <c r="M20" i="233" s="1"/>
  <c r="K14" i="233"/>
  <c r="K11" i="233" s="1"/>
  <c r="K20" i="233" s="1"/>
  <c r="K6" i="232"/>
  <c r="K7" i="232" s="1"/>
  <c r="K11" i="232" s="1"/>
  <c r="K30" i="247"/>
  <c r="EF33" i="242"/>
  <c r="FK19" i="242"/>
  <c r="FK11" i="242" s="1"/>
  <c r="FK20" i="242" s="1"/>
  <c r="GR3" i="242" s="1"/>
  <c r="GR6" i="242" s="1"/>
  <c r="GR10" i="242" s="1"/>
  <c r="FJ19" i="242"/>
  <c r="FJ11" i="242" s="1"/>
  <c r="FJ20" i="242" s="1"/>
  <c r="GQ3" i="242" s="1"/>
  <c r="GQ6" i="242" s="1"/>
  <c r="GQ10" i="242" s="1"/>
  <c r="EE33" i="242"/>
  <c r="C7" i="233"/>
  <c r="E47" i="230"/>
  <c r="C14" i="239"/>
  <c r="D14" i="239" s="1"/>
  <c r="E14" i="239" s="1"/>
  <c r="FA7" i="242"/>
  <c r="FA5" i="242" s="1"/>
  <c r="FA4" i="242" s="1"/>
  <c r="FA3" i="242" s="1"/>
  <c r="E51" i="230"/>
  <c r="C34" i="216" s="1"/>
  <c r="E43" i="230"/>
  <c r="G14" i="233"/>
  <c r="G6" i="232"/>
  <c r="J6" i="232"/>
  <c r="J7" i="232" s="1"/>
  <c r="J11" i="232" s="1"/>
  <c r="J14" i="233"/>
  <c r="J11" i="233" s="1"/>
  <c r="J20" i="233" s="1"/>
  <c r="I6" i="232"/>
  <c r="I14" i="233"/>
  <c r="GA3" i="242"/>
  <c r="GA7" i="242" s="1"/>
  <c r="GA11" i="242" s="1"/>
  <c r="E18" i="230"/>
  <c r="D15" i="8" s="1"/>
  <c r="M30" i="247"/>
  <c r="ED33" i="242"/>
  <c r="FI19" i="242"/>
  <c r="FI11" i="242" s="1"/>
  <c r="FI20" i="242" s="1"/>
  <c r="GP3" i="242" s="1"/>
  <c r="GP6" i="242" s="1"/>
  <c r="GP10" i="242" s="1"/>
  <c r="H15" i="230"/>
  <c r="E20" i="230" s="1"/>
  <c r="I14" i="230"/>
  <c r="L14" i="233"/>
  <c r="L11" i="233" s="1"/>
  <c r="L20" i="233" s="1"/>
  <c r="L6" i="232"/>
  <c r="L7" i="232" s="1"/>
  <c r="L11" i="232" s="1"/>
  <c r="EB14" i="242" l="1"/>
  <c r="EB15" i="242" s="1"/>
  <c r="EB16" i="242" s="1"/>
  <c r="EB19" i="242" s="1"/>
  <c r="EB25" i="242" s="1"/>
  <c r="EB27" i="242" s="1"/>
  <c r="FG19" i="242" s="1"/>
  <c r="FG11" i="242" s="1"/>
  <c r="FG20" i="242" s="1"/>
  <c r="GN3" i="242" s="1"/>
  <c r="GN6" i="242" s="1"/>
  <c r="GN10" i="242" s="1"/>
  <c r="I11" i="233"/>
  <c r="I20" i="233" s="1"/>
  <c r="I3" i="234" s="1"/>
  <c r="I6" i="234" s="1"/>
  <c r="I10" i="234" s="1"/>
  <c r="I7" i="232"/>
  <c r="I11" i="232" s="1"/>
  <c r="J29" i="247"/>
  <c r="I21" i="250"/>
  <c r="I22" i="250" s="1"/>
  <c r="J6" i="247"/>
  <c r="J9" i="247" s="1"/>
  <c r="J18" i="247" s="1"/>
  <c r="I46" i="216"/>
  <c r="I21" i="237"/>
  <c r="I22" i="237" s="1"/>
  <c r="K3" i="246"/>
  <c r="K6" i="246" s="1"/>
  <c r="K10" i="246" s="1"/>
  <c r="K3" i="234"/>
  <c r="K6" i="234" s="1"/>
  <c r="K10" i="234" s="1"/>
  <c r="L3" i="234"/>
  <c r="L6" i="234" s="1"/>
  <c r="L10" i="234" s="1"/>
  <c r="L3" i="246"/>
  <c r="L6" i="246" s="1"/>
  <c r="L10" i="246" s="1"/>
  <c r="M3" i="234"/>
  <c r="M6" i="234" s="1"/>
  <c r="M10" i="234" s="1"/>
  <c r="M3" i="246"/>
  <c r="M6" i="246" s="1"/>
  <c r="M10" i="246" s="1"/>
  <c r="E50" i="230"/>
  <c r="C25" i="216" s="1"/>
  <c r="DV24" i="242" s="1"/>
  <c r="C6" i="218"/>
  <c r="B24" i="101"/>
  <c r="EZ6" i="242"/>
  <c r="E27" i="230"/>
  <c r="E35" i="230"/>
  <c r="C24" i="236"/>
  <c r="E37" i="230"/>
  <c r="C13" i="239"/>
  <c r="B6" i="233"/>
  <c r="J3" i="234"/>
  <c r="J6" i="234" s="1"/>
  <c r="J10" i="234" s="1"/>
  <c r="J3" i="246"/>
  <c r="J6" i="246" s="1"/>
  <c r="J10" i="246" s="1"/>
  <c r="D7" i="233"/>
  <c r="D16" i="247"/>
  <c r="C5" i="233"/>
  <c r="I15" i="230"/>
  <c r="DV32" i="242"/>
  <c r="C45" i="216"/>
  <c r="EB33" i="242" l="1"/>
  <c r="V9" i="244"/>
  <c r="V8" i="244" s="1"/>
  <c r="G33" i="216"/>
  <c r="I3" i="246"/>
  <c r="I6" i="246" s="1"/>
  <c r="I10" i="246" s="1"/>
  <c r="J30" i="247"/>
  <c r="E30" i="230"/>
  <c r="D25" i="216"/>
  <c r="DW24" i="242" s="1"/>
  <c r="B4" i="246"/>
  <c r="B5" i="246" s="1"/>
  <c r="B6" i="246" s="1"/>
  <c r="F15" i="230"/>
  <c r="D15" i="230" s="1"/>
  <c r="B19" i="241"/>
  <c r="C15" i="247"/>
  <c r="B5" i="233"/>
  <c r="EZ5" i="242"/>
  <c r="EJ20" i="242"/>
  <c r="C4" i="233"/>
  <c r="C3" i="233" s="1"/>
  <c r="D13" i="247"/>
  <c r="D17" i="247" s="1"/>
  <c r="C4" i="234"/>
  <c r="D13" i="239"/>
  <c r="E13" i="239" s="1"/>
  <c r="C12" i="239"/>
  <c r="D12" i="239" s="1"/>
  <c r="E12" i="239" s="1"/>
  <c r="D27" i="247"/>
  <c r="C18" i="241"/>
  <c r="D4" i="233"/>
  <c r="D3" i="233" s="1"/>
  <c r="D18" i="241"/>
  <c r="E16" i="247"/>
  <c r="E17" i="247" s="1"/>
  <c r="FB7" i="242"/>
  <c r="FB4" i="242" s="1"/>
  <c r="FB3" i="242" s="1"/>
  <c r="Q9" i="244"/>
  <c r="Q8" i="244" s="1"/>
  <c r="S9" i="244"/>
  <c r="S8" i="244" s="1"/>
  <c r="T9" i="244"/>
  <c r="T8" i="244" s="1"/>
  <c r="C33" i="216"/>
  <c r="D33" i="216"/>
  <c r="R9" i="244"/>
  <c r="R8" i="244" s="1"/>
  <c r="E29" i="230"/>
  <c r="W9" i="244" l="1"/>
  <c r="W8" i="244" s="1"/>
  <c r="H33" i="216"/>
  <c r="H26" i="247"/>
  <c r="DZ31" i="242"/>
  <c r="G18" i="233"/>
  <c r="FE18" i="242" s="1"/>
  <c r="E31" i="230"/>
  <c r="EN21" i="242"/>
  <c r="EO21" i="242"/>
  <c r="ES21" i="242"/>
  <c r="EU21" i="242"/>
  <c r="EP21" i="242"/>
  <c r="EQ21" i="242"/>
  <c r="EZ4" i="242"/>
  <c r="EZ3" i="242" s="1"/>
  <c r="EZ20" i="242" s="1"/>
  <c r="EZ21" i="242" s="1"/>
  <c r="EM21" i="242"/>
  <c r="ER21" i="242"/>
  <c r="ET21" i="242"/>
  <c r="EK21" i="242"/>
  <c r="EJ21" i="242"/>
  <c r="EL21" i="242"/>
  <c r="B10" i="246"/>
  <c r="B7" i="246"/>
  <c r="D18" i="233"/>
  <c r="FB18" i="242" s="1"/>
  <c r="DW31" i="242"/>
  <c r="E26" i="247"/>
  <c r="E20" i="241"/>
  <c r="F25" i="236" s="1"/>
  <c r="F20" i="241"/>
  <c r="G25" i="236" s="1"/>
  <c r="C13" i="247"/>
  <c r="G20" i="241"/>
  <c r="H25" i="236" s="1"/>
  <c r="J20" i="241"/>
  <c r="K25" i="236" s="1"/>
  <c r="L20" i="241"/>
  <c r="M25" i="236" s="1"/>
  <c r="I20" i="241"/>
  <c r="J25" i="236" s="1"/>
  <c r="D20" i="241"/>
  <c r="E25" i="236" s="1"/>
  <c r="B4" i="234"/>
  <c r="B5" i="234" s="1"/>
  <c r="K20" i="241"/>
  <c r="L25" i="236" s="1"/>
  <c r="H20" i="241"/>
  <c r="I25" i="236" s="1"/>
  <c r="B4" i="233"/>
  <c r="B3" i="233" s="1"/>
  <c r="B20" i="233" s="1"/>
  <c r="M20" i="241"/>
  <c r="N25" i="236" s="1"/>
  <c r="C20" i="241"/>
  <c r="D25" i="236" s="1"/>
  <c r="B20" i="241"/>
  <c r="C25" i="236" s="1"/>
  <c r="C26" i="236" s="1"/>
  <c r="C31" i="236" s="1"/>
  <c r="C33" i="236" s="1"/>
  <c r="C11" i="247"/>
  <c r="C18" i="233"/>
  <c r="FA18" i="242" s="1"/>
  <c r="U9" i="244"/>
  <c r="U8" i="244" s="1"/>
  <c r="D26" i="247"/>
  <c r="DV31" i="242"/>
  <c r="EK20" i="242" s="1"/>
  <c r="F33" i="216"/>
  <c r="E33" i="216"/>
  <c r="D16" i="241"/>
  <c r="E21" i="236"/>
  <c r="E23" i="236" s="1"/>
  <c r="E21" i="249"/>
  <c r="E23" i="249" s="1"/>
  <c r="E31" i="249" s="1"/>
  <c r="E33" i="249" s="1"/>
  <c r="EL19" i="242"/>
  <c r="C5" i="234"/>
  <c r="GH5" i="242" s="1"/>
  <c r="GH4" i="242"/>
  <c r="GG5" i="242" s="1"/>
  <c r="C19" i="241"/>
  <c r="C16" i="241"/>
  <c r="D21" i="236"/>
  <c r="D23" i="236" s="1"/>
  <c r="EK19" i="242"/>
  <c r="D21" i="249"/>
  <c r="D23" i="249" s="1"/>
  <c r="D31" i="249" s="1"/>
  <c r="D33" i="249" s="1"/>
  <c r="E36" i="230" l="1"/>
  <c r="EA31" i="242"/>
  <c r="I26" i="247"/>
  <c r="H18" i="233"/>
  <c r="FF18" i="242" s="1"/>
  <c r="E34" i="230"/>
  <c r="Q3" i="244"/>
  <c r="A2" i="244" s="1"/>
  <c r="R3" i="244" s="1"/>
  <c r="S3" i="244" s="1"/>
  <c r="T3" i="244" s="1"/>
  <c r="U3" i="244" s="1"/>
  <c r="V3" i="244" s="1"/>
  <c r="W3" i="244" s="1"/>
  <c r="X3" i="244" s="1"/>
  <c r="Y3" i="244" s="1"/>
  <c r="Z3" i="244" s="1"/>
  <c r="AA3" i="244" s="1"/>
  <c r="AB3" i="244" s="1"/>
  <c r="AC3" i="244" s="1"/>
  <c r="AD3" i="244" s="1"/>
  <c r="AE3" i="244" s="1"/>
  <c r="AF3" i="244" s="1"/>
  <c r="AG3" i="244" s="1"/>
  <c r="AH3" i="244" s="1"/>
  <c r="AI3" i="244" s="1"/>
  <c r="AJ3" i="244" s="1"/>
  <c r="AK3" i="244" s="1"/>
  <c r="AL3" i="244" s="1"/>
  <c r="AM3" i="244" s="1"/>
  <c r="AN3" i="244" s="1"/>
  <c r="AO3" i="244" s="1"/>
  <c r="AP3" i="244" s="1"/>
  <c r="AQ3" i="244" s="1"/>
  <c r="AR3" i="244" s="1"/>
  <c r="AS3" i="244" s="1"/>
  <c r="AT3" i="244" s="1"/>
  <c r="AU3" i="244" s="1"/>
  <c r="AV3" i="244" s="1"/>
  <c r="AW3" i="244" s="1"/>
  <c r="AX3" i="244" s="1"/>
  <c r="AY3" i="244" s="1"/>
  <c r="AZ3" i="244" s="1"/>
  <c r="BA3" i="244" s="1"/>
  <c r="BB3" i="244" s="1"/>
  <c r="BC3" i="244" s="1"/>
  <c r="BD3" i="244" s="1"/>
  <c r="BE3" i="244" s="1"/>
  <c r="BF3" i="244" s="1"/>
  <c r="BG3" i="244" s="1"/>
  <c r="BH3" i="244" s="1"/>
  <c r="BI3" i="244" s="1"/>
  <c r="BJ3" i="244" s="1"/>
  <c r="BK3" i="244" s="1"/>
  <c r="BL3" i="244" s="1"/>
  <c r="BM3" i="244" s="1"/>
  <c r="BN3" i="244" s="1"/>
  <c r="BO3" i="244" s="1"/>
  <c r="BP3" i="244" s="1"/>
  <c r="BQ3" i="244" s="1"/>
  <c r="BR3" i="244" s="1"/>
  <c r="BS3" i="244" s="1"/>
  <c r="BT3" i="244" s="1"/>
  <c r="BU3" i="244" s="1"/>
  <c r="BV3" i="244" s="1"/>
  <c r="BW3" i="244" s="1"/>
  <c r="BX3" i="244" s="1"/>
  <c r="C17" i="247"/>
  <c r="C18" i="247" s="1"/>
  <c r="C30" i="247" s="1"/>
  <c r="C32" i="247" s="1"/>
  <c r="D31" i="247" s="1"/>
  <c r="EL20" i="242"/>
  <c r="B15" i="241"/>
  <c r="EJ16" i="242" s="1"/>
  <c r="EK17" i="242"/>
  <c r="B21" i="233"/>
  <c r="B10" i="241" s="1"/>
  <c r="B3" i="234"/>
  <c r="C41" i="237"/>
  <c r="C42" i="237" s="1"/>
  <c r="D19" i="241"/>
  <c r="D24" i="236"/>
  <c r="D26" i="236" s="1"/>
  <c r="C41" i="250"/>
  <c r="C42" i="250" s="1"/>
  <c r="D11" i="250"/>
  <c r="D12" i="250" s="1"/>
  <c r="D5" i="237"/>
  <c r="D6" i="237" s="1"/>
  <c r="EL17" i="242"/>
  <c r="D7" i="237"/>
  <c r="D8" i="237" s="1"/>
  <c r="D11" i="237"/>
  <c r="D12" i="237" s="1"/>
  <c r="D5" i="250"/>
  <c r="D6" i="250" s="1"/>
  <c r="D7" i="250"/>
  <c r="D8" i="250" s="1"/>
  <c r="E18" i="233"/>
  <c r="FC18" i="242" s="1"/>
  <c r="F26" i="247"/>
  <c r="DX31" i="242"/>
  <c r="G26" i="247"/>
  <c r="F18" i="233"/>
  <c r="FD18" i="242" s="1"/>
  <c r="DY31" i="242"/>
  <c r="EM20" i="242" l="1"/>
  <c r="EN20" i="242" s="1"/>
  <c r="EO20" i="242" s="1"/>
  <c r="EP20" i="242" s="1"/>
  <c r="EQ20" i="242" s="1"/>
  <c r="ER20" i="242" s="1"/>
  <c r="ES20" i="242" s="1"/>
  <c r="ET20" i="242" s="1"/>
  <c r="EU20" i="242" s="1"/>
  <c r="E24" i="216"/>
  <c r="E26" i="216" s="1"/>
  <c r="G24" i="216"/>
  <c r="C24" i="216"/>
  <c r="D16" i="202"/>
  <c r="E16" i="202" s="1"/>
  <c r="D24" i="216"/>
  <c r="D17" i="233" s="1"/>
  <c r="FB17" i="242" s="1"/>
  <c r="D41" i="237"/>
  <c r="D42" i="237" s="1"/>
  <c r="E19" i="241"/>
  <c r="E24" i="236"/>
  <c r="E26" i="236" s="1"/>
  <c r="D41" i="250"/>
  <c r="D42" i="250" s="1"/>
  <c r="B6" i="234"/>
  <c r="GG3" i="242"/>
  <c r="GG6" i="242" s="1"/>
  <c r="B3" i="241"/>
  <c r="B2" i="241" s="1"/>
  <c r="B26" i="241" s="1"/>
  <c r="EJ11" i="242"/>
  <c r="EJ4" i="242" s="1"/>
  <c r="EJ3" i="242" s="1"/>
  <c r="L15" i="212" l="1"/>
  <c r="L18" i="212" s="1"/>
  <c r="E17" i="233"/>
  <c r="FC17" i="242" s="1"/>
  <c r="DX23" i="242"/>
  <c r="DX25" i="242" s="1"/>
  <c r="Y15" i="212"/>
  <c r="Y18" i="212" s="1"/>
  <c r="C17" i="233"/>
  <c r="FA17" i="242" s="1"/>
  <c r="H24" i="216"/>
  <c r="AA15" i="212"/>
  <c r="DZ23" i="242"/>
  <c r="DZ25" i="242" s="1"/>
  <c r="N15" i="212"/>
  <c r="G17" i="233"/>
  <c r="FE17" i="242" s="1"/>
  <c r="G26" i="216"/>
  <c r="DV23" i="242"/>
  <c r="DV25" i="242" s="1"/>
  <c r="F24" i="216"/>
  <c r="DY23" i="242" s="1"/>
  <c r="DY25" i="242" s="1"/>
  <c r="C26" i="216"/>
  <c r="C19" i="233" s="1"/>
  <c r="W15" i="212"/>
  <c r="W18" i="212" s="1"/>
  <c r="J15" i="212"/>
  <c r="CC15" i="242" s="1"/>
  <c r="CC18" i="242" s="1"/>
  <c r="X15" i="212"/>
  <c r="X18" i="212" s="1"/>
  <c r="BO17" i="242"/>
  <c r="BP17" i="242" s="1"/>
  <c r="D19" i="202"/>
  <c r="D20" i="202" s="1"/>
  <c r="D26" i="216"/>
  <c r="D49" i="216" s="1"/>
  <c r="K15" i="212"/>
  <c r="CD15" i="242" s="1"/>
  <c r="CD18" i="242" s="1"/>
  <c r="DW23" i="242"/>
  <c r="DW25" i="242" s="1"/>
  <c r="B7" i="234"/>
  <c r="B10" i="234"/>
  <c r="E41" i="237"/>
  <c r="E42" i="237" s="1"/>
  <c r="E41" i="250"/>
  <c r="E42" i="250" s="1"/>
  <c r="F19" i="241"/>
  <c r="F24" i="236"/>
  <c r="F26" i="236" s="1"/>
  <c r="E19" i="233"/>
  <c r="E49" i="216"/>
  <c r="E27" i="216"/>
  <c r="E28" i="216" s="1"/>
  <c r="F19" i="101"/>
  <c r="E19" i="202"/>
  <c r="E20" i="202" s="1"/>
  <c r="G15" i="212"/>
  <c r="GG7" i="242"/>
  <c r="GG10" i="242"/>
  <c r="D54" i="216"/>
  <c r="CE15" i="242" l="1"/>
  <c r="CE18" i="242" s="1"/>
  <c r="AL15" i="212"/>
  <c r="AL18" i="212" s="1"/>
  <c r="G19" i="233"/>
  <c r="G27" i="216"/>
  <c r="G49" i="216"/>
  <c r="AN15" i="212"/>
  <c r="AN18" i="212" s="1"/>
  <c r="AA18" i="212"/>
  <c r="EA23" i="242"/>
  <c r="EA25" i="242" s="1"/>
  <c r="O15" i="212"/>
  <c r="AB15" i="212"/>
  <c r="H17" i="233"/>
  <c r="FF17" i="242" s="1"/>
  <c r="H26" i="216"/>
  <c r="CG15" i="242"/>
  <c r="CG18" i="242" s="1"/>
  <c r="N18" i="212"/>
  <c r="F26" i="216"/>
  <c r="F27" i="216" s="1"/>
  <c r="J18" i="212"/>
  <c r="C3" i="218" s="1"/>
  <c r="C5" i="218" s="1"/>
  <c r="C49" i="216"/>
  <c r="D24" i="247" s="1"/>
  <c r="K18" i="212"/>
  <c r="D3" i="218" s="1"/>
  <c r="Z15" i="212"/>
  <c r="Z18" i="212" s="1"/>
  <c r="C27" i="216"/>
  <c r="C28" i="216" s="1"/>
  <c r="D6" i="247" s="1"/>
  <c r="D9" i="247" s="1"/>
  <c r="D18" i="247" s="1"/>
  <c r="F17" i="233"/>
  <c r="FD17" i="242" s="1"/>
  <c r="M15" i="212"/>
  <c r="M18" i="212" s="1"/>
  <c r="AJ15" i="212"/>
  <c r="AJ18" i="212" s="1"/>
  <c r="D19" i="233"/>
  <c r="BO20" i="242"/>
  <c r="BO21" i="242" s="1"/>
  <c r="D27" i="216"/>
  <c r="D28" i="216" s="1"/>
  <c r="D43" i="237" s="1"/>
  <c r="D44" i="237" s="1"/>
  <c r="AK15" i="212"/>
  <c r="AK18" i="212" s="1"/>
  <c r="E3" i="218"/>
  <c r="E4" i="218" s="1"/>
  <c r="F19" i="202"/>
  <c r="F17" i="202"/>
  <c r="F14" i="202"/>
  <c r="F16" i="202"/>
  <c r="F7" i="202"/>
  <c r="F10" i="202"/>
  <c r="F18" i="202"/>
  <c r="F4" i="202"/>
  <c r="F3" i="202"/>
  <c r="F20" i="202"/>
  <c r="F5" i="202"/>
  <c r="F13" i="202"/>
  <c r="F6" i="202"/>
  <c r="F8" i="202"/>
  <c r="F15" i="202"/>
  <c r="F12" i="202"/>
  <c r="F11" i="202"/>
  <c r="F9" i="202"/>
  <c r="E43" i="237"/>
  <c r="E44" i="237" s="1"/>
  <c r="E46" i="216"/>
  <c r="E43" i="250"/>
  <c r="E44" i="250" s="1"/>
  <c r="E21" i="250"/>
  <c r="E22" i="250" s="1"/>
  <c r="E21" i="237"/>
  <c r="E22" i="237" s="1"/>
  <c r="E45" i="237"/>
  <c r="E46" i="237" s="1"/>
  <c r="F6" i="247"/>
  <c r="F9" i="247" s="1"/>
  <c r="F18" i="247" s="1"/>
  <c r="E45" i="250"/>
  <c r="E46" i="250" s="1"/>
  <c r="BZ15" i="242"/>
  <c r="BP20" i="242"/>
  <c r="BP21" i="242" s="1"/>
  <c r="F41" i="237"/>
  <c r="F42" i="237" s="1"/>
  <c r="G24" i="236"/>
  <c r="G26" i="236" s="1"/>
  <c r="F41" i="250"/>
  <c r="F42" i="250" s="1"/>
  <c r="G19" i="241"/>
  <c r="DW36" i="242"/>
  <c r="E24" i="247"/>
  <c r="E16" i="233"/>
  <c r="F23" i="247"/>
  <c r="DX26" i="242"/>
  <c r="DX36" i="242"/>
  <c r="F24" i="247"/>
  <c r="G18" i="212"/>
  <c r="D15" i="212"/>
  <c r="D18" i="212" s="1"/>
  <c r="F15" i="212"/>
  <c r="F18" i="212" s="1"/>
  <c r="G3" i="218" l="1"/>
  <c r="H19" i="233"/>
  <c r="H49" i="216"/>
  <c r="H27" i="216"/>
  <c r="H28" i="216" s="1"/>
  <c r="AO15" i="212"/>
  <c r="AO18" i="212" s="1"/>
  <c r="AB18" i="212"/>
  <c r="H24" i="247"/>
  <c r="DZ36" i="242"/>
  <c r="CH15" i="242"/>
  <c r="CH18" i="242" s="1"/>
  <c r="O18" i="212"/>
  <c r="G28" i="216"/>
  <c r="H23" i="247"/>
  <c r="DZ26" i="242"/>
  <c r="G16" i="233"/>
  <c r="F19" i="233"/>
  <c r="F49" i="216"/>
  <c r="DY36" i="242" s="1"/>
  <c r="C43" i="237"/>
  <c r="C44" i="237" s="1"/>
  <c r="DV36" i="242"/>
  <c r="AM15" i="212"/>
  <c r="AM18" i="212" s="1"/>
  <c r="C21" i="250"/>
  <c r="C22" i="250" s="1"/>
  <c r="C16" i="233"/>
  <c r="C3" i="232" s="1"/>
  <c r="C7" i="232" s="1"/>
  <c r="C45" i="250"/>
  <c r="C46" i="250" s="1"/>
  <c r="CF15" i="242"/>
  <c r="CF18" i="242" s="1"/>
  <c r="DV26" i="242"/>
  <c r="DV27" i="242" s="1"/>
  <c r="C21" i="237"/>
  <c r="C22" i="237" s="1"/>
  <c r="C43" i="250"/>
  <c r="C44" i="250" s="1"/>
  <c r="D23" i="247"/>
  <c r="D29" i="247" s="1"/>
  <c r="D30" i="247" s="1"/>
  <c r="D32" i="247" s="1"/>
  <c r="C45" i="237"/>
  <c r="C46" i="237" s="1"/>
  <c r="C48" i="216"/>
  <c r="D48" i="216" s="1"/>
  <c r="E48" i="216" s="1"/>
  <c r="DX35" i="242" s="1"/>
  <c r="C46" i="216"/>
  <c r="D16" i="233"/>
  <c r="D3" i="232" s="1"/>
  <c r="D7" i="232" s="1"/>
  <c r="D11" i="232" s="1"/>
  <c r="D21" i="250"/>
  <c r="D22" i="250" s="1"/>
  <c r="E23" i="247"/>
  <c r="E29" i="247" s="1"/>
  <c r="D21" i="237"/>
  <c r="D22" i="237" s="1"/>
  <c r="D46" i="216"/>
  <c r="D43" i="250"/>
  <c r="D44" i="250" s="1"/>
  <c r="D45" i="237"/>
  <c r="D46" i="237" s="1"/>
  <c r="D45" i="250"/>
  <c r="D46" i="250" s="1"/>
  <c r="E6" i="247"/>
  <c r="E9" i="247" s="1"/>
  <c r="E18" i="247" s="1"/>
  <c r="DW26" i="242"/>
  <c r="DW27" i="242" s="1"/>
  <c r="F3" i="218"/>
  <c r="F5" i="218" s="1"/>
  <c r="C4" i="218"/>
  <c r="E5" i="218"/>
  <c r="G41" i="237"/>
  <c r="G42" i="237" s="1"/>
  <c r="G41" i="250"/>
  <c r="G42" i="250" s="1"/>
  <c r="H19" i="241"/>
  <c r="H24" i="236"/>
  <c r="H26" i="236" s="1"/>
  <c r="DX27" i="242"/>
  <c r="FC16" i="242"/>
  <c r="FT3" i="242" s="1"/>
  <c r="FT7" i="242" s="1"/>
  <c r="FT11" i="242" s="1"/>
  <c r="F29" i="247"/>
  <c r="F30" i="247" s="1"/>
  <c r="D4" i="218"/>
  <c r="D5" i="218"/>
  <c r="F28" i="216"/>
  <c r="DY26" i="242"/>
  <c r="G23" i="247"/>
  <c r="F16" i="233"/>
  <c r="E3" i="232"/>
  <c r="E7" i="232" s="1"/>
  <c r="E11" i="232" s="1"/>
  <c r="E11" i="233"/>
  <c r="E20" i="233" s="1"/>
  <c r="CR15" i="242"/>
  <c r="BY15" i="242"/>
  <c r="BY18" i="242" s="1"/>
  <c r="BZ18" i="242"/>
  <c r="CT15" i="242"/>
  <c r="CQ15" i="242"/>
  <c r="CV15" i="242"/>
  <c r="CS15" i="242"/>
  <c r="CX15" i="242"/>
  <c r="CZ15" i="242"/>
  <c r="CW15" i="242"/>
  <c r="CP15" i="242"/>
  <c r="BW15" i="242"/>
  <c r="BW18" i="242" s="1"/>
  <c r="CY15" i="242"/>
  <c r="CU15" i="242"/>
  <c r="H29" i="247" l="1"/>
  <c r="H21" i="237"/>
  <c r="H22" i="237" s="1"/>
  <c r="I6" i="247"/>
  <c r="I9" i="247" s="1"/>
  <c r="I18" i="247" s="1"/>
  <c r="H46" i="216"/>
  <c r="H21" i="250"/>
  <c r="H22" i="250" s="1"/>
  <c r="H45" i="250"/>
  <c r="H46" i="250" s="1"/>
  <c r="H45" i="237"/>
  <c r="H46" i="237" s="1"/>
  <c r="H43" i="237"/>
  <c r="H44" i="237" s="1"/>
  <c r="H43" i="250"/>
  <c r="H44" i="250" s="1"/>
  <c r="EA26" i="242"/>
  <c r="H16" i="233"/>
  <c r="I23" i="247"/>
  <c r="H6" i="247"/>
  <c r="H9" i="247" s="1"/>
  <c r="H18" i="247" s="1"/>
  <c r="G46" i="216"/>
  <c r="G21" i="237"/>
  <c r="G22" i="237" s="1"/>
  <c r="G21" i="250"/>
  <c r="G22" i="250" s="1"/>
  <c r="G43" i="237"/>
  <c r="G44" i="237" s="1"/>
  <c r="G45" i="237"/>
  <c r="G46" i="237" s="1"/>
  <c r="G45" i="250"/>
  <c r="G46" i="250" s="1"/>
  <c r="G43" i="250"/>
  <c r="G44" i="250" s="1"/>
  <c r="G3" i="232"/>
  <c r="G7" i="232" s="1"/>
  <c r="G11" i="232" s="1"/>
  <c r="G11" i="233"/>
  <c r="G20" i="233" s="1"/>
  <c r="I24" i="247"/>
  <c r="EA36" i="242"/>
  <c r="FE16" i="242"/>
  <c r="FV3" i="242" s="1"/>
  <c r="FV7" i="242" s="1"/>
  <c r="FV11" i="242" s="1"/>
  <c r="DZ27" i="242"/>
  <c r="H3" i="218"/>
  <c r="G4" i="218"/>
  <c r="G5" i="218"/>
  <c r="G24" i="247"/>
  <c r="G29" i="247" s="1"/>
  <c r="C11" i="233"/>
  <c r="C20" i="233" s="1"/>
  <c r="FA16" i="242"/>
  <c r="FR3" i="242" s="1"/>
  <c r="FR7" i="242" s="1"/>
  <c r="FR11" i="242" s="1"/>
  <c r="D29" i="236"/>
  <c r="C50" i="216"/>
  <c r="C52" i="216" s="1"/>
  <c r="DV35" i="242"/>
  <c r="FB16" i="242"/>
  <c r="FS3" i="242" s="1"/>
  <c r="FS7" i="242" s="1"/>
  <c r="D11" i="233"/>
  <c r="D20" i="233" s="1"/>
  <c r="D3" i="234" s="1"/>
  <c r="D6" i="234" s="1"/>
  <c r="D10" i="234" s="1"/>
  <c r="E30" i="247"/>
  <c r="E29" i="236"/>
  <c r="D50" i="216"/>
  <c r="D22" i="241" s="1"/>
  <c r="DW35" i="242"/>
  <c r="E50" i="216"/>
  <c r="DX37" i="242" s="1"/>
  <c r="EM23" i="242" s="1"/>
  <c r="F29" i="236"/>
  <c r="F48" i="216"/>
  <c r="F50" i="216" s="1"/>
  <c r="F4" i="218"/>
  <c r="F17" i="101"/>
  <c r="DO15" i="242"/>
  <c r="DO18" i="242" s="1"/>
  <c r="CZ18" i="242"/>
  <c r="L43" i="242" s="1"/>
  <c r="DJ15" i="242"/>
  <c r="DJ18" i="242" s="1"/>
  <c r="CU18" i="242"/>
  <c r="G43" i="242" s="1"/>
  <c r="CX18" i="242"/>
  <c r="J43" i="242" s="1"/>
  <c r="DM15" i="242"/>
  <c r="DM18" i="242" s="1"/>
  <c r="F3" i="232"/>
  <c r="F7" i="232" s="1"/>
  <c r="F11" i="233"/>
  <c r="F20" i="233" s="1"/>
  <c r="E31" i="247"/>
  <c r="D11" i="236"/>
  <c r="D12" i="236" s="1"/>
  <c r="D19" i="236" s="1"/>
  <c r="DX33" i="242"/>
  <c r="FC19" i="242"/>
  <c r="FC11" i="242" s="1"/>
  <c r="FC20" i="242" s="1"/>
  <c r="GJ3" i="242" s="1"/>
  <c r="GJ6" i="242" s="1"/>
  <c r="GJ10" i="242" s="1"/>
  <c r="C11" i="232"/>
  <c r="C8" i="232"/>
  <c r="D8" i="232" s="1"/>
  <c r="E8" i="232" s="1"/>
  <c r="CY18" i="242"/>
  <c r="K43" i="242" s="1"/>
  <c r="DN15" i="242"/>
  <c r="DN18" i="242" s="1"/>
  <c r="DH15" i="242"/>
  <c r="DH18" i="242" s="1"/>
  <c r="CS18" i="242"/>
  <c r="E43" i="242" s="1"/>
  <c r="DG15" i="242"/>
  <c r="DG18" i="242" s="1"/>
  <c r="CR18" i="242"/>
  <c r="D43" i="242" s="1"/>
  <c r="DW33" i="242"/>
  <c r="FB19" i="242"/>
  <c r="DK15" i="242"/>
  <c r="DK18" i="242" s="1"/>
  <c r="CV18" i="242"/>
  <c r="H43" i="242" s="1"/>
  <c r="FD16" i="242"/>
  <c r="FU3" i="242" s="1"/>
  <c r="FU7" i="242" s="1"/>
  <c r="DY27" i="242"/>
  <c r="DE15" i="242"/>
  <c r="DE18" i="242" s="1"/>
  <c r="CP18" i="242"/>
  <c r="B43" i="242" s="1"/>
  <c r="DF15" i="242"/>
  <c r="DF18" i="242" s="1"/>
  <c r="CQ18" i="242"/>
  <c r="C43" i="242" s="1"/>
  <c r="F21" i="250"/>
  <c r="F22" i="250" s="1"/>
  <c r="G6" i="247"/>
  <c r="G9" i="247" s="1"/>
  <c r="G18" i="247" s="1"/>
  <c r="F43" i="237"/>
  <c r="F44" i="237" s="1"/>
  <c r="F21" i="237"/>
  <c r="F22" i="237" s="1"/>
  <c r="F45" i="237"/>
  <c r="F46" i="237" s="1"/>
  <c r="F46" i="216"/>
  <c r="F45" i="250"/>
  <c r="F46" i="250" s="1"/>
  <c r="F43" i="250"/>
  <c r="F44" i="250" s="1"/>
  <c r="DV33" i="242"/>
  <c r="FA19" i="242"/>
  <c r="DL15" i="242"/>
  <c r="DL18" i="242" s="1"/>
  <c r="CW18" i="242"/>
  <c r="I43" i="242" s="1"/>
  <c r="DI15" i="242"/>
  <c r="DI18" i="242" s="1"/>
  <c r="CT18" i="242"/>
  <c r="F43" i="242" s="1"/>
  <c r="E3" i="246"/>
  <c r="E6" i="246" s="1"/>
  <c r="E3" i="234"/>
  <c r="E6" i="234" s="1"/>
  <c r="E10" i="234" s="1"/>
  <c r="I19" i="241"/>
  <c r="H41" i="237"/>
  <c r="H42" i="237" s="1"/>
  <c r="I24" i="236"/>
  <c r="I26" i="236" s="1"/>
  <c r="H41" i="250"/>
  <c r="H42" i="250" s="1"/>
  <c r="H30" i="247" l="1"/>
  <c r="C3" i="234"/>
  <c r="C6" i="234" s="1"/>
  <c r="C10" i="234" s="1"/>
  <c r="C11" i="237"/>
  <c r="C11" i="250"/>
  <c r="N22" i="250"/>
  <c r="N21" i="250" s="1"/>
  <c r="N44" i="237"/>
  <c r="N43" i="237" s="1"/>
  <c r="N44" i="250"/>
  <c r="N43" i="250" s="1"/>
  <c r="N22" i="237"/>
  <c r="N21" i="237" s="1"/>
  <c r="C3" i="246"/>
  <c r="C6" i="246" s="1"/>
  <c r="C7" i="246" s="1"/>
  <c r="N46" i="250"/>
  <c r="N45" i="250" s="1"/>
  <c r="I29" i="247"/>
  <c r="I30" i="247" s="1"/>
  <c r="N46" i="237"/>
  <c r="N45" i="237" s="1"/>
  <c r="H3" i="232"/>
  <c r="H7" i="232" s="1"/>
  <c r="H11" i="232" s="1"/>
  <c r="H11" i="233"/>
  <c r="H20" i="233" s="1"/>
  <c r="H4" i="218"/>
  <c r="H5" i="218"/>
  <c r="G3" i="234"/>
  <c r="G6" i="234" s="1"/>
  <c r="G10" i="234" s="1"/>
  <c r="G3" i="246"/>
  <c r="G6" i="246" s="1"/>
  <c r="G10" i="246" s="1"/>
  <c r="FF16" i="242"/>
  <c r="FW3" i="242" s="1"/>
  <c r="FW7" i="242" s="1"/>
  <c r="FW11" i="242" s="1"/>
  <c r="EA27" i="242"/>
  <c r="DZ33" i="242"/>
  <c r="FE19" i="242"/>
  <c r="FE11" i="242" s="1"/>
  <c r="FE20" i="242" s="1"/>
  <c r="GL3" i="242" s="1"/>
  <c r="GL6" i="242" s="1"/>
  <c r="GL10" i="242" s="1"/>
  <c r="FB11" i="242"/>
  <c r="FB20" i="242" s="1"/>
  <c r="GI3" i="242" s="1"/>
  <c r="GI6" i="242" s="1"/>
  <c r="GI10" i="242" s="1"/>
  <c r="C21" i="233"/>
  <c r="C10" i="241" s="1"/>
  <c r="C3" i="241" s="1"/>
  <c r="FR8" i="242"/>
  <c r="FS8" i="242" s="1"/>
  <c r="FT8" i="242" s="1"/>
  <c r="FU8" i="242" s="1"/>
  <c r="FV8" i="242" s="1"/>
  <c r="FA11" i="242"/>
  <c r="FA20" i="242" s="1"/>
  <c r="GH3" i="242" s="1"/>
  <c r="GH6" i="242" s="1"/>
  <c r="C22" i="241"/>
  <c r="D21" i="241" s="1"/>
  <c r="DV37" i="242"/>
  <c r="EK23" i="242" s="1"/>
  <c r="EL22" i="242" s="1"/>
  <c r="E22" i="241"/>
  <c r="D3" i="246"/>
  <c r="D6" i="246" s="1"/>
  <c r="D10" i="246" s="1"/>
  <c r="E32" i="247"/>
  <c r="E11" i="236" s="1"/>
  <c r="E12" i="236" s="1"/>
  <c r="E19" i="236" s="1"/>
  <c r="DW37" i="242"/>
  <c r="EL23" i="242" s="1"/>
  <c r="G48" i="216"/>
  <c r="DZ35" i="242" s="1"/>
  <c r="DY35" i="242"/>
  <c r="G29" i="236"/>
  <c r="G30" i="247"/>
  <c r="F45" i="242"/>
  <c r="F44" i="242"/>
  <c r="K44" i="242"/>
  <c r="K45" i="242"/>
  <c r="D45" i="242"/>
  <c r="D44" i="242"/>
  <c r="F3" i="246"/>
  <c r="F6" i="246" s="1"/>
  <c r="F3" i="234"/>
  <c r="F6" i="234" s="1"/>
  <c r="I44" i="242"/>
  <c r="I45" i="242"/>
  <c r="F11" i="232"/>
  <c r="F8" i="232"/>
  <c r="G8" i="232" s="1"/>
  <c r="D51" i="216"/>
  <c r="DV39" i="242"/>
  <c r="D28" i="236"/>
  <c r="D30" i="236" s="1"/>
  <c r="C45" i="242"/>
  <c r="C44" i="242"/>
  <c r="FS11" i="242"/>
  <c r="E44" i="242"/>
  <c r="E45" i="242"/>
  <c r="I41" i="237"/>
  <c r="I42" i="237" s="1"/>
  <c r="I41" i="250"/>
  <c r="I42" i="250" s="1"/>
  <c r="J19" i="241"/>
  <c r="J24" i="236"/>
  <c r="J26" i="236" s="1"/>
  <c r="FD19" i="242"/>
  <c r="FD11" i="242" s="1"/>
  <c r="FD20" i="242" s="1"/>
  <c r="GK3" i="242" s="1"/>
  <c r="GK6" i="242" s="1"/>
  <c r="GK10" i="242" s="1"/>
  <c r="DY33" i="242"/>
  <c r="J45" i="242"/>
  <c r="J44" i="242"/>
  <c r="L44" i="242"/>
  <c r="L45" i="242"/>
  <c r="H45" i="242"/>
  <c r="H44" i="242"/>
  <c r="E10" i="246"/>
  <c r="B44" i="242"/>
  <c r="B45" i="242"/>
  <c r="FU11" i="242"/>
  <c r="G44" i="242"/>
  <c r="G45" i="242"/>
  <c r="F22" i="241"/>
  <c r="DY37" i="242"/>
  <c r="FW8" i="242" l="1"/>
  <c r="FX8" i="242" s="1"/>
  <c r="FY8" i="242" s="1"/>
  <c r="FZ8" i="242" s="1"/>
  <c r="GA8" i="242" s="1"/>
  <c r="GB8" i="242" s="1"/>
  <c r="C7" i="234"/>
  <c r="D7" i="234" s="1"/>
  <c r="E7" i="234" s="1"/>
  <c r="F7" i="234" s="1"/>
  <c r="G7" i="234" s="1"/>
  <c r="C2" i="241"/>
  <c r="C29" i="237" s="1"/>
  <c r="C7" i="250"/>
  <c r="C5" i="250"/>
  <c r="C5" i="237"/>
  <c r="C7" i="237"/>
  <c r="C12" i="250"/>
  <c r="N12" i="250" s="1"/>
  <c r="N11" i="250" s="1"/>
  <c r="C12" i="237"/>
  <c r="N12" i="237" s="1"/>
  <c r="N11" i="237" s="1"/>
  <c r="C10" i="246"/>
  <c r="C7" i="218"/>
  <c r="M13" i="232" s="1"/>
  <c r="B12" i="232"/>
  <c r="C13" i="218" s="1"/>
  <c r="B46" i="242"/>
  <c r="J8" i="243" s="1"/>
  <c r="H8" i="232"/>
  <c r="I8" i="232" s="1"/>
  <c r="J8" i="232" s="1"/>
  <c r="K8" i="232" s="1"/>
  <c r="L8" i="232" s="1"/>
  <c r="M8" i="232" s="1"/>
  <c r="N8" i="232" s="1"/>
  <c r="H10" i="218"/>
  <c r="G10" i="218" s="1"/>
  <c r="F10" i="218" s="1"/>
  <c r="E10" i="218" s="1"/>
  <c r="D10" i="218" s="1"/>
  <c r="C10" i="218" s="1"/>
  <c r="EA33" i="242"/>
  <c r="FF19" i="242"/>
  <c r="FF11" i="242" s="1"/>
  <c r="FF20" i="242" s="1"/>
  <c r="GM3" i="242" s="1"/>
  <c r="GM6" i="242" s="1"/>
  <c r="GM10" i="242" s="1"/>
  <c r="H3" i="246"/>
  <c r="H6" i="246" s="1"/>
  <c r="H10" i="246" s="1"/>
  <c r="H3" i="234"/>
  <c r="H6" i="234" s="1"/>
  <c r="H10" i="234" s="1"/>
  <c r="FA21" i="242"/>
  <c r="EK11" i="242" s="1"/>
  <c r="EK4" i="242" s="1"/>
  <c r="EK3" i="242" s="1"/>
  <c r="D21" i="233"/>
  <c r="D10" i="241" s="1"/>
  <c r="D3" i="241" s="1"/>
  <c r="D2" i="241" s="1"/>
  <c r="D9" i="250" s="1"/>
  <c r="D10" i="250" s="1"/>
  <c r="C15" i="241"/>
  <c r="C37" i="250" s="1"/>
  <c r="C38" i="250" s="1"/>
  <c r="EM22" i="242"/>
  <c r="EN22" i="242" s="1"/>
  <c r="F31" i="247"/>
  <c r="F32" i="247" s="1"/>
  <c r="G31" i="247" s="1"/>
  <c r="G32" i="247" s="1"/>
  <c r="D7" i="246"/>
  <c r="E7" i="246" s="1"/>
  <c r="F7" i="246" s="1"/>
  <c r="G7" i="246" s="1"/>
  <c r="EN23" i="242"/>
  <c r="H29" i="236"/>
  <c r="G50" i="216"/>
  <c r="G22" i="241" s="1"/>
  <c r="H48" i="216"/>
  <c r="I29" i="236" s="1"/>
  <c r="C27" i="237"/>
  <c r="C27" i="250"/>
  <c r="FQ12" i="242"/>
  <c r="B50" i="242" s="1"/>
  <c r="J41" i="250"/>
  <c r="J42" i="250" s="1"/>
  <c r="K19" i="241"/>
  <c r="J41" i="237"/>
  <c r="J42" i="237" s="1"/>
  <c r="K24" i="236"/>
  <c r="K26" i="236" s="1"/>
  <c r="GH7" i="242"/>
  <c r="GH10" i="242"/>
  <c r="C39" i="250"/>
  <c r="C40" i="250" s="1"/>
  <c r="D31" i="236"/>
  <c r="D33" i="236" s="1"/>
  <c r="C35" i="237"/>
  <c r="C36" i="237" s="1"/>
  <c r="C35" i="250"/>
  <c r="C36" i="250" s="1"/>
  <c r="C39" i="237"/>
  <c r="C40" i="237" s="1"/>
  <c r="F10" i="234"/>
  <c r="DW38" i="242"/>
  <c r="D52" i="216"/>
  <c r="E21" i="241"/>
  <c r="D15" i="241"/>
  <c r="F10" i="246"/>
  <c r="C23" i="237" l="1"/>
  <c r="C24" i="237" s="1"/>
  <c r="C9" i="250"/>
  <c r="C10" i="250" s="1"/>
  <c r="C33" i="250"/>
  <c r="C34" i="250" s="1"/>
  <c r="C9" i="237"/>
  <c r="C10" i="237" s="1"/>
  <c r="C23" i="250"/>
  <c r="C24" i="250" s="1"/>
  <c r="C29" i="250"/>
  <c r="C31" i="250" s="1"/>
  <c r="C32" i="250" s="1"/>
  <c r="C33" i="237"/>
  <c r="C34" i="237" s="1"/>
  <c r="C8" i="237"/>
  <c r="N8" i="237" s="1"/>
  <c r="N7" i="237" s="1"/>
  <c r="C6" i="237"/>
  <c r="N6" i="237" s="1"/>
  <c r="N5" i="237" s="1"/>
  <c r="C6" i="250"/>
  <c r="N6" i="250" s="1"/>
  <c r="N5" i="250" s="1"/>
  <c r="C8" i="250"/>
  <c r="N8" i="250" s="1"/>
  <c r="N7" i="250" s="1"/>
  <c r="B17" i="246"/>
  <c r="C9" i="218" s="1"/>
  <c r="I12" i="246" s="1"/>
  <c r="L13" i="232"/>
  <c r="F13" i="232"/>
  <c r="I13" i="232"/>
  <c r="F15" i="101"/>
  <c r="D13" i="232"/>
  <c r="E13" i="232"/>
  <c r="K13" i="232"/>
  <c r="N13" i="232"/>
  <c r="H13" i="232"/>
  <c r="J13" i="232"/>
  <c r="B13" i="232"/>
  <c r="G13" i="232"/>
  <c r="C13" i="232"/>
  <c r="B11" i="246"/>
  <c r="C15" i="218" s="1"/>
  <c r="GG11" i="242"/>
  <c r="B47" i="242"/>
  <c r="H7" i="246"/>
  <c r="I7" i="246" s="1"/>
  <c r="J7" i="246" s="1"/>
  <c r="K7" i="246" s="1"/>
  <c r="L7" i="246" s="1"/>
  <c r="M7" i="246" s="1"/>
  <c r="N7" i="246" s="1"/>
  <c r="H7" i="234"/>
  <c r="I7" i="234" s="1"/>
  <c r="J7" i="234" s="1"/>
  <c r="K7" i="234" s="1"/>
  <c r="L7" i="234" s="1"/>
  <c r="M7" i="234" s="1"/>
  <c r="N7" i="234" s="1"/>
  <c r="B4" i="243"/>
  <c r="N8" i="243"/>
  <c r="L8" i="243"/>
  <c r="D4" i="243"/>
  <c r="F4" i="243"/>
  <c r="B11" i="234"/>
  <c r="C14" i="218" s="1"/>
  <c r="C8" i="218"/>
  <c r="M12" i="234" s="1"/>
  <c r="C16" i="246"/>
  <c r="B16" i="246" s="1"/>
  <c r="C12" i="218" s="1"/>
  <c r="F16" i="101" s="1"/>
  <c r="H11" i="218"/>
  <c r="G11" i="218" s="1"/>
  <c r="F11" i="218" s="1"/>
  <c r="E11" i="218" s="1"/>
  <c r="D11" i="218" s="1"/>
  <c r="C11" i="218" s="1"/>
  <c r="D33" i="250"/>
  <c r="D34" i="250" s="1"/>
  <c r="D33" i="237"/>
  <c r="D34" i="237" s="1"/>
  <c r="E21" i="233"/>
  <c r="E10" i="241" s="1"/>
  <c r="E3" i="241" s="1"/>
  <c r="E2" i="241" s="1"/>
  <c r="E9" i="237" s="1"/>
  <c r="E10" i="237" s="1"/>
  <c r="FB21" i="242"/>
  <c r="FC21" i="242" s="1"/>
  <c r="D23" i="250"/>
  <c r="D24" i="250" s="1"/>
  <c r="D9" i="237"/>
  <c r="D10" i="237" s="1"/>
  <c r="D23" i="237"/>
  <c r="D24" i="237" s="1"/>
  <c r="C26" i="241"/>
  <c r="EK16" i="242"/>
  <c r="C37" i="237"/>
  <c r="C38" i="237" s="1"/>
  <c r="C47" i="250"/>
  <c r="C48" i="250" s="1"/>
  <c r="C47" i="237"/>
  <c r="C48" i="237" s="1"/>
  <c r="EO22" i="242"/>
  <c r="F11" i="236"/>
  <c r="F12" i="236" s="1"/>
  <c r="F19" i="236" s="1"/>
  <c r="DZ37" i="242"/>
  <c r="EO23" i="242" s="1"/>
  <c r="I48" i="216"/>
  <c r="J29" i="236" s="1"/>
  <c r="H50" i="216"/>
  <c r="H22" i="241" s="1"/>
  <c r="EA35" i="242"/>
  <c r="C28" i="250"/>
  <c r="C28" i="237"/>
  <c r="C48" i="242"/>
  <c r="B48" i="242" s="1"/>
  <c r="C30" i="237"/>
  <c r="C31" i="237"/>
  <c r="C32" i="237" s="1"/>
  <c r="EL16" i="242"/>
  <c r="D26" i="241"/>
  <c r="D47" i="250"/>
  <c r="D48" i="250" s="1"/>
  <c r="D47" i="237"/>
  <c r="D48" i="237" s="1"/>
  <c r="E15" i="241"/>
  <c r="F21" i="241"/>
  <c r="K41" i="250"/>
  <c r="K42" i="250" s="1"/>
  <c r="K41" i="237"/>
  <c r="K42" i="237" s="1"/>
  <c r="L19" i="241"/>
  <c r="L24" i="236"/>
  <c r="L26" i="236" s="1"/>
  <c r="E51" i="216"/>
  <c r="DW39" i="242"/>
  <c r="E28" i="236"/>
  <c r="E30" i="236" s="1"/>
  <c r="G11" i="236"/>
  <c r="G12" i="236" s="1"/>
  <c r="G19" i="236" s="1"/>
  <c r="H31" i="247"/>
  <c r="H32" i="247" s="1"/>
  <c r="GI7" i="242"/>
  <c r="GJ7" i="242" s="1"/>
  <c r="GK7" i="242" s="1"/>
  <c r="GL7" i="242" s="1"/>
  <c r="GM7" i="242" s="1"/>
  <c r="GN7" i="242" s="1"/>
  <c r="GO7" i="242" s="1"/>
  <c r="GP7" i="242" s="1"/>
  <c r="C25" i="237" l="1"/>
  <c r="C26" i="237" s="1"/>
  <c r="C30" i="250"/>
  <c r="C25" i="250"/>
  <c r="C26" i="250" s="1"/>
  <c r="L12" i="246"/>
  <c r="M12" i="246"/>
  <c r="F12" i="246"/>
  <c r="H12" i="246"/>
  <c r="K12" i="246"/>
  <c r="B12" i="246"/>
  <c r="D12" i="246"/>
  <c r="G12" i="246"/>
  <c r="E12" i="246"/>
  <c r="J12" i="246"/>
  <c r="C12" i="246"/>
  <c r="N12" i="246"/>
  <c r="EL11" i="242"/>
  <c r="EL4" i="242" s="1"/>
  <c r="EL3" i="242" s="1"/>
  <c r="B14" i="232"/>
  <c r="E12" i="234"/>
  <c r="I12" i="234"/>
  <c r="B12" i="234"/>
  <c r="H12" i="234"/>
  <c r="D12" i="234"/>
  <c r="G12" i="234"/>
  <c r="K12" i="234"/>
  <c r="J12" i="234"/>
  <c r="L12" i="234"/>
  <c r="F12" i="234"/>
  <c r="N12" i="234"/>
  <c r="C12" i="234"/>
  <c r="E23" i="237"/>
  <c r="E24" i="237" s="1"/>
  <c r="E23" i="250"/>
  <c r="E24" i="250" s="1"/>
  <c r="E33" i="237"/>
  <c r="E34" i="237" s="1"/>
  <c r="E9" i="250"/>
  <c r="E10" i="250" s="1"/>
  <c r="E33" i="250"/>
  <c r="E34" i="250" s="1"/>
  <c r="F21" i="233"/>
  <c r="F10" i="241" s="1"/>
  <c r="F3" i="241" s="1"/>
  <c r="F2" i="241" s="1"/>
  <c r="F9" i="250" s="1"/>
  <c r="F10" i="250" s="1"/>
  <c r="EP22" i="242"/>
  <c r="EA37" i="242"/>
  <c r="EP23" i="242" s="1"/>
  <c r="EB35" i="242"/>
  <c r="I50" i="216"/>
  <c r="EB37" i="242" s="1"/>
  <c r="J48" i="216"/>
  <c r="J50" i="216" s="1"/>
  <c r="D37" i="237"/>
  <c r="D38" i="237" s="1"/>
  <c r="D27" i="237"/>
  <c r="D27" i="250"/>
  <c r="D37" i="250"/>
  <c r="D38" i="250" s="1"/>
  <c r="EM11" i="242"/>
  <c r="EM4" i="242" s="1"/>
  <c r="EM3" i="242" s="1"/>
  <c r="FD21" i="242"/>
  <c r="DX38" i="242"/>
  <c r="E52" i="216"/>
  <c r="F15" i="241"/>
  <c r="G21" i="241"/>
  <c r="GQ7" i="242"/>
  <c r="GR7" i="242" s="1"/>
  <c r="E47" i="237"/>
  <c r="E48" i="237" s="1"/>
  <c r="E26" i="241"/>
  <c r="E47" i="250"/>
  <c r="E48" i="250" s="1"/>
  <c r="EM16" i="242"/>
  <c r="H11" i="236"/>
  <c r="H12" i="236" s="1"/>
  <c r="H19" i="236" s="1"/>
  <c r="I31" i="247"/>
  <c r="I32" i="247" s="1"/>
  <c r="L41" i="237"/>
  <c r="L42" i="237" s="1"/>
  <c r="M24" i="236"/>
  <c r="M26" i="236" s="1"/>
  <c r="L41" i="250"/>
  <c r="L42" i="250" s="1"/>
  <c r="M19" i="241"/>
  <c r="D29" i="237"/>
  <c r="D29" i="250"/>
  <c r="D35" i="250"/>
  <c r="D36" i="250" s="1"/>
  <c r="D35" i="237"/>
  <c r="D36" i="237" s="1"/>
  <c r="D39" i="237"/>
  <c r="D40" i="237" s="1"/>
  <c r="E31" i="236"/>
  <c r="E33" i="236" s="1"/>
  <c r="D39" i="250"/>
  <c r="D40" i="250" s="1"/>
  <c r="B13" i="246" l="1"/>
  <c r="B13" i="234"/>
  <c r="F23" i="237"/>
  <c r="F24" i="237" s="1"/>
  <c r="F23" i="250"/>
  <c r="F24" i="250" s="1"/>
  <c r="F33" i="237"/>
  <c r="F34" i="237" s="1"/>
  <c r="G21" i="233"/>
  <c r="H21" i="233" s="1"/>
  <c r="H10" i="241" s="1"/>
  <c r="H3" i="241" s="1"/>
  <c r="H2" i="241" s="1"/>
  <c r="H9" i="250" s="1"/>
  <c r="H10" i="250" s="1"/>
  <c r="F33" i="250"/>
  <c r="F34" i="250" s="1"/>
  <c r="F9" i="237"/>
  <c r="F10" i="237" s="1"/>
  <c r="EQ22" i="242"/>
  <c r="I22" i="241"/>
  <c r="K29" i="236"/>
  <c r="EC35" i="242"/>
  <c r="EQ23" i="242"/>
  <c r="K48" i="216"/>
  <c r="L29" i="236" s="1"/>
  <c r="D25" i="250"/>
  <c r="D26" i="250" s="1"/>
  <c r="D28" i="250"/>
  <c r="D28" i="237"/>
  <c r="D25" i="237"/>
  <c r="D26" i="237" s="1"/>
  <c r="C49" i="242"/>
  <c r="B49" i="242" s="1"/>
  <c r="D30" i="237"/>
  <c r="D31" i="237"/>
  <c r="D32" i="237" s="1"/>
  <c r="EN16" i="242"/>
  <c r="F47" i="237"/>
  <c r="F48" i="237" s="1"/>
  <c r="F47" i="250"/>
  <c r="F48" i="250" s="1"/>
  <c r="F26" i="241"/>
  <c r="M41" i="237"/>
  <c r="M42" i="237" s="1"/>
  <c r="N42" i="237" s="1"/>
  <c r="N41" i="237" s="1"/>
  <c r="M41" i="250"/>
  <c r="M42" i="250" s="1"/>
  <c r="N42" i="250" s="1"/>
  <c r="N41" i="250" s="1"/>
  <c r="N24" i="236"/>
  <c r="N26" i="236" s="1"/>
  <c r="F51" i="216"/>
  <c r="DX39" i="242"/>
  <c r="F28" i="236"/>
  <c r="F30" i="236" s="1"/>
  <c r="FE21" i="242"/>
  <c r="EN11" i="242"/>
  <c r="EN4" i="242" s="1"/>
  <c r="EN3" i="242" s="1"/>
  <c r="D30" i="250"/>
  <c r="D31" i="250"/>
  <c r="D32" i="250" s="1"/>
  <c r="I11" i="236"/>
  <c r="I12" i="236" s="1"/>
  <c r="I19" i="236" s="1"/>
  <c r="J31" i="247"/>
  <c r="J32" i="247" s="1"/>
  <c r="G15" i="241"/>
  <c r="H21" i="241"/>
  <c r="J22" i="241"/>
  <c r="EC37" i="242"/>
  <c r="I21" i="233" l="1"/>
  <c r="I10" i="241" s="1"/>
  <c r="I3" i="241" s="1"/>
  <c r="I2" i="241" s="1"/>
  <c r="I9" i="237" s="1"/>
  <c r="I10" i="237" s="1"/>
  <c r="G10" i="241"/>
  <c r="G3" i="241" s="1"/>
  <c r="G2" i="241" s="1"/>
  <c r="G9" i="237" s="1"/>
  <c r="G10" i="237" s="1"/>
  <c r="ER22" i="242"/>
  <c r="ER23" i="242"/>
  <c r="ED35" i="242"/>
  <c r="K50" i="216"/>
  <c r="K22" i="241" s="1"/>
  <c r="L48" i="216"/>
  <c r="M48" i="216" s="1"/>
  <c r="M50" i="216" s="1"/>
  <c r="E27" i="250"/>
  <c r="E27" i="237"/>
  <c r="H23" i="237"/>
  <c r="H24" i="237" s="1"/>
  <c r="H9" i="237"/>
  <c r="H10" i="237" s="1"/>
  <c r="H33" i="237"/>
  <c r="H34" i="237" s="1"/>
  <c r="H33" i="250"/>
  <c r="H34" i="250" s="1"/>
  <c r="EO16" i="242"/>
  <c r="G47" i="250"/>
  <c r="G48" i="250" s="1"/>
  <c r="G47" i="237"/>
  <c r="G48" i="237" s="1"/>
  <c r="DY38" i="242"/>
  <c r="F52" i="216"/>
  <c r="K31" i="247"/>
  <c r="K32" i="247" s="1"/>
  <c r="J11" i="236"/>
  <c r="J12" i="236" s="1"/>
  <c r="J19" i="236" s="1"/>
  <c r="EO11" i="242"/>
  <c r="EO4" i="242" s="1"/>
  <c r="EO3" i="242" s="1"/>
  <c r="FF21" i="242"/>
  <c r="E39" i="237"/>
  <c r="E40" i="237" s="1"/>
  <c r="E39" i="250"/>
  <c r="E40" i="250" s="1"/>
  <c r="E35" i="250"/>
  <c r="E36" i="250" s="1"/>
  <c r="E35" i="237"/>
  <c r="E36" i="237" s="1"/>
  <c r="E29" i="250"/>
  <c r="E29" i="237"/>
  <c r="F31" i="236"/>
  <c r="F33" i="236" s="1"/>
  <c r="E37" i="237"/>
  <c r="E38" i="237" s="1"/>
  <c r="E37" i="250"/>
  <c r="E38" i="250" s="1"/>
  <c r="H23" i="250"/>
  <c r="H24" i="250" s="1"/>
  <c r="I21" i="241"/>
  <c r="H15" i="241"/>
  <c r="J21" i="233" l="1"/>
  <c r="J10" i="241" s="1"/>
  <c r="J3" i="241" s="1"/>
  <c r="J2" i="241" s="1"/>
  <c r="J9" i="250" s="1"/>
  <c r="J10" i="250" s="1"/>
  <c r="G23" i="250"/>
  <c r="G24" i="250" s="1"/>
  <c r="G23" i="237"/>
  <c r="G24" i="237" s="1"/>
  <c r="G33" i="250"/>
  <c r="G34" i="250" s="1"/>
  <c r="G33" i="237"/>
  <c r="G34" i="237" s="1"/>
  <c r="G9" i="250"/>
  <c r="G10" i="250" s="1"/>
  <c r="G26" i="241"/>
  <c r="ES22" i="242"/>
  <c r="ED37" i="242"/>
  <c r="ES23" i="242" s="1"/>
  <c r="L50" i="216"/>
  <c r="L22" i="241" s="1"/>
  <c r="M29" i="236"/>
  <c r="EE35" i="242"/>
  <c r="EF35" i="242"/>
  <c r="N29" i="236"/>
  <c r="E25" i="237"/>
  <c r="E26" i="237" s="1"/>
  <c r="E28" i="237"/>
  <c r="E28" i="250"/>
  <c r="E25" i="250"/>
  <c r="E26" i="250" s="1"/>
  <c r="I33" i="250"/>
  <c r="I34" i="250" s="1"/>
  <c r="I23" i="250"/>
  <c r="I24" i="250" s="1"/>
  <c r="I23" i="237"/>
  <c r="I24" i="237" s="1"/>
  <c r="I33" i="237"/>
  <c r="I34" i="237" s="1"/>
  <c r="I9" i="250"/>
  <c r="I10" i="250" s="1"/>
  <c r="FG21" i="242"/>
  <c r="EP11" i="242"/>
  <c r="EP4" i="242" s="1"/>
  <c r="EP3" i="242" s="1"/>
  <c r="K11" i="236"/>
  <c r="K12" i="236" s="1"/>
  <c r="K19" i="236" s="1"/>
  <c r="L31" i="247"/>
  <c r="L32" i="247" s="1"/>
  <c r="H47" i="250"/>
  <c r="H48" i="250" s="1"/>
  <c r="H47" i="237"/>
  <c r="H48" i="237" s="1"/>
  <c r="H26" i="241"/>
  <c r="EP16" i="242"/>
  <c r="E30" i="237"/>
  <c r="E31" i="237"/>
  <c r="E32" i="237" s="1"/>
  <c r="G51" i="216"/>
  <c r="G28" i="236"/>
  <c r="G30" i="236" s="1"/>
  <c r="DY39" i="242"/>
  <c r="I15" i="241"/>
  <c r="J21" i="241"/>
  <c r="E30" i="250"/>
  <c r="E31" i="250"/>
  <c r="E32" i="250" s="1"/>
  <c r="M22" i="241"/>
  <c r="EF37" i="242"/>
  <c r="K21" i="233" l="1"/>
  <c r="K10" i="241" s="1"/>
  <c r="K3" i="241" s="1"/>
  <c r="K2" i="241" s="1"/>
  <c r="K33" i="250" s="1"/>
  <c r="K34" i="250" s="1"/>
  <c r="ET22" i="242"/>
  <c r="EU23" i="242"/>
  <c r="EE37" i="242"/>
  <c r="ET23" i="242" s="1"/>
  <c r="J23" i="250"/>
  <c r="J24" i="250" s="1"/>
  <c r="J23" i="237"/>
  <c r="J24" i="237" s="1"/>
  <c r="J33" i="237"/>
  <c r="J34" i="237" s="1"/>
  <c r="J33" i="250"/>
  <c r="J34" i="250" s="1"/>
  <c r="J9" i="237"/>
  <c r="J10" i="237" s="1"/>
  <c r="K21" i="241"/>
  <c r="J15" i="241"/>
  <c r="I47" i="250"/>
  <c r="I48" i="250" s="1"/>
  <c r="EQ16" i="242"/>
  <c r="I47" i="237"/>
  <c r="I48" i="237" s="1"/>
  <c r="I26" i="241"/>
  <c r="L11" i="236"/>
  <c r="L12" i="236" s="1"/>
  <c r="L19" i="236" s="1"/>
  <c r="M31" i="247"/>
  <c r="M32" i="247" s="1"/>
  <c r="F39" i="250"/>
  <c r="F40" i="250" s="1"/>
  <c r="F27" i="250"/>
  <c r="F39" i="237"/>
  <c r="F40" i="237" s="1"/>
  <c r="F27" i="237"/>
  <c r="F35" i="250"/>
  <c r="F36" i="250" s="1"/>
  <c r="F35" i="237"/>
  <c r="F36" i="237" s="1"/>
  <c r="F29" i="250"/>
  <c r="F29" i="237"/>
  <c r="G31" i="236"/>
  <c r="G33" i="236" s="1"/>
  <c r="F37" i="250"/>
  <c r="F38" i="250" s="1"/>
  <c r="F37" i="237"/>
  <c r="F38" i="237" s="1"/>
  <c r="DZ38" i="242"/>
  <c r="G52" i="216"/>
  <c r="EQ11" i="242"/>
  <c r="EQ4" i="242" s="1"/>
  <c r="EQ3" i="242" s="1"/>
  <c r="FH21" i="242"/>
  <c r="L21" i="233" l="1"/>
  <c r="M21" i="233" s="1"/>
  <c r="EU22" i="242"/>
  <c r="K23" i="237"/>
  <c r="K24" i="237" s="1"/>
  <c r="K9" i="237"/>
  <c r="K10" i="237" s="1"/>
  <c r="K9" i="250"/>
  <c r="K10" i="250" s="1"/>
  <c r="K23" i="250"/>
  <c r="K24" i="250" s="1"/>
  <c r="K33" i="237"/>
  <c r="K34" i="237" s="1"/>
  <c r="H51" i="216"/>
  <c r="DZ39" i="242"/>
  <c r="H28" i="236"/>
  <c r="H30" i="236" s="1"/>
  <c r="F30" i="250"/>
  <c r="F31" i="250"/>
  <c r="F32" i="250" s="1"/>
  <c r="F25" i="237"/>
  <c r="F26" i="237" s="1"/>
  <c r="F28" i="237"/>
  <c r="M11" i="236"/>
  <c r="M12" i="236" s="1"/>
  <c r="M19" i="236" s="1"/>
  <c r="N31" i="247"/>
  <c r="N32" i="247" s="1"/>
  <c r="N11" i="236" s="1"/>
  <c r="N12" i="236" s="1"/>
  <c r="N19" i="236" s="1"/>
  <c r="FI21" i="242"/>
  <c r="ER11" i="242"/>
  <c r="ER4" i="242" s="1"/>
  <c r="ER3" i="242" s="1"/>
  <c r="ER16" i="242"/>
  <c r="J26" i="241"/>
  <c r="J47" i="250"/>
  <c r="J48" i="250" s="1"/>
  <c r="J47" i="237"/>
  <c r="J48" i="237" s="1"/>
  <c r="F30" i="237"/>
  <c r="F31" i="237"/>
  <c r="F32" i="237" s="1"/>
  <c r="F28" i="250"/>
  <c r="F25" i="250"/>
  <c r="F26" i="250" s="1"/>
  <c r="L21" i="241"/>
  <c r="K15" i="241"/>
  <c r="L10" i="241" l="1"/>
  <c r="L3" i="241" s="1"/>
  <c r="L2" i="241" s="1"/>
  <c r="L9" i="250" s="1"/>
  <c r="L10" i="250" s="1"/>
  <c r="K47" i="237"/>
  <c r="K48" i="237" s="1"/>
  <c r="K47" i="250"/>
  <c r="K48" i="250" s="1"/>
  <c r="K26" i="241"/>
  <c r="ES16" i="242"/>
  <c r="ES11" i="242"/>
  <c r="ES4" i="242" s="1"/>
  <c r="ES3" i="242" s="1"/>
  <c r="FJ21" i="242"/>
  <c r="M21" i="241"/>
  <c r="M15" i="241" s="1"/>
  <c r="L15" i="241"/>
  <c r="G35" i="237"/>
  <c r="G36" i="237" s="1"/>
  <c r="G39" i="250"/>
  <c r="G40" i="250" s="1"/>
  <c r="G35" i="250"/>
  <c r="G36" i="250" s="1"/>
  <c r="H31" i="236"/>
  <c r="H33" i="236" s="1"/>
  <c r="G29" i="237"/>
  <c r="G27" i="237"/>
  <c r="G39" i="237"/>
  <c r="G40" i="237" s="1"/>
  <c r="G29" i="250"/>
  <c r="G27" i="250"/>
  <c r="G37" i="237"/>
  <c r="G38" i="237" s="1"/>
  <c r="G37" i="250"/>
  <c r="G38" i="250" s="1"/>
  <c r="M10" i="241"/>
  <c r="M3" i="241" s="1"/>
  <c r="M2" i="241" s="1"/>
  <c r="M9" i="237" s="1"/>
  <c r="M10" i="237" s="1"/>
  <c r="N21" i="233"/>
  <c r="EA38" i="242"/>
  <c r="H52" i="216"/>
  <c r="L33" i="237" l="1"/>
  <c r="L34" i="237" s="1"/>
  <c r="L9" i="237"/>
  <c r="L10" i="237" s="1"/>
  <c r="N10" i="237" s="1"/>
  <c r="N9" i="237" s="1"/>
  <c r="L23" i="250"/>
  <c r="L24" i="250" s="1"/>
  <c r="L23" i="237"/>
  <c r="L24" i="237" s="1"/>
  <c r="L33" i="250"/>
  <c r="L34" i="250" s="1"/>
  <c r="M33" i="237"/>
  <c r="M34" i="237" s="1"/>
  <c r="M26" i="241"/>
  <c r="M33" i="250"/>
  <c r="M23" i="237"/>
  <c r="M24" i="237" s="1"/>
  <c r="M23" i="250"/>
  <c r="M24" i="250" s="1"/>
  <c r="I51" i="216"/>
  <c r="EA39" i="242"/>
  <c r="I28" i="236"/>
  <c r="I30" i="236" s="1"/>
  <c r="ET11" i="242"/>
  <c r="ET4" i="242" s="1"/>
  <c r="ET3" i="242" s="1"/>
  <c r="FK21" i="242"/>
  <c r="G25" i="250"/>
  <c r="G26" i="250" s="1"/>
  <c r="G28" i="250"/>
  <c r="G30" i="250"/>
  <c r="G31" i="250"/>
  <c r="G32" i="250" s="1"/>
  <c r="G25" i="237"/>
  <c r="G26" i="237" s="1"/>
  <c r="G28" i="237"/>
  <c r="L47" i="250"/>
  <c r="L48" i="250" s="1"/>
  <c r="L47" i="237"/>
  <c r="L48" i="237" s="1"/>
  <c r="L26" i="241"/>
  <c r="ET16" i="242"/>
  <c r="M9" i="250"/>
  <c r="M10" i="250" s="1"/>
  <c r="N10" i="250" s="1"/>
  <c r="N9" i="250" s="1"/>
  <c r="G30" i="237"/>
  <c r="G31" i="237"/>
  <c r="G32" i="237" s="1"/>
  <c r="EU16" i="242"/>
  <c r="M47" i="250"/>
  <c r="M48" i="250" s="1"/>
  <c r="M47" i="237"/>
  <c r="M48" i="237" s="1"/>
  <c r="N24" i="250" l="1"/>
  <c r="N23" i="250" s="1"/>
  <c r="N24" i="237"/>
  <c r="N23" i="237" s="1"/>
  <c r="N34" i="237"/>
  <c r="N33" i="237" s="1"/>
  <c r="M34" i="250"/>
  <c r="N34" i="250" s="1"/>
  <c r="N33" i="250" s="1"/>
  <c r="N48" i="237"/>
  <c r="N47" i="237" s="1"/>
  <c r="EU11" i="242"/>
  <c r="EU4" i="242" s="1"/>
  <c r="EU3" i="242" s="1"/>
  <c r="FL21" i="242"/>
  <c r="H29" i="237"/>
  <c r="H27" i="237"/>
  <c r="H39" i="237"/>
  <c r="H40" i="237" s="1"/>
  <c r="H39" i="250"/>
  <c r="H40" i="250" s="1"/>
  <c r="I31" i="236"/>
  <c r="I33" i="236" s="1"/>
  <c r="H35" i="237"/>
  <c r="H36" i="237" s="1"/>
  <c r="H35" i="250"/>
  <c r="H36" i="250" s="1"/>
  <c r="H29" i="250"/>
  <c r="H27" i="250"/>
  <c r="H37" i="250"/>
  <c r="H38" i="250" s="1"/>
  <c r="H37" i="237"/>
  <c r="H38" i="237" s="1"/>
  <c r="N48" i="250"/>
  <c r="N47" i="250" s="1"/>
  <c r="EB38" i="242"/>
  <c r="I52" i="216"/>
  <c r="H25" i="250" l="1"/>
  <c r="H26" i="250" s="1"/>
  <c r="H28" i="250"/>
  <c r="J51" i="216"/>
  <c r="EB39" i="242"/>
  <c r="J28" i="236"/>
  <c r="J30" i="236" s="1"/>
  <c r="H31" i="250"/>
  <c r="H32" i="250" s="1"/>
  <c r="H30" i="250"/>
  <c r="H25" i="237"/>
  <c r="H26" i="237" s="1"/>
  <c r="H28" i="237"/>
  <c r="H30" i="237"/>
  <c r="H31" i="237"/>
  <c r="H32" i="237" s="1"/>
  <c r="EC38" i="242" l="1"/>
  <c r="J52" i="216"/>
  <c r="I37" i="250"/>
  <c r="I38" i="250" s="1"/>
  <c r="I29" i="250"/>
  <c r="I27" i="250"/>
  <c r="J31" i="236"/>
  <c r="J33" i="236" s="1"/>
  <c r="I39" i="237"/>
  <c r="I40" i="237" s="1"/>
  <c r="I39" i="250"/>
  <c r="I40" i="250" s="1"/>
  <c r="I35" i="237"/>
  <c r="I36" i="237" s="1"/>
  <c r="I35" i="250"/>
  <c r="I36" i="250" s="1"/>
  <c r="I29" i="237"/>
  <c r="I27" i="237"/>
  <c r="I37" i="237"/>
  <c r="I38" i="237" s="1"/>
  <c r="I25" i="237" l="1"/>
  <c r="I26" i="237" s="1"/>
  <c r="I28" i="237"/>
  <c r="I25" i="250"/>
  <c r="I26" i="250" s="1"/>
  <c r="I28" i="250"/>
  <c r="I30" i="250"/>
  <c r="I31" i="250"/>
  <c r="I32" i="250" s="1"/>
  <c r="I30" i="237"/>
  <c r="I31" i="237"/>
  <c r="I32" i="237" s="1"/>
  <c r="K28" i="236"/>
  <c r="K30" i="236" s="1"/>
  <c r="EC39" i="242"/>
  <c r="K51" i="216"/>
  <c r="ED38" i="242" l="1"/>
  <c r="K52" i="216"/>
  <c r="J29" i="237"/>
  <c r="J27" i="237"/>
  <c r="J39" i="250"/>
  <c r="K31" i="236"/>
  <c r="K33" i="236" s="1"/>
  <c r="J37" i="237"/>
  <c r="J38" i="237" s="1"/>
  <c r="J39" i="237"/>
  <c r="J35" i="237"/>
  <c r="J36" i="237" s="1"/>
  <c r="J35" i="250"/>
  <c r="J36" i="250" s="1"/>
  <c r="J29" i="250"/>
  <c r="J27" i="250"/>
  <c r="J37" i="250"/>
  <c r="J38" i="250" s="1"/>
  <c r="J40" i="250" l="1"/>
  <c r="J25" i="237"/>
  <c r="J26" i="237" s="1"/>
  <c r="J28" i="237"/>
  <c r="J31" i="237"/>
  <c r="J32" i="237" s="1"/>
  <c r="J30" i="237"/>
  <c r="J25" i="250"/>
  <c r="J26" i="250" s="1"/>
  <c r="J28" i="250"/>
  <c r="J40" i="237"/>
  <c r="L28" i="236"/>
  <c r="L30" i="236" s="1"/>
  <c r="L51" i="216"/>
  <c r="ED39" i="242"/>
  <c r="J30" i="250"/>
  <c r="J31" i="250"/>
  <c r="J32" i="250" s="1"/>
  <c r="K39" i="237" l="1"/>
  <c r="L31" i="236"/>
  <c r="L33" i="236" s="1"/>
  <c r="K35" i="237"/>
  <c r="K36" i="237" s="1"/>
  <c r="K39" i="250"/>
  <c r="K37" i="250"/>
  <c r="K38" i="250" s="1"/>
  <c r="K37" i="237"/>
  <c r="K38" i="237" s="1"/>
  <c r="K27" i="237"/>
  <c r="K35" i="250"/>
  <c r="K36" i="250" s="1"/>
  <c r="K27" i="250"/>
  <c r="K29" i="237"/>
  <c r="K29" i="250"/>
  <c r="L52" i="216"/>
  <c r="EE38" i="242"/>
  <c r="K31" i="250" l="1"/>
  <c r="K32" i="250" s="1"/>
  <c r="K30" i="250"/>
  <c r="K40" i="250"/>
  <c r="K25" i="250"/>
  <c r="K26" i="250" s="1"/>
  <c r="K28" i="250"/>
  <c r="M51" i="216"/>
  <c r="EE39" i="242"/>
  <c r="M28" i="236"/>
  <c r="M30" i="236" s="1"/>
  <c r="K30" i="237"/>
  <c r="K31" i="237"/>
  <c r="K32" i="237" s="1"/>
  <c r="K25" i="237"/>
  <c r="K26" i="237" s="1"/>
  <c r="K28" i="237"/>
  <c r="K40" i="237"/>
  <c r="EF38" i="242" l="1"/>
  <c r="M52" i="216"/>
  <c r="L39" i="250"/>
  <c r="M31" i="236"/>
  <c r="M33" i="236" s="1"/>
  <c r="L37" i="250"/>
  <c r="L38" i="250" s="1"/>
  <c r="L35" i="250"/>
  <c r="L36" i="250" s="1"/>
  <c r="L39" i="237"/>
  <c r="L37" i="237"/>
  <c r="L38" i="237" s="1"/>
  <c r="L27" i="237"/>
  <c r="L27" i="250"/>
  <c r="L29" i="250"/>
  <c r="L29" i="237"/>
  <c r="L35" i="237"/>
  <c r="L36" i="237" s="1"/>
  <c r="L28" i="250" l="1"/>
  <c r="L25" i="250"/>
  <c r="L26" i="250" s="1"/>
  <c r="L40" i="250"/>
  <c r="EF39" i="242"/>
  <c r="N28" i="236"/>
  <c r="N30" i="236" s="1"/>
  <c r="L30" i="237"/>
  <c r="L31" i="237"/>
  <c r="L32" i="237" s="1"/>
  <c r="L30" i="250"/>
  <c r="L31" i="250"/>
  <c r="L32" i="250" s="1"/>
  <c r="L25" i="237"/>
  <c r="L26" i="237" s="1"/>
  <c r="L28" i="237"/>
  <c r="L40" i="237"/>
  <c r="M27" i="250" l="1"/>
  <c r="M29" i="250"/>
  <c r="M39" i="237"/>
  <c r="N31" i="236"/>
  <c r="N33" i="236" s="1"/>
  <c r="M35" i="237"/>
  <c r="M36" i="237" s="1"/>
  <c r="N36" i="237" s="1"/>
  <c r="N35" i="237" s="1"/>
  <c r="M29" i="237"/>
  <c r="M35" i="250"/>
  <c r="M36" i="250" s="1"/>
  <c r="N36" i="250" s="1"/>
  <c r="N35" i="250" s="1"/>
  <c r="M27" i="237"/>
  <c r="M37" i="250"/>
  <c r="M38" i="250" s="1"/>
  <c r="N38" i="250" s="1"/>
  <c r="N37" i="250" s="1"/>
  <c r="M37" i="237"/>
  <c r="M38" i="237" s="1"/>
  <c r="N38" i="237" s="1"/>
  <c r="N37" i="237" s="1"/>
  <c r="M39" i="250"/>
  <c r="M30" i="237" l="1"/>
  <c r="N30" i="237" s="1"/>
  <c r="N29" i="237" s="1"/>
  <c r="M31" i="237"/>
  <c r="M32" i="237" s="1"/>
  <c r="N32" i="237" s="1"/>
  <c r="N31" i="237" s="1"/>
  <c r="M40" i="250"/>
  <c r="N40" i="250" s="1"/>
  <c r="N39" i="250"/>
  <c r="M40" i="237"/>
  <c r="N40" i="237" s="1"/>
  <c r="N39" i="237" s="1"/>
  <c r="M25" i="237"/>
  <c r="M26" i="237" s="1"/>
  <c r="N26" i="237" s="1"/>
  <c r="N25" i="237" s="1"/>
  <c r="M28" i="237"/>
  <c r="N28" i="237" s="1"/>
  <c r="N27" i="237" s="1"/>
  <c r="M30" i="250"/>
  <c r="N30" i="250" s="1"/>
  <c r="N29" i="250" s="1"/>
  <c r="M31" i="250"/>
  <c r="M32" i="250" s="1"/>
  <c r="N32" i="250" s="1"/>
  <c r="N31" i="250" s="1"/>
  <c r="M25" i="250"/>
  <c r="M26" i="250" s="1"/>
  <c r="N26" i="250" s="1"/>
  <c r="N25" i="250" s="1"/>
  <c r="M28" i="250"/>
  <c r="N28" i="250" s="1"/>
  <c r="N27" i="250" s="1"/>
</calcChain>
</file>

<file path=xl/sharedStrings.xml><?xml version="1.0" encoding="utf-8"?>
<sst xmlns="http://schemas.openxmlformats.org/spreadsheetml/2006/main" count="1123" uniqueCount="633">
  <si>
    <t>منابع خارج ازشركت</t>
  </si>
  <si>
    <t xml:space="preserve">جاري شركا </t>
  </si>
  <si>
    <t>اصل اقساط تسهيلات ارزي</t>
  </si>
  <si>
    <t>اصل اقساط تسهيلات بلند مدت ريالي</t>
  </si>
  <si>
    <t xml:space="preserve"> اصل تسهيلات كوتاه مدت </t>
  </si>
  <si>
    <t xml:space="preserve"> وام شركا</t>
  </si>
  <si>
    <t>رديف</t>
  </si>
  <si>
    <t>شرح</t>
  </si>
  <si>
    <t>جمع</t>
  </si>
  <si>
    <t>ساختمان توليدي و اداري</t>
  </si>
  <si>
    <t>وسائط نقليه</t>
  </si>
  <si>
    <t>اثاثيه و تجهيزات اداري</t>
  </si>
  <si>
    <t>واحد</t>
  </si>
  <si>
    <t>سال</t>
  </si>
  <si>
    <t>جمع كل</t>
  </si>
  <si>
    <t>جـــــــــــــــــــــــــــــمع</t>
  </si>
  <si>
    <t>جـــــــــــــــمع</t>
  </si>
  <si>
    <t>جــــــــــــــــــــــــمع</t>
  </si>
  <si>
    <t>جــــــــــــــــــــــــــــــــمع</t>
  </si>
  <si>
    <t>جـــــــــــــمع</t>
  </si>
  <si>
    <t xml:space="preserve"> شرح </t>
  </si>
  <si>
    <t>نوع طرح:</t>
  </si>
  <si>
    <t>مدير عامل:</t>
  </si>
  <si>
    <t>رئيس هيئت مديره:</t>
  </si>
  <si>
    <t>درصد</t>
  </si>
  <si>
    <t xml:space="preserve">زمين </t>
  </si>
  <si>
    <t>مورد نياز</t>
  </si>
  <si>
    <t>محوطه سازي</t>
  </si>
  <si>
    <t>شاخصهاي مالي و اقتصادي طرح</t>
  </si>
  <si>
    <t>تجهيزات اطفاي حريق</t>
  </si>
  <si>
    <t>مطالعات و تهيه نقشه هاي اجرايي ، نقشه ساختماني اخذ مجوزهاي لازم  و ...</t>
  </si>
  <si>
    <t>هزينه راه اندازي و توليد آزمايشي و آموزش پرسنل</t>
  </si>
  <si>
    <t>هزينه مشاور و تهيه طرح توجيهي توسط مشاور</t>
  </si>
  <si>
    <t>برق</t>
  </si>
  <si>
    <t>آب</t>
  </si>
  <si>
    <t>ليتر</t>
  </si>
  <si>
    <t>مترمكعب</t>
  </si>
  <si>
    <t>استهلاك</t>
  </si>
  <si>
    <t>هزينه هاي مالي</t>
  </si>
  <si>
    <t>جمع هزينه هاي توليد</t>
  </si>
  <si>
    <t>هزينه بيمه (2 درهزار كل وام)</t>
  </si>
  <si>
    <t>هزينه افزايش سرمايه (2 در هزار افزايش سرمايه)</t>
  </si>
  <si>
    <t>تعداد</t>
  </si>
  <si>
    <t>جمع دارائي هاي ثابت</t>
  </si>
  <si>
    <t>هزينه هاي قبل از بهره برداري</t>
  </si>
  <si>
    <t>جمع هزينه هاي سرمايه گذاري ثابت</t>
  </si>
  <si>
    <t>سرمايه در گردش</t>
  </si>
  <si>
    <t>جمع كل هزينه هاي سرمايه گذاري طرح</t>
  </si>
  <si>
    <t>هزينه مشاوره و نظارت بر اجراي طرح</t>
  </si>
  <si>
    <t>تنخواه گردان</t>
  </si>
  <si>
    <t>بخش موجود 
(نفر)</t>
  </si>
  <si>
    <t>بخش توسعه 
(نفر)</t>
  </si>
  <si>
    <t>جمع
(نفر)</t>
  </si>
  <si>
    <t>حقوق ماهيانه
(هزار ريال)</t>
  </si>
  <si>
    <t>جمع حقوق ساليانه
(ميليون ريال)</t>
  </si>
  <si>
    <t>مديريت</t>
  </si>
  <si>
    <t>مهندس</t>
  </si>
  <si>
    <t>تكنسين</t>
  </si>
  <si>
    <t>كارگر ماهر</t>
  </si>
  <si>
    <t>كارگر ساده</t>
  </si>
  <si>
    <t>نيروي انساني مستقيم توليد</t>
  </si>
  <si>
    <t>مزاياي شغلي و بيمه وپاداش(100%)</t>
  </si>
  <si>
    <t>نيروي انساني غيرمستقيم توليد</t>
  </si>
  <si>
    <t>نيروي انساني اداري</t>
  </si>
  <si>
    <t>هزينه واحد
 (ريال)</t>
  </si>
  <si>
    <t>درصد تعميرات و نگهداري</t>
  </si>
  <si>
    <t>---</t>
  </si>
  <si>
    <t>هزينه تعميرات و نگهداري</t>
  </si>
  <si>
    <t xml:space="preserve">جمع </t>
  </si>
  <si>
    <t>هزينه ثابت</t>
  </si>
  <si>
    <t>هزينه متغير</t>
  </si>
  <si>
    <t>هزينه</t>
  </si>
  <si>
    <t>جمع هزينه هاي ثابت و متغير</t>
  </si>
  <si>
    <t>قطعات يدكي (1.5% هزينه هاي سرمايه گذاري بدون زمين)</t>
  </si>
  <si>
    <t>سرمايش و گرمايش</t>
  </si>
  <si>
    <t>سوخت</t>
  </si>
  <si>
    <t>مساحت
(متر مربع)</t>
  </si>
  <si>
    <t>جمع هزينه هاي غير عملياتي</t>
  </si>
  <si>
    <t>حقوق و دستمزد پرسنل اداري</t>
  </si>
  <si>
    <t>حقوق و دستمزد پرسنل مستقيم توليد</t>
  </si>
  <si>
    <t>حقوق و دستمزد پرسنل غير مستقيم توليد</t>
  </si>
  <si>
    <t>جمع هزينه هاي بهره برداري ساليانه</t>
  </si>
  <si>
    <t>مبلغ وام</t>
  </si>
  <si>
    <t>مبلغ سرمايه گذاري ثابت</t>
  </si>
  <si>
    <t>درصد استهلاك</t>
  </si>
  <si>
    <t>هزينه استهلاك</t>
  </si>
  <si>
    <t>گاز</t>
  </si>
  <si>
    <t>جمع هزينه هاي  عملياتي</t>
  </si>
  <si>
    <t>استهلاك هزينه هاي قبل از بهره برداري</t>
  </si>
  <si>
    <t>هواكش صنعتي</t>
  </si>
  <si>
    <t>درصد ضايعات</t>
  </si>
  <si>
    <t>هزينه ريالي واحد محصول( ريال)</t>
  </si>
  <si>
    <t>ظرفيت اسمي</t>
  </si>
  <si>
    <t>ميزان توليدات</t>
  </si>
  <si>
    <t xml:space="preserve">ضايعات قابل فروش </t>
  </si>
  <si>
    <t xml:space="preserve">ميزان فروش توليدات </t>
  </si>
  <si>
    <t>تعداد ماههاي فعاليت</t>
  </si>
  <si>
    <t>متر مكعب</t>
  </si>
  <si>
    <t>درصد استفاده از ظرفيت عملي</t>
  </si>
  <si>
    <t>درصد استفاده از ظرفيت اسمي</t>
  </si>
  <si>
    <t>نگهداري و تعميرات</t>
  </si>
  <si>
    <t>انجام شده</t>
  </si>
  <si>
    <t>كل سرمايه گذاري طرح:</t>
  </si>
  <si>
    <t>سود خالص در سال مبنا:</t>
  </si>
  <si>
    <t>درآمد حاصله در سال مبنا:</t>
  </si>
  <si>
    <t>سرمايه در گردش:</t>
  </si>
  <si>
    <t>موجود</t>
  </si>
  <si>
    <t>متراژ مورد نظر (مترمربع)</t>
  </si>
  <si>
    <t>مساحت (مترمربع)</t>
  </si>
  <si>
    <t xml:space="preserve"> زمين ( ارقام به هزار ريال )</t>
  </si>
  <si>
    <t>بهاي واحد
(ريال)</t>
  </si>
  <si>
    <t>محوطه سازي (ارقام به هزار ريال)</t>
  </si>
  <si>
    <t>ساختمان سازي (ارقام به هزار ريال)</t>
  </si>
  <si>
    <t>مشخصات فني</t>
  </si>
  <si>
    <t>هزينه كل (هزار ريال)</t>
  </si>
  <si>
    <t>ماشين آلات و تجهيزات (ارقام به هزار ريال)</t>
  </si>
  <si>
    <t>وسايل و اثاثه اداري (ارقام به هزار ريال)</t>
  </si>
  <si>
    <t>مدل</t>
  </si>
  <si>
    <t>هزينه‌هاي قبل از بهره ‌برداري ( ارقام به هزار ريال )</t>
  </si>
  <si>
    <t>ساير هزينه هاي بخش ثابت (ارقام به هزار ريال)</t>
  </si>
  <si>
    <t>تاسيسات و تجهيزات عمومي</t>
  </si>
  <si>
    <t xml:space="preserve">ماشين آلات و تجهيزات </t>
  </si>
  <si>
    <t>ساير هزينه هاي بخش ثابت</t>
  </si>
  <si>
    <t>هزينه ساليانه تامين مواد
(هزار ريال)</t>
  </si>
  <si>
    <t>تعداد  (نفر)</t>
  </si>
  <si>
    <t xml:space="preserve">جمع حقوق ساليانه
با احتساب پاداش (14 ماه) </t>
  </si>
  <si>
    <t>موجود 
(هزار ريال)</t>
  </si>
  <si>
    <t>مورد نياز
(هزار ريال)</t>
  </si>
  <si>
    <t>23% بيمه تامين اجتماعي سهم كارفرما</t>
  </si>
  <si>
    <t>جمع حقوق و دستمزد</t>
  </si>
  <si>
    <t>حقوق 12 ماه</t>
  </si>
  <si>
    <t>ميزان مصرف در هر ماه</t>
  </si>
  <si>
    <t>ميزان مصرف در هر سال</t>
  </si>
  <si>
    <t>هزينه مصرف سالانه (هزار ريال)</t>
  </si>
  <si>
    <t>ميزان سرمايه گذاري(هزار ريال)</t>
  </si>
  <si>
    <t>هزينه تعميرات و نگهداري ( ارقام به هزار ريال )</t>
  </si>
  <si>
    <t>هزينه استهلاك ( ارقام به هزار ريال )</t>
  </si>
  <si>
    <t xml:space="preserve">مواد اوليه </t>
  </si>
  <si>
    <t>تاسيسات مصرفي</t>
  </si>
  <si>
    <t>شاخص</t>
  </si>
  <si>
    <t>ظرفيت توليدي طرح</t>
  </si>
  <si>
    <t>جمع كل فروش (هزار ريال)</t>
  </si>
  <si>
    <t>جمع كل سرمايه گذاري طرح</t>
  </si>
  <si>
    <t>فروش خالص</t>
  </si>
  <si>
    <t>پيش بيني عملكرد سود و زيان طرح (ارقام به هزار ريال)</t>
  </si>
  <si>
    <t>هزينه هاي توليد:</t>
  </si>
  <si>
    <t>سود عملياتي</t>
  </si>
  <si>
    <t>سود تسهيلات بلند مدت</t>
  </si>
  <si>
    <t>سود تسهيلات كوتاه مدت</t>
  </si>
  <si>
    <t>سود ويژه قبل از ماليات</t>
  </si>
  <si>
    <t>اضافه مي شود:</t>
  </si>
  <si>
    <t>كسر مي شود:</t>
  </si>
  <si>
    <t>اصل تسهيلات بلند مدت</t>
  </si>
  <si>
    <t>اصل تسهيلات كوتاه مدت</t>
  </si>
  <si>
    <t>مازاد/كمبود نقدي</t>
  </si>
  <si>
    <t>فروش كل</t>
  </si>
  <si>
    <t>هزينه واحد
(هزار ريال)</t>
  </si>
  <si>
    <t xml:space="preserve"> تاسيسات برقي( ارقام به هزار ريال )</t>
  </si>
  <si>
    <t xml:space="preserve"> تاسيسات آبي( ارقام به هزار ريال )</t>
  </si>
  <si>
    <t>تعداد/مقدار
مورد نياز</t>
  </si>
  <si>
    <t xml:space="preserve"> تاسيسات سرمايش و گرمايش( ارقام به هزار ريال )</t>
  </si>
  <si>
    <t xml:space="preserve"> تاسيسات اطفاء حريق( ارقام به هزار ريال )</t>
  </si>
  <si>
    <t>هزينه واحد 
(هزار ريال)</t>
  </si>
  <si>
    <t>هزينه واحد (هزار ريال)</t>
  </si>
  <si>
    <t xml:space="preserve">سال اول </t>
  </si>
  <si>
    <t>سال دوم</t>
  </si>
  <si>
    <t>سال سوم</t>
  </si>
  <si>
    <t>سال چهارم</t>
  </si>
  <si>
    <t>سال پنجم</t>
  </si>
  <si>
    <t>ميزان توليد در 100% ظرفيت اسمي</t>
  </si>
  <si>
    <t>ميزان مواد مورد نياز در100% ظرفيت اسمي</t>
  </si>
  <si>
    <t>هزينه كل در 
حداكثر ظرفيت اسمي</t>
  </si>
  <si>
    <t>تعداد/مقدار
انجام شده</t>
  </si>
  <si>
    <t>جــــــــــــمع</t>
  </si>
  <si>
    <t>وسائط نقليه (ارقام به هزار ريال)</t>
  </si>
  <si>
    <t>سرمايه گذاري طرح ( ارقام به هزار ريال )</t>
  </si>
  <si>
    <t>سرمايه در گردش (ارقام به هزار ريال)</t>
  </si>
  <si>
    <t>ماه</t>
  </si>
  <si>
    <t xml:space="preserve">درصد
 مصرف </t>
  </si>
  <si>
    <t>هزينه هاي ثابت و متغيير  (ارقام به هزار ريال)</t>
  </si>
  <si>
    <t>هزينه هاي توليد (ارقام به هزار ريال)</t>
  </si>
  <si>
    <t>ميزان فروش طرح (ارقام به هزار ريال)</t>
  </si>
  <si>
    <t>منابع سرمايه گذاري طرح  (ارقام به هزار ريال)</t>
  </si>
  <si>
    <t>هزينه ساليانه مواد اوليه طرح</t>
  </si>
  <si>
    <t>نيروي انساني غيرمستقيم توليد در طرح</t>
  </si>
  <si>
    <t>نيروي انساني مستقيم توليد در طرح</t>
  </si>
  <si>
    <t>نيروي انساني اداري در طرح</t>
  </si>
  <si>
    <t xml:space="preserve">هزينه سوخت و انرژي مصرفي ساليانه طرح </t>
  </si>
  <si>
    <t>هزار ريال</t>
  </si>
  <si>
    <t>جمع سرمايه گذاري
 موردنياز</t>
  </si>
  <si>
    <t>جمع كل سرمايه گذاري</t>
  </si>
  <si>
    <t>مبلغ تسهيلات بلند مدت:</t>
  </si>
  <si>
    <t xml:space="preserve">نرخ سود تسهيلات بلند مدت: </t>
  </si>
  <si>
    <t>تعداد اقساط:</t>
  </si>
  <si>
    <t>دوره اقساط(ماه):</t>
  </si>
  <si>
    <t>مدت بازپرداخت (ماه):</t>
  </si>
  <si>
    <t>مدت بازپرداخت (سال):</t>
  </si>
  <si>
    <t>سود ساليانه بلند مدت:</t>
  </si>
  <si>
    <t>اصل تسهيلات بلند مدت ساليانه:</t>
  </si>
  <si>
    <t xml:space="preserve">مبلغ تسهيلات كوتاه مدت: </t>
  </si>
  <si>
    <t xml:space="preserve">نرخ سود تسهيلات كوتاه مدت: </t>
  </si>
  <si>
    <t>كل سود تسهيلات كوتاه مدت;</t>
  </si>
  <si>
    <t>سهم متقاضي</t>
  </si>
  <si>
    <t>مشخصات عمومي و سوابق ثبتي شركت</t>
  </si>
  <si>
    <t xml:space="preserve">تركيب اعضاء هيئت مديره </t>
  </si>
  <si>
    <t>نام:</t>
  </si>
  <si>
    <t>موضوع فعاليت:</t>
  </si>
  <si>
    <t>تعداد اعضاء:</t>
  </si>
  <si>
    <t>نايب رئيس هيئت مديره:</t>
  </si>
  <si>
    <t>تاريخ و شماره ثبت:</t>
  </si>
  <si>
    <t>هزينه هاي سرمايه گذاري طرح</t>
  </si>
  <si>
    <t>سرمايه ثابت:</t>
  </si>
  <si>
    <t>بخش اقتصادي:</t>
  </si>
  <si>
    <t>سرمايه گذاري انجام شده:</t>
  </si>
  <si>
    <t>مجوزهاي فعاليت:</t>
  </si>
  <si>
    <t>سرمايه گذاري مورد نياز در بخش ثابت:</t>
  </si>
  <si>
    <t>سرمايه گذاري مورد نياز در بخش جاري:</t>
  </si>
  <si>
    <t>موضوع درخواست تسهيلات</t>
  </si>
  <si>
    <t>موضوع درخواست:</t>
  </si>
  <si>
    <t>دوره بازگشت سرمايه:</t>
  </si>
  <si>
    <t>بخش ثابت:</t>
  </si>
  <si>
    <t>بخش جاري:</t>
  </si>
  <si>
    <t>شرايط تسهيلات پيشنهادي كارشناس</t>
  </si>
  <si>
    <t xml:space="preserve">نرخ سود تسهيلات بخش ثابت: </t>
  </si>
  <si>
    <t xml:space="preserve">نرخ سود تسهيلات بخش جاري: </t>
  </si>
  <si>
    <t xml:space="preserve">مدت زمان بازپرداخت تسهيلات بخش ثابت: </t>
  </si>
  <si>
    <t xml:space="preserve">مدت زمان بازپرداخت تسهيلات بخش جاري: </t>
  </si>
  <si>
    <t>كارشناس طرح:</t>
  </si>
  <si>
    <t>تاريخ تهيه گزارش:</t>
  </si>
  <si>
    <t>تعداد اشتغالزايي طرح:</t>
  </si>
  <si>
    <t>عضو هيئت مديره:</t>
  </si>
  <si>
    <t>محل تامين منابع طرح:</t>
  </si>
  <si>
    <t xml:space="preserve">نوع و ميزان وثائق و تضمينات: </t>
  </si>
  <si>
    <t>نحوه پرداخت تسهيلات:</t>
  </si>
  <si>
    <t>شرايط قبل از انعقاد قرارداد:</t>
  </si>
  <si>
    <t>امضاء:</t>
  </si>
  <si>
    <t xml:space="preserve">[جمع بندي و نتيجه گيري: </t>
  </si>
  <si>
    <t>دوران انتظار فروش اقساطی (ماه)</t>
  </si>
  <si>
    <t>مبلغ تسهيلات دريافتي قبلي (هزار ریال):</t>
  </si>
  <si>
    <t>مبلغ تسهيلات درخواستي متقاضي (هزار ریال):</t>
  </si>
  <si>
    <t>مبلغ تسهيلات پيشنهادي وزارت تعاون/شعبه (هزار ریال):</t>
  </si>
  <si>
    <t>مبلغ تسهيلات پيشنهادي كارشناس (هزار ریال):</t>
  </si>
  <si>
    <t>هزینه استهلاک هزینه های قبل از بهره برداری</t>
  </si>
  <si>
    <t>سال ششم</t>
  </si>
  <si>
    <t>سال هفتم</t>
  </si>
  <si>
    <t>سال هشتم</t>
  </si>
  <si>
    <t>سال نهم</t>
  </si>
  <si>
    <t>سال دهم</t>
  </si>
  <si>
    <t>هزینه های سرمایه ای</t>
  </si>
  <si>
    <t>افزایش در دارائی های جاری</t>
  </si>
  <si>
    <t>جمع مصارف</t>
  </si>
  <si>
    <t>خالص مازاد (کمبود) نقدی</t>
  </si>
  <si>
    <t>مازاد نقدی انباشته</t>
  </si>
  <si>
    <t xml:space="preserve"> </t>
  </si>
  <si>
    <t>ارزش خالص فعلی در IRR</t>
  </si>
  <si>
    <t>جمع تجمعی ارزش خالص فعلی</t>
  </si>
  <si>
    <t>مازاد نقدی عملیات</t>
  </si>
  <si>
    <t>سرمایه در گردش</t>
  </si>
  <si>
    <t>افزایش در سرمایه در گردش</t>
  </si>
  <si>
    <t>سال جاری</t>
  </si>
  <si>
    <t>ارزش اسقاط</t>
  </si>
  <si>
    <t>کل آورده متقاضی</t>
  </si>
  <si>
    <t>کل تسهیلات بلند مدت</t>
  </si>
  <si>
    <t>کل تسهیلات کوتاه مدت</t>
  </si>
  <si>
    <t>کل جریان ورودی</t>
  </si>
  <si>
    <t>سرمایه ورودی</t>
  </si>
  <si>
    <t>درآمد ورودی</t>
  </si>
  <si>
    <t>کل فروش</t>
  </si>
  <si>
    <t>سایر درآمدها</t>
  </si>
  <si>
    <t>کل جریان خروجی</t>
  </si>
  <si>
    <t>افزایش در دارائیهای ثابت</t>
  </si>
  <si>
    <t>سرمایه گذاری ثابت</t>
  </si>
  <si>
    <t>مالیات</t>
  </si>
  <si>
    <t>برداشت سود</t>
  </si>
  <si>
    <t>مازاد (کمبود) نقدینگی</t>
  </si>
  <si>
    <t>مازاد (کمبود) نقدینگی تجمعی</t>
  </si>
  <si>
    <t>سال ساخت</t>
  </si>
  <si>
    <t xml:space="preserve">هزینه های جاری </t>
  </si>
  <si>
    <t>نرخ مالیات</t>
  </si>
  <si>
    <t>كل سود تسهيلات دوران مشارکت:</t>
  </si>
  <si>
    <t>كل سود تسهيلات فروش اقساطی:</t>
  </si>
  <si>
    <t>دوران مشارکت (روز)</t>
  </si>
  <si>
    <t>كل سود تسهيلات فروش اقساطی با دوره انتظار:</t>
  </si>
  <si>
    <t>كل سود تسهيلات بلند مدت :</t>
  </si>
  <si>
    <t>درصد سود قابل برداشت</t>
  </si>
  <si>
    <t>سود ويژه پس از ماليات</t>
  </si>
  <si>
    <t>هزینه های اجاره</t>
  </si>
  <si>
    <t>شرح هزینه های متغیر</t>
  </si>
  <si>
    <t>شرح هزینه های ثابت</t>
  </si>
  <si>
    <t xml:space="preserve">شرح </t>
  </si>
  <si>
    <t>هزينه هاي متغيير  (ارقام به هزار ريال)</t>
  </si>
  <si>
    <t>هزينه هاي ثابت  (ارقام به هزار ريال)</t>
  </si>
  <si>
    <t>جمع تجمعی ارزش خالص فعلی
در نرخ IRR</t>
  </si>
  <si>
    <t>درصد فروش در نقطه سربسر</t>
  </si>
  <si>
    <t>نرخ بازده داخلی سرمایه گذاری</t>
  </si>
  <si>
    <t>ردیف</t>
  </si>
  <si>
    <t>ارزش خالص فعلی</t>
  </si>
  <si>
    <t>شاخص های اقتصادی طرح</t>
  </si>
  <si>
    <t>هزینه های مالی</t>
  </si>
  <si>
    <t>اصل تسهیلات</t>
  </si>
  <si>
    <t>ارزش خالص فعلی در MIRR</t>
  </si>
  <si>
    <t>جمع تجمعی ارزش خالص فعلی
در نرخ MIRR</t>
  </si>
  <si>
    <t>مازاد نقدینگی</t>
  </si>
  <si>
    <t>سرمایه سهم الشرکه متقاضی
(آورده متقاضی اعم از نقدی و غیر نقدی)</t>
  </si>
  <si>
    <t>سرمايه ثبتي هزار ریال):</t>
  </si>
  <si>
    <t>سرمايه فعلي(هزار ریال):</t>
  </si>
  <si>
    <t>هزینه های بیمه</t>
  </si>
  <si>
    <t>نرخ تنزیل سرمایه گذاری</t>
  </si>
  <si>
    <t>نرخ تنزیل سهم آورده متقاضی</t>
  </si>
  <si>
    <t>نرخ بازده داخلی سرمایه گذار</t>
  </si>
  <si>
    <t>دوره بازگشت سرمایه سرمایه گذار</t>
  </si>
  <si>
    <t xml:space="preserve">دوره بازگشت سرمایه </t>
  </si>
  <si>
    <t>میزان فروش در نقطه سربسر</t>
  </si>
  <si>
    <t>میزان تولید در نقطه سربسر</t>
  </si>
  <si>
    <t>كيلووات ساعت</t>
  </si>
  <si>
    <t xml:space="preserve">بخش ثابت:        </t>
  </si>
  <si>
    <t>2- شرکت نسبت به تعیین تکلیف بدهی های معوق احتمالی به سیستم بانکی کشور و سایر موسسات اعتباری و ارائه تاییدیه آنها به شعبه اقدام نماید</t>
  </si>
  <si>
    <t>1- بدهی سررسید گذشته و یا معوق احتمالی شرکت به صندوق تعاون کشور تسویه گردد.</t>
  </si>
  <si>
    <t>سرمايه در گردش سالیانه (ارقام به هزار ريال)</t>
  </si>
  <si>
    <t>هزينه كل در سال مبنا
(با احتساب ظرفیت عملی)</t>
  </si>
  <si>
    <t>جریان نقدینگی</t>
  </si>
  <si>
    <t xml:space="preserve">خلاصه گزارش طرح توجيهي فني و مالي  </t>
  </si>
  <si>
    <t>هزينه استهلاك سالیانه ( ارقام به هزار ريال )</t>
  </si>
  <si>
    <t>تاسيسات و تجهيزات عمومي ( ارقام به هزار ريال )</t>
  </si>
  <si>
    <t>ميزان مصرف در100% ظرفيت اسمي با احتساب  ضايعات</t>
  </si>
  <si>
    <t>قيمت فروش واحد 
محصول (ريال)</t>
  </si>
  <si>
    <t>درصد فروش درنقطه سربسر در سال مبنا:</t>
  </si>
  <si>
    <t>تعداد روزهای تولید آزمایشی</t>
  </si>
  <si>
    <t>مواد اوليه</t>
  </si>
  <si>
    <t>نرخ بازدهي داخلی:</t>
  </si>
  <si>
    <t xml:space="preserve">اندوخته قانوني </t>
  </si>
  <si>
    <t>سود سهام</t>
  </si>
  <si>
    <t>سود (زيان) سنواتي</t>
  </si>
  <si>
    <t>سود (زيان) انباشته</t>
  </si>
  <si>
    <t>سود (زيان) نقل به ترازنامه</t>
  </si>
  <si>
    <t xml:space="preserve"> :پيش بيني ترازنامه </t>
  </si>
  <si>
    <t xml:space="preserve">شــرح </t>
  </si>
  <si>
    <t>دوره بهره برداري</t>
  </si>
  <si>
    <t>:دارائيها</t>
  </si>
  <si>
    <t xml:space="preserve">دارائيهاي جاري </t>
  </si>
  <si>
    <t>مازاد (كسري ) منابع</t>
  </si>
  <si>
    <t xml:space="preserve">جمع دارائيهاي جاري </t>
  </si>
  <si>
    <t>دارائيهاي ثابت</t>
  </si>
  <si>
    <t>كسر مي شود : استهلاك</t>
  </si>
  <si>
    <t xml:space="preserve">خالص دارائيهاي ثابت </t>
  </si>
  <si>
    <t>ساير دارائيها</t>
  </si>
  <si>
    <t xml:space="preserve">هزينه هاي قبل ازبهره برداري </t>
  </si>
  <si>
    <t>كسر مي شود استهلاك</t>
  </si>
  <si>
    <t>خالص ساير دارائيها</t>
  </si>
  <si>
    <t>جمع كل دارائيها</t>
  </si>
  <si>
    <t>:بدهي‌ها و حقوق صاحبان سهام</t>
  </si>
  <si>
    <t xml:space="preserve">كوتاه مدت </t>
  </si>
  <si>
    <t>حصه جاري وام شركا</t>
  </si>
  <si>
    <t xml:space="preserve">سود سهام </t>
  </si>
  <si>
    <t xml:space="preserve">جمع بدهي هاي جاري </t>
  </si>
  <si>
    <t>مانده تسهيلات بلند مدت</t>
  </si>
  <si>
    <t xml:space="preserve">مانده جاري شركا </t>
  </si>
  <si>
    <t>جمع بدهي بلند مدت</t>
  </si>
  <si>
    <t>حقوق صاحبان سهام</t>
  </si>
  <si>
    <t>سرمايه</t>
  </si>
  <si>
    <t xml:space="preserve"> مانده حساب سود(زيان) </t>
  </si>
  <si>
    <t xml:space="preserve">جمع حقوق صاحبان سهام </t>
  </si>
  <si>
    <t>جمع بدهيها و حقوق صاحبان سهام</t>
  </si>
  <si>
    <t>مغايرت</t>
  </si>
  <si>
    <t>مطالبات</t>
  </si>
  <si>
    <t>شرح نسبتها</t>
  </si>
  <si>
    <t xml:space="preserve"> نسبتهاي نقدينگي :</t>
  </si>
  <si>
    <t xml:space="preserve"> نسبت جاري </t>
  </si>
  <si>
    <t xml:space="preserve"> نسبت آني </t>
  </si>
  <si>
    <t xml:space="preserve"> نسبت دارائيهاي جاري </t>
  </si>
  <si>
    <t xml:space="preserve"> نسبتهاي فعاليت : </t>
  </si>
  <si>
    <t xml:space="preserve"> دوره گردش موجوديها  (روز)</t>
  </si>
  <si>
    <t xml:space="preserve"> دوره وصول مطالبات  (روز)</t>
  </si>
  <si>
    <t xml:space="preserve"> نسبتهاي سودآوري :</t>
  </si>
  <si>
    <t xml:space="preserve"> سود ناخالص به فروش (درصد)</t>
  </si>
  <si>
    <t xml:space="preserve"> بازده فروش (درصد)  </t>
  </si>
  <si>
    <t xml:space="preserve"> بازده دارئيها (درصد)</t>
  </si>
  <si>
    <t xml:space="preserve"> بازده حقوق صاحبان سهام ( درصد) </t>
  </si>
  <si>
    <t xml:space="preserve"> نسبتهاي سرمايه گذاري : </t>
  </si>
  <si>
    <t xml:space="preserve"> نسبت مالكانه (درصد)</t>
  </si>
  <si>
    <t xml:space="preserve"> نسبت بدهي (درصد) </t>
  </si>
  <si>
    <t xml:space="preserve"> نسبت بدهي جاري (درصد) </t>
  </si>
  <si>
    <r>
      <t xml:space="preserve">                                                                                                                                                   </t>
    </r>
    <r>
      <rPr>
        <sz val="10"/>
        <rFont val="B Nazanin"/>
        <charset val="178"/>
      </rPr>
      <t xml:space="preserve">(ارقام به میلیون ریال </t>
    </r>
    <r>
      <rPr>
        <sz val="10"/>
        <rFont val="Times New Roman"/>
        <family val="1"/>
      </rPr>
      <t>–</t>
    </r>
    <r>
      <rPr>
        <sz val="10"/>
        <rFont val="B Nazanin"/>
        <charset val="178"/>
      </rPr>
      <t xml:space="preserve"> زمان به سال )</t>
    </r>
  </si>
  <si>
    <r>
      <t>مدرك و رشته تحصيلي</t>
    </r>
    <r>
      <rPr>
        <sz val="10"/>
        <rFont val="B Nazanin"/>
        <charset val="178"/>
      </rPr>
      <t>:</t>
    </r>
    <r>
      <rPr>
        <sz val="11"/>
        <rFont val="B Nazanin"/>
        <charset val="178"/>
      </rPr>
      <t xml:space="preserve">   </t>
    </r>
  </si>
  <si>
    <t>سن :</t>
  </si>
  <si>
    <r>
      <t>تعداد شاغلين</t>
    </r>
    <r>
      <rPr>
        <sz val="11"/>
        <rFont val="B Nazanin"/>
        <charset val="178"/>
      </rPr>
      <t>:</t>
    </r>
  </si>
  <si>
    <r>
      <t xml:space="preserve"> </t>
    </r>
    <r>
      <rPr>
        <b/>
        <sz val="10"/>
        <rFont val="B Nazanin"/>
        <charset val="178"/>
      </rPr>
      <t xml:space="preserve">تخصص و تجارب: </t>
    </r>
  </si>
  <si>
    <t>سرمايه گذاري ثابت:</t>
  </si>
  <si>
    <r>
      <t xml:space="preserve">   </t>
    </r>
    <r>
      <rPr>
        <b/>
        <sz val="10"/>
        <rFont val="B Nazanin"/>
        <charset val="178"/>
      </rPr>
      <t>مبلغ سرمایه درگردش:</t>
    </r>
  </si>
  <si>
    <t>کل سرمایه­گذاری:</t>
  </si>
  <si>
    <t>سرمايه گذاري انجام شده قبلي متقاضي:</t>
  </si>
  <si>
    <t xml:space="preserve">شعبه: </t>
  </si>
  <si>
    <t xml:space="preserve">سهم مقاضي </t>
  </si>
  <si>
    <t>سهم بانك</t>
  </si>
  <si>
    <t>سهم متقاضي:</t>
  </si>
  <si>
    <t>سهم بانك:</t>
  </si>
  <si>
    <t>كل اصل و سود بانكي (ثابت و جاري) :</t>
  </si>
  <si>
    <r>
      <t xml:space="preserve"> </t>
    </r>
    <r>
      <rPr>
        <b/>
        <sz val="10"/>
        <rFont val="B Nazanin"/>
        <charset val="178"/>
      </rPr>
      <t xml:space="preserve"> ارزش وثايق:</t>
    </r>
  </si>
  <si>
    <t xml:space="preserve">1-  پذیرفته شده  بانك: </t>
  </si>
  <si>
    <r>
      <t xml:space="preserve">2 </t>
    </r>
    <r>
      <rPr>
        <b/>
        <sz val="9"/>
        <rFont val="Times New Roman"/>
        <family val="1"/>
      </rPr>
      <t>–</t>
    </r>
    <r>
      <rPr>
        <b/>
        <sz val="9"/>
        <rFont val="B Nazanin"/>
        <charset val="178"/>
      </rPr>
      <t xml:space="preserve"> ارزش به حساب نیامده:</t>
    </r>
  </si>
  <si>
    <t>1- ارزش زمين:</t>
  </si>
  <si>
    <r>
      <t>2</t>
    </r>
    <r>
      <rPr>
        <b/>
        <sz val="10"/>
        <rFont val="B Nazanin"/>
        <charset val="178"/>
      </rPr>
      <t xml:space="preserve">- </t>
    </r>
    <r>
      <rPr>
        <b/>
        <sz val="9"/>
        <rFont val="B Nazanin"/>
        <charset val="178"/>
      </rPr>
      <t>ارزش ساختمان و تاسيسات موجود:</t>
    </r>
    <r>
      <rPr>
        <b/>
        <sz val="10"/>
        <rFont val="B Nazanin"/>
        <charset val="178"/>
      </rPr>
      <t xml:space="preserve">    </t>
    </r>
  </si>
  <si>
    <t xml:space="preserve">   </t>
  </si>
  <si>
    <r>
      <t>3- ارزش ساختمان و تاسيسات آتي الاحداث</t>
    </r>
    <r>
      <rPr>
        <b/>
        <sz val="11"/>
        <rFont val="B Nazanin"/>
        <charset val="178"/>
      </rPr>
      <t>:</t>
    </r>
  </si>
  <si>
    <t>4- ارزش ماشين آلات آتي النصب:</t>
  </si>
  <si>
    <t xml:space="preserve">5- املاك خارج از طرح: </t>
  </si>
  <si>
    <t>6- سفته:</t>
  </si>
  <si>
    <r>
      <t xml:space="preserve"> 7 </t>
    </r>
    <r>
      <rPr>
        <b/>
        <sz val="10"/>
        <rFont val="Times New Roman"/>
        <family val="1"/>
      </rPr>
      <t>–</t>
    </r>
    <r>
      <rPr>
        <b/>
        <sz val="10"/>
        <rFont val="B Nazanin"/>
        <charset val="178"/>
      </rPr>
      <t xml:space="preserve"> سایر:</t>
    </r>
  </si>
  <si>
    <r>
      <t>مبلغ ضمانت نامه مورد درخواست:</t>
    </r>
    <r>
      <rPr>
        <sz val="11"/>
        <rFont val="B Nazanin"/>
        <charset val="178"/>
      </rPr>
      <t xml:space="preserve">    </t>
    </r>
  </si>
  <si>
    <t xml:space="preserve">مبلغ مصوب در کارگروه : </t>
  </si>
  <si>
    <r>
      <t>مبلغ كارمزد :</t>
    </r>
    <r>
      <rPr>
        <sz val="11"/>
        <rFont val="B Nazanin"/>
        <charset val="178"/>
      </rPr>
      <t xml:space="preserve">        </t>
    </r>
  </si>
  <si>
    <r>
      <t>نرخ كارمزد</t>
    </r>
    <r>
      <rPr>
        <sz val="11"/>
        <rFont val="B Nazanin"/>
        <charset val="178"/>
      </rPr>
      <t>: 1.5 درصد براي سال اول و 0.25 درصد  براي 5 سال بعدی</t>
    </r>
  </si>
  <si>
    <r>
      <t>مدت مشاركت مدني و تنفس:</t>
    </r>
    <r>
      <rPr>
        <sz val="11"/>
        <rFont val="B Nazanin"/>
        <charset val="178"/>
      </rPr>
      <t xml:space="preserve">  </t>
    </r>
  </si>
  <si>
    <t xml:space="preserve">مدت بازپرداخت اصل و سود وام:  </t>
  </si>
  <si>
    <r>
      <t>مدت بازپرداخت سرمايه ثابت:</t>
    </r>
    <r>
      <rPr>
        <b/>
        <sz val="10"/>
        <rFont val="B Nazanin"/>
        <charset val="178"/>
      </rPr>
      <t xml:space="preserve">    </t>
    </r>
    <r>
      <rPr>
        <b/>
        <sz val="11"/>
        <rFont val="B Nazanin"/>
        <charset val="178"/>
      </rPr>
      <t xml:space="preserve">  </t>
    </r>
  </si>
  <si>
    <r>
      <t>مدت بازپرداخت سرمايه درگردش</t>
    </r>
    <r>
      <rPr>
        <b/>
        <sz val="10"/>
        <rFont val="B Nazanin"/>
        <charset val="178"/>
      </rPr>
      <t>:</t>
    </r>
    <r>
      <rPr>
        <sz val="11"/>
        <rFont val="B Nazanin"/>
        <charset val="178"/>
      </rPr>
      <t xml:space="preserve">  </t>
    </r>
  </si>
  <si>
    <t xml:space="preserve">نظريه كميته فني و اعتبار سنجي: </t>
  </si>
  <si>
    <r>
      <t>مدير برنامه­ريزي و سيستمهاي اطلاعات                                                            معاون فني و برنامه</t>
    </r>
    <r>
      <rPr>
        <b/>
        <sz val="9"/>
        <rFont val="Times New Roman"/>
        <family val="1"/>
      </rPr>
      <t>­</t>
    </r>
    <r>
      <rPr>
        <b/>
        <sz val="9"/>
        <rFont val="B Nazanin"/>
        <charset val="178"/>
      </rPr>
      <t xml:space="preserve">ريزي                                                                            مديرعامل   </t>
    </r>
  </si>
  <si>
    <r>
      <t>وضعيت بازار داخلي و خارجي</t>
    </r>
    <r>
      <rPr>
        <b/>
        <sz val="10"/>
        <rFont val="B Nazanin"/>
        <charset val="178"/>
      </rPr>
      <t>:                                                                           نوع تكنولوژي</t>
    </r>
    <r>
      <rPr>
        <sz val="11"/>
        <rFont val="B Nazanin"/>
        <charset val="178"/>
      </rPr>
      <t xml:space="preserve"> :    </t>
    </r>
    <r>
      <rPr>
        <b/>
        <sz val="11"/>
        <rFont val="B Nazanin"/>
        <charset val="178"/>
      </rPr>
      <t xml:space="preserve"> بومي</t>
    </r>
    <r>
      <rPr>
        <sz val="11"/>
        <rFont val="B Nazanin"/>
        <charset val="178"/>
      </rPr>
      <t xml:space="preserve">   </t>
    </r>
    <r>
      <rPr>
        <sz val="11"/>
        <rFont val="B Nazanin"/>
        <charset val="178"/>
      </rPr>
      <t xml:space="preserve">  </t>
    </r>
    <r>
      <rPr>
        <sz val="14"/>
        <rFont val="B Nazanin"/>
        <charset val="178"/>
      </rPr>
      <t xml:space="preserve"> </t>
    </r>
    <r>
      <rPr>
        <sz val="11"/>
        <rFont val="B Nazanin"/>
        <charset val="178"/>
      </rPr>
      <t xml:space="preserve">                         </t>
    </r>
    <r>
      <rPr>
        <b/>
        <sz val="11"/>
        <rFont val="B Nazanin"/>
        <charset val="178"/>
      </rPr>
      <t xml:space="preserve"> وارداتي</t>
    </r>
    <r>
      <rPr>
        <sz val="11"/>
        <rFont val="B Nazanin"/>
        <charset val="178"/>
      </rPr>
      <t xml:space="preserve">  </t>
    </r>
    <r>
      <rPr>
        <sz val="11"/>
        <rFont val="B Nazanin"/>
        <charset val="178"/>
      </rPr>
      <t xml:space="preserve"> </t>
    </r>
  </si>
  <si>
    <t>درصد معافیت مالیاتی</t>
  </si>
  <si>
    <t>بدهی های جاری</t>
  </si>
  <si>
    <t>بدهی های بلند مدت</t>
  </si>
  <si>
    <t>هزينه‌هاي طرح :</t>
  </si>
  <si>
    <t xml:space="preserve">جمع  </t>
  </si>
  <si>
    <t xml:space="preserve">دارايي‌هاي ثابت </t>
  </si>
  <si>
    <t xml:space="preserve">هزينه‌هاي قبل از بهره‌برداري </t>
  </si>
  <si>
    <t xml:space="preserve">جمع هزينه‌هاي ثابت </t>
  </si>
  <si>
    <t xml:space="preserve">سرمايه در گردش </t>
  </si>
  <si>
    <t xml:space="preserve">جمع هزينه‌هاي طرح </t>
  </si>
  <si>
    <t xml:space="preserve">ساير دارايي‌ها </t>
  </si>
  <si>
    <t xml:space="preserve">منابع تأمين : </t>
  </si>
  <si>
    <t xml:space="preserve">جاري سهامداران </t>
  </si>
  <si>
    <t xml:space="preserve">حسابهاي پرداختني </t>
  </si>
  <si>
    <t>ساير منابع</t>
  </si>
  <si>
    <t>تسهيلات پيشنهادي بلند مدت</t>
  </si>
  <si>
    <t>تسهيلات پيشنهادي كوتاه مدت‌</t>
  </si>
  <si>
    <r>
      <t xml:space="preserve">سرمايه پرداخت شده </t>
    </r>
    <r>
      <rPr>
        <b/>
        <sz val="14"/>
        <rFont val="B Roya"/>
        <charset val="178"/>
      </rPr>
      <t>**</t>
    </r>
  </si>
  <si>
    <t>کل دارائی ها</t>
  </si>
  <si>
    <t>کل بدهی ها</t>
  </si>
  <si>
    <t>ترازنامه</t>
  </si>
  <si>
    <t>دارائی های جاری</t>
  </si>
  <si>
    <t>دارائی های ثابت</t>
  </si>
  <si>
    <t>هزینه های قبل از بهره برداری</t>
  </si>
  <si>
    <t>کسر تجمعی استهلاک</t>
  </si>
  <si>
    <t>هزینه های سرمایه گذاری ثابت</t>
  </si>
  <si>
    <t>حسابهای پرداختنی</t>
  </si>
  <si>
    <t>بدهی های کوتاه مدت</t>
  </si>
  <si>
    <t>سود سنواتی</t>
  </si>
  <si>
    <t>سود نقل به ترازنامه</t>
  </si>
  <si>
    <t>جریان نقدینگی تنزیل شده سرمایه گذار</t>
  </si>
  <si>
    <t>جریا نقدینگی تنزیل شده سرمایه گذاری</t>
  </si>
  <si>
    <t>سود ساليانه کوتاه مدت:</t>
  </si>
  <si>
    <t>اصل تسهيلات کوتاه ساليانه:</t>
  </si>
  <si>
    <t>تغییرات</t>
  </si>
  <si>
    <t>هزینه های تولید</t>
  </si>
  <si>
    <t>تغییرات نرخ بازده داخلی</t>
  </si>
  <si>
    <t>فروش</t>
  </si>
  <si>
    <t>سود هر قسط بلند مدت:</t>
  </si>
  <si>
    <t>اصل هر قسط بلند مدت:</t>
  </si>
  <si>
    <t>تعداد اقساط مورد نظر در سال جاری</t>
  </si>
  <si>
    <t>پيش بيني نشده بدون احتساب استهلاك</t>
  </si>
  <si>
    <t>هزينه‌هاي پيش‌بيني‌نشده‌</t>
  </si>
  <si>
    <t>هزينه هاي توزيع و فروش تبلیغات و اداری (درصدی از فروش)</t>
  </si>
  <si>
    <t>روش محاسبه سود تسهیلات</t>
  </si>
  <si>
    <t>مستقیم</t>
  </si>
  <si>
    <t>غیر مستقیم</t>
  </si>
  <si>
    <t>روش مستقیم</t>
  </si>
  <si>
    <t>سال اول</t>
  </si>
  <si>
    <t>ماه شروع اقساط</t>
  </si>
  <si>
    <t>سود تسهیلات</t>
  </si>
  <si>
    <t>قسط</t>
  </si>
  <si>
    <t>سود</t>
  </si>
  <si>
    <t>جاری</t>
  </si>
  <si>
    <t>اصل</t>
  </si>
  <si>
    <t>دوران مشارکت مدنی:</t>
  </si>
  <si>
    <t>روز</t>
  </si>
  <si>
    <t>روش محاسبه استهلاک</t>
  </si>
  <si>
    <t>درصد اسقاط</t>
  </si>
  <si>
    <t>ميزان سرمايه گذاري
(هزار ريال)</t>
  </si>
  <si>
    <t>مفروضات طرح</t>
  </si>
  <si>
    <t>زمین</t>
  </si>
  <si>
    <t>نزولی</t>
  </si>
  <si>
    <t>نزولی دوبل</t>
  </si>
  <si>
    <t>دوره بازگشت سرمایه سرمایه گذاری با احتساب کلیه هزینه ها</t>
  </si>
  <si>
    <t>ارزش خالص فعلی سرمایه گذاری</t>
  </si>
  <si>
    <t>ارزش خالص فعلی سهم سرمایه گذاری</t>
  </si>
  <si>
    <t>جمع تجمعی ارزش خالص فعلی
در نرخ بازده داخلی</t>
  </si>
  <si>
    <t>تکرار تسهیلات کوتاه مدت</t>
  </si>
  <si>
    <t xml:space="preserve">ارزش خالص فعلی </t>
  </si>
  <si>
    <t>پیش بینی گردش وجوه نقدی تنزیل شده سهم آورده متقاضی:</t>
  </si>
  <si>
    <t>پیش بینی گردش وجوه نقدی تنزیل شده سرمایه گذاری:</t>
  </si>
  <si>
    <t xml:space="preserve">موجودی کالای ساخته شده </t>
  </si>
  <si>
    <t>موجودی کالای در جریال ساخت</t>
  </si>
  <si>
    <t>هزینه کارشناسی طرح در بانک (1.5 در هزار وام)</t>
  </si>
  <si>
    <t>تعدیل موجودی</t>
  </si>
  <si>
    <t>تعدیل فروش</t>
  </si>
  <si>
    <t>خالص فروش</t>
  </si>
  <si>
    <t>تعدیل در هزینه های تولید</t>
  </si>
  <si>
    <t>قیمت تمام شده کالای فروش رفته</t>
  </si>
  <si>
    <t>سود (زیان) ناويژه</t>
  </si>
  <si>
    <t xml:space="preserve">استهلاك دارائيهاي ثابت </t>
  </si>
  <si>
    <t xml:space="preserve">جمع منابع داخلي </t>
  </si>
  <si>
    <t xml:space="preserve">افزايش سرمايه </t>
  </si>
  <si>
    <t>اندوخته ها</t>
  </si>
  <si>
    <t xml:space="preserve">تسهيلات بانك  - كوتاه مدت </t>
  </si>
  <si>
    <t xml:space="preserve">جمع منابع خارجي </t>
  </si>
  <si>
    <t xml:space="preserve">هزينه سرمايه گذاري ثابت </t>
  </si>
  <si>
    <t xml:space="preserve">هزينه قبل از بهره برداري </t>
  </si>
  <si>
    <t>ماليات</t>
  </si>
  <si>
    <t xml:space="preserve">مازاد (كسري ) دوره مالي </t>
  </si>
  <si>
    <t xml:space="preserve">منابع داخلي </t>
  </si>
  <si>
    <t xml:space="preserve">جمع كل منابع </t>
  </si>
  <si>
    <t xml:space="preserve">جمع سرمايه درگردش </t>
  </si>
  <si>
    <t>پرداختها</t>
  </si>
  <si>
    <t xml:space="preserve">بازپرداختها </t>
  </si>
  <si>
    <t xml:space="preserve">جمع كل مصارف </t>
  </si>
  <si>
    <t>دوره اجرا</t>
  </si>
  <si>
    <t>تسهيلات بانك  بلند مدت ريالي</t>
  </si>
  <si>
    <t>تسهيلات بانك  ارزي</t>
  </si>
  <si>
    <t>ارقام به ميليون ريال</t>
  </si>
  <si>
    <t xml:space="preserve"> :پيش بيني منابع ومصارف </t>
  </si>
  <si>
    <t xml:space="preserve"> :منابع </t>
  </si>
  <si>
    <t xml:space="preserve"> :مصارف</t>
  </si>
  <si>
    <t xml:space="preserve">استهلاك هزينه قبل از بهره برداري </t>
  </si>
  <si>
    <t xml:space="preserve">سود (زيان) ويژه قبل از ماليات </t>
  </si>
  <si>
    <t>مازاد (كسري )انباشته</t>
  </si>
  <si>
    <t xml:space="preserve">مازاد (كسري ) نقل به ترازنامه </t>
  </si>
  <si>
    <t>نسبت گردش نقدی</t>
  </si>
  <si>
    <t>گردش سرمایه جاری</t>
  </si>
  <si>
    <t>نسبت دارائی ثابت به ارزش ویژه</t>
  </si>
  <si>
    <t>نسبت کل بدهی</t>
  </si>
  <si>
    <t>نسبت بدهی جاری به ارزش ویژه</t>
  </si>
  <si>
    <t>نسبت بدهی بلند مدت به سرمایه در گردش</t>
  </si>
  <si>
    <t>نسبت پوشش بهره</t>
  </si>
  <si>
    <t>نسبت بار مالی وام</t>
  </si>
  <si>
    <t>نسبت گردش نقدی به بدهی</t>
  </si>
  <si>
    <t>شاخص سنجش سودمندی وام</t>
  </si>
  <si>
    <t>میانگین کل</t>
  </si>
  <si>
    <t>مغایرت</t>
  </si>
  <si>
    <t>دوران انتظار فروش اقساطی:</t>
  </si>
  <si>
    <t>:برخي از نسبتهاي مالي طرحهای ایجادی</t>
  </si>
  <si>
    <t>:برخي از نسبتهاي مالي طرحهای توسعه ای</t>
  </si>
  <si>
    <t>بازرگاني          كشاورزي       خدماتي          صنعت و معدن</t>
  </si>
  <si>
    <t>1- پرداخت تسهیلات طی حداقل 5 نوبت در بخش ثابت جهت خرید ماشین آلات 3 نوبت و وسائط نقلیه 2 نوبت صورت پذیرد.</t>
  </si>
  <si>
    <t>هزینه گاز رسانی</t>
  </si>
  <si>
    <t>هزینه لوله کشی های مربوطه</t>
  </si>
  <si>
    <t>سپتیک</t>
  </si>
  <si>
    <t>جمع کل 
سرمایه گذاری</t>
  </si>
  <si>
    <t>سرمایه گذاری قابل اختصاص به استهلاک</t>
  </si>
  <si>
    <t>3- در صورت عدم پوشش اخذ سفته تا سقف 120% اصل و سود تسهيلات به تعهد شركت و ظهرنويسي مدیران و اشخاص ثالث مورد تأييد شعبه كه صاحب دارائي منقول و غيرمنقول مستند و مستدل احراز شده باشد (حداقل 3 ضامن)</t>
  </si>
  <si>
    <t>4- یک فقره چک عهده حساب سپرده قرض الحسنه جاری شرکت مذکور نزد یکی از بانکها به میزان 120% اصل و سود تسهیلات و در وجه صندوق تعاون کشور.</t>
  </si>
  <si>
    <t>5- بيمه کامل وثیقه ملکی، محل اجرای طرح و ماشین آلات و تجهیزات خریداری شده به هزينه متقاضي تسهيلات و به نفع صندوق تعاون تا استهلاك كامل بدهي.</t>
  </si>
  <si>
    <t>درصد تسهیلات جاری به کل سرمایه در گردش مورد نیاز</t>
  </si>
  <si>
    <t>درصد تسهیلات ثابت به کل سرمایه گذاری ثابت مورد نیاز</t>
  </si>
  <si>
    <t>محاسبه ظرفیت</t>
  </si>
  <si>
    <t>سهم بانک</t>
  </si>
  <si>
    <t>به شرح جدول جزئیات تاسیسات</t>
  </si>
  <si>
    <t>سال بهره برداری</t>
  </si>
  <si>
    <t>نرخ سود دوران مشارکت</t>
  </si>
  <si>
    <t>2- ترهین محل اجرای طرح که ارزش مستحدثات وتاسیسات فعلی آن توسط ارزیاب طرف قرارداد صندوق و در صورت عدم وجود, کارشناس رسمی دادگستری ارزیابی گردد.</t>
  </si>
  <si>
    <t>1- ترهین حداقل70 درصد اصل تسهیلات وثیقه ملکی بلامعارض و سهل البیع شهری که توسط ارزیاب طرف قرارداد صندوق و در صورت عدم وجود, کارشناس رسمی دادگستری ارزیابی گردد.</t>
  </si>
  <si>
    <t>3- مصوبه مجمع عمومی شرکت مذکور مبنی بر افزایش سرمایه طرح ایجادی حداقل به مبلغ 2.200.000 هزار ریال که به تایید اداره تعاون محل رسیده باشد، اخذ شود.</t>
  </si>
  <si>
    <t>3- در خصوص تاسیات 2 نوبت به شرح ذیل : نوبت اول برای تامین هزینه انشعابات و شروع به کار اجرای تاسیسات و نوبت دوم پس از تکمیل و اجرای کل تاسیسات</t>
  </si>
  <si>
    <t>2- در خصوص ساختمان سازی و محوطه طی یک نوبت جهت تکمیل محوطه سازی و ساختمان سازی</t>
  </si>
  <si>
    <t>4- در خصوص ماشین آلات و تجهیزات خط تولید، 30 درصد پیش پرداخت و 40 درصد پس از ساخت و 30 درصد نیز پس از نصب و راه اندازی دستگاه پرداخت شود .</t>
  </si>
  <si>
    <t>5- در خصوص وسایل اداری طی یک نوبت</t>
  </si>
  <si>
    <t>3- نظارت بر حسن اجراي قرارداد طي حداقل 5 نوبت و ارسال گزارشهاي نظارتي مربوطه به اين امور.</t>
  </si>
  <si>
    <t>نرخ بازده داخلی سرمایه گذاری 
با احتساب کلیه هزینه ها</t>
  </si>
  <si>
    <t>نسبت کل تسهیلات به کل 
سرمایه گذاری مورد نیاز</t>
  </si>
  <si>
    <t>دوره بازگشت سرمایه گذاری 
با احتساب کلیه هزینه ها</t>
  </si>
  <si>
    <t>ارزش خالص فعلی سرمایه گذاری 
با احتساب کلیه هزینه ها</t>
  </si>
  <si>
    <t>پالس</t>
  </si>
  <si>
    <t>عباس ایارده</t>
  </si>
  <si>
    <t>1388/07/26</t>
  </si>
  <si>
    <t>کلیه مجوزها به نام شرکت تعاونی می باشد.</t>
  </si>
  <si>
    <t>بودجه سال 1387 (تعهدات سفر هیات دولت)</t>
  </si>
  <si>
    <t>كارشناس طرح: عباس ایارده</t>
  </si>
  <si>
    <t>تاريخ تهيه گزارش:  1388/07/26</t>
  </si>
  <si>
    <t>هزينه عقد قرارداد با بانک (5 در هزار كل وام)</t>
  </si>
  <si>
    <t>گازوئیل</t>
  </si>
  <si>
    <t>محل 
تامين</t>
  </si>
  <si>
    <t>جعبه کمکهای اولیه</t>
  </si>
  <si>
    <t>بنزین</t>
  </si>
  <si>
    <t xml:space="preserve">مبلغ تسهيلات كوتاه مدت مصوبه قبل: </t>
  </si>
  <si>
    <t>مبلغ تسهيلات بلند مدت مصوبه قبل:</t>
  </si>
  <si>
    <t>دوران مشارکت مصوبه قبل (روز)</t>
  </si>
  <si>
    <t>كل سود تسهيلات دوران مشارکت مصوبه قبل:</t>
  </si>
  <si>
    <t>برق (کیلووات)</t>
  </si>
  <si>
    <t>ظرفیت اسمی</t>
  </si>
  <si>
    <t>متر مکعب</t>
  </si>
  <si>
    <t xml:space="preserve"> تاسيسات سوخت و سایر ( ارقام به هزار ريال )</t>
  </si>
  <si>
    <t>وسایط نقلیه</t>
  </si>
  <si>
    <t>قبل از بهره برداری خارجی</t>
  </si>
  <si>
    <t>هزینه های مجوز</t>
  </si>
  <si>
    <t>هزینه تلفن و اینترنت</t>
  </si>
  <si>
    <t>اینترنت و تلفن</t>
  </si>
  <si>
    <t>مدیر طرح</t>
  </si>
  <si>
    <t>سالن تولید</t>
  </si>
  <si>
    <t>انشعاب برق و تابلو برق اصلی و فرعی</t>
  </si>
  <si>
    <t>انشعاب آب</t>
  </si>
  <si>
    <t>انشعاب گاز</t>
  </si>
  <si>
    <t>کامپیوتر، میز، صندلی و...</t>
  </si>
  <si>
    <t>مدیر کنترل</t>
  </si>
  <si>
    <t>مهندسی</t>
  </si>
  <si>
    <t>اپراتور تولید</t>
  </si>
  <si>
    <t>مسئول کنترل کیفی</t>
  </si>
  <si>
    <t>l90-1388</t>
  </si>
  <si>
    <t>اجاره</t>
  </si>
  <si>
    <t>حقوق</t>
  </si>
  <si>
    <t>کارشناس</t>
  </si>
  <si>
    <t>مالی</t>
  </si>
  <si>
    <t>اداری</t>
  </si>
  <si>
    <t>واردات</t>
  </si>
  <si>
    <t>فروش تجهیزات</t>
  </si>
  <si>
    <t xml:space="preserve">591415 – 1400/11/18 </t>
  </si>
  <si>
    <t>1. کارت بازرگانی به شماره 10861842021 به تاریخ 1405/09/30</t>
  </si>
  <si>
    <t>مهدی شالباف</t>
  </si>
  <si>
    <t>محسن شالباف</t>
  </si>
  <si>
    <t>پروانه نوری</t>
  </si>
  <si>
    <t>نیک توران</t>
  </si>
  <si>
    <t xml:space="preserve">بازرگانی </t>
  </si>
  <si>
    <t>2 نفر</t>
  </si>
  <si>
    <t>محل اجراي طرح: امیرآباد بزرگراه جلال آل احمد خیابان پروانه (زنجانی) کوچه دهم پلاک 8 واحد 3</t>
  </si>
  <si>
    <r>
      <t>نام متقاضی</t>
    </r>
    <r>
      <rPr>
        <sz val="11"/>
        <rFont val="B Nazanin"/>
        <charset val="178"/>
      </rPr>
      <t xml:space="preserve">:   </t>
    </r>
    <r>
      <rPr>
        <b/>
        <sz val="10"/>
        <rFont val="B Nazanin"/>
        <charset val="178"/>
      </rPr>
      <t xml:space="preserve">نیک توران </t>
    </r>
  </si>
  <si>
    <r>
      <t>موضوع طرح:</t>
    </r>
    <r>
      <rPr>
        <sz val="11"/>
        <rFont val="B Nazanin"/>
        <charset val="178"/>
      </rPr>
      <t xml:space="preserve">  سرمایه در گردش</t>
    </r>
  </si>
  <si>
    <t>محل اجراي طرح : تهران:</t>
  </si>
  <si>
    <t xml:space="preserve">صادركننده مجوز: اداره ثبت شرکت ها </t>
  </si>
  <si>
    <t>بانك عامل: تجارت</t>
  </si>
  <si>
    <t xml:space="preserve">کوی گلستان </t>
  </si>
  <si>
    <r>
      <t xml:space="preserve">                                                                           </t>
    </r>
    <r>
      <rPr>
        <sz val="12"/>
        <rFont val="B Titr"/>
        <charset val="178"/>
      </rPr>
      <t>خلاصه اطلاعات صدور ضمانت نامه</t>
    </r>
    <r>
      <rPr>
        <sz val="12"/>
        <rFont val="B Nazanin"/>
        <charset val="178"/>
      </rPr>
      <t xml:space="preserve">                        تاریخ گزارش: 1405/02/29 </t>
    </r>
  </si>
  <si>
    <t xml:space="preserve">  12نفر</t>
  </si>
  <si>
    <t>12 نفر</t>
  </si>
  <si>
    <t>ايجاد    تكميلي     توسعه        درحال بهره برداري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</si>
</sst>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.00_-;\-* #,##0.00_-;_-* &quot;-&quot;??_-;_-@_-"/>
    <numFmt numFmtId="165" formatCode="#,##0.0"/>
    <numFmt numFmtId="166" formatCode="#,##0.000"/>
    <numFmt numFmtId="167" formatCode="#,##0.0000"/>
    <numFmt numFmtId="168" formatCode="0.000"/>
    <numFmt numFmtId="169" formatCode="0.0000"/>
    <numFmt numFmtId="170" formatCode="#,##0.000000"/>
    <numFmt numFmtId="171" formatCode="0.0%"/>
    <numFmt numFmtId="172" formatCode="0.0"/>
    <numFmt numFmtId="173" formatCode="0.0000E+00"/>
    <numFmt numFmtId="174" formatCode="0.0000000000"/>
    <numFmt numFmtId="175" formatCode="0.00000000000000"/>
    <numFmt numFmtId="176" formatCode="_-* #,##0.00\ _ر_ي_ا_ل_-;\-* #,##0.00\ _ر_ي_ا_ل_-;_-* &quot;-&quot;??\ _ر_ي_ا_ل_-;_-@_-"/>
    <numFmt numFmtId="177" formatCode="0.00000"/>
    <numFmt numFmtId="178" formatCode="0.0000000"/>
    <numFmt numFmtId="179" formatCode="0.000000000000000000000"/>
    <numFmt numFmtId="180" formatCode="0.000000000"/>
    <numFmt numFmtId="181" formatCode="0.000000000000"/>
  </numFmts>
  <fonts count="101">
    <font>
      <sz val="10"/>
      <name val="Arial"/>
      <charset val="178"/>
    </font>
    <font>
      <sz val="10"/>
      <name val="Arial"/>
      <charset val="178"/>
    </font>
    <font>
      <b/>
      <sz val="12"/>
      <name val="Arial"/>
      <family val="2"/>
    </font>
    <font>
      <sz val="11"/>
      <name val="Arial"/>
      <family val="2"/>
    </font>
    <font>
      <sz val="10"/>
      <name val="Lotus"/>
      <charset val="178"/>
    </font>
    <font>
      <sz val="8"/>
      <name val="Arial"/>
      <family val="2"/>
    </font>
    <font>
      <sz val="10"/>
      <name val="Mitra Bold Farsi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name val="B Nazanin"/>
      <charset val="178"/>
    </font>
    <font>
      <sz val="10"/>
      <color indexed="9"/>
      <name val="B Nazanin"/>
      <charset val="178"/>
    </font>
    <font>
      <sz val="10"/>
      <color indexed="9"/>
      <name val="Arial"/>
      <family val="2"/>
    </font>
    <font>
      <sz val="10"/>
      <name val="Arial"/>
      <family val="2"/>
    </font>
    <font>
      <sz val="12"/>
      <name val="B Lotus"/>
      <charset val="178"/>
    </font>
    <font>
      <sz val="14"/>
      <name val="B Lotus"/>
      <charset val="178"/>
    </font>
    <font>
      <b/>
      <sz val="12"/>
      <name val="B Lotus"/>
      <charset val="178"/>
    </font>
    <font>
      <sz val="14"/>
      <name val="Titr"/>
      <charset val="178"/>
    </font>
    <font>
      <b/>
      <sz val="14"/>
      <name val="Titr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sz val="11"/>
      <name val="B Nazanin"/>
      <charset val="178"/>
    </font>
    <font>
      <b/>
      <sz val="14"/>
      <name val="B Lotus"/>
      <charset val="178"/>
    </font>
    <font>
      <sz val="10"/>
      <color indexed="55"/>
      <name val="B Nazanin"/>
      <charset val="178"/>
    </font>
    <font>
      <sz val="10"/>
      <color indexed="55"/>
      <name val="Arial"/>
      <family val="2"/>
    </font>
    <font>
      <b/>
      <sz val="10"/>
      <color indexed="55"/>
      <name val="B Nazanin"/>
      <charset val="178"/>
    </font>
    <font>
      <sz val="10"/>
      <name val="B Lotus"/>
      <charset val="178"/>
    </font>
    <font>
      <b/>
      <sz val="11"/>
      <name val="B Lotus"/>
      <charset val="178"/>
    </font>
    <font>
      <b/>
      <sz val="10"/>
      <name val="B Lotus"/>
      <charset val="178"/>
    </font>
    <font>
      <sz val="11"/>
      <name val="B Lotus"/>
      <charset val="178"/>
    </font>
    <font>
      <b/>
      <i/>
      <sz val="10"/>
      <name val="B Lotus"/>
      <charset val="178"/>
    </font>
    <font>
      <b/>
      <i/>
      <sz val="11"/>
      <name val="B Lotus"/>
      <charset val="178"/>
    </font>
    <font>
      <i/>
      <sz val="14"/>
      <name val="B Lotus"/>
      <charset val="178"/>
    </font>
    <font>
      <b/>
      <i/>
      <sz val="12"/>
      <name val="B Lotus"/>
      <charset val="178"/>
    </font>
    <font>
      <i/>
      <sz val="10"/>
      <name val="B Lotus"/>
      <charset val="178"/>
    </font>
    <font>
      <sz val="8"/>
      <name val="B Lotus"/>
      <charset val="178"/>
    </font>
    <font>
      <b/>
      <sz val="9"/>
      <name val="B Lotus"/>
      <charset val="178"/>
    </font>
    <font>
      <b/>
      <i/>
      <sz val="14"/>
      <name val="B Lotus"/>
      <charset val="178"/>
    </font>
    <font>
      <b/>
      <sz val="16"/>
      <name val="B Lotus"/>
      <charset val="178"/>
    </font>
    <font>
      <i/>
      <sz val="8"/>
      <name val="B Lotus"/>
      <charset val="178"/>
    </font>
    <font>
      <sz val="12"/>
      <color indexed="9"/>
      <name val="B Lotus"/>
      <charset val="178"/>
    </font>
    <font>
      <sz val="10"/>
      <color indexed="9"/>
      <name val="B Lotus"/>
      <charset val="178"/>
    </font>
    <font>
      <sz val="11"/>
      <name val="Lotus"/>
      <charset val="178"/>
    </font>
    <font>
      <sz val="14"/>
      <name val="B Nazanin"/>
      <charset val="178"/>
    </font>
    <font>
      <sz val="13"/>
      <name val="B Nazanin"/>
      <charset val="178"/>
    </font>
    <font>
      <b/>
      <sz val="13"/>
      <name val="B Nazanin"/>
      <charset val="178"/>
    </font>
    <font>
      <sz val="12"/>
      <name val="B Nazanin"/>
      <charset val="178"/>
    </font>
    <font>
      <sz val="14"/>
      <name val="B Roya"/>
      <charset val="178"/>
    </font>
    <font>
      <b/>
      <sz val="14"/>
      <name val="B Roya"/>
      <charset val="178"/>
    </font>
    <font>
      <b/>
      <sz val="12"/>
      <name val="B Roya"/>
      <charset val="178"/>
    </font>
    <font>
      <sz val="12"/>
      <name val="B Roya"/>
      <charset val="178"/>
    </font>
    <font>
      <sz val="12"/>
      <name val="B Titr"/>
      <charset val="178"/>
    </font>
    <font>
      <sz val="10"/>
      <name val="Times New Roman"/>
      <family val="1"/>
    </font>
    <font>
      <sz val="11"/>
      <name val="B Nazanin"/>
      <charset val="178"/>
    </font>
    <font>
      <b/>
      <sz val="11"/>
      <name val="Times New Roman"/>
      <family val="1"/>
    </font>
    <font>
      <b/>
      <sz val="9"/>
      <name val="B Nazanin"/>
      <charset val="178"/>
    </font>
    <font>
      <b/>
      <sz val="8"/>
      <name val="B Nazanin"/>
      <charset val="178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color indexed="22"/>
      <name val="Arial"/>
      <family val="2"/>
    </font>
    <font>
      <b/>
      <u/>
      <sz val="14"/>
      <name val="B Roya"/>
      <charset val="178"/>
    </font>
    <font>
      <sz val="10"/>
      <name val="B Roya"/>
      <charset val="178"/>
    </font>
    <font>
      <sz val="16"/>
      <name val="B Roya"/>
      <charset val="178"/>
    </font>
    <font>
      <b/>
      <sz val="11"/>
      <name val="B Roya"/>
      <charset val="178"/>
    </font>
    <font>
      <b/>
      <sz val="10"/>
      <name val="B Roya"/>
      <charset val="178"/>
    </font>
    <font>
      <b/>
      <sz val="10"/>
      <color indexed="9"/>
      <name val="B Lotus"/>
      <charset val="178"/>
    </font>
    <font>
      <sz val="12"/>
      <color indexed="10"/>
      <name val="B Lotus"/>
      <charset val="178"/>
    </font>
    <font>
      <sz val="10"/>
      <color indexed="10"/>
      <name val="B Lotus"/>
      <charset val="178"/>
    </font>
    <font>
      <b/>
      <sz val="12"/>
      <color indexed="10"/>
      <name val="B Lotus"/>
      <charset val="178"/>
    </font>
    <font>
      <b/>
      <sz val="10"/>
      <color indexed="10"/>
      <name val="B Lotus"/>
      <charset val="178"/>
    </font>
    <font>
      <sz val="10"/>
      <color indexed="10"/>
      <name val="B Roya"/>
      <charset val="178"/>
    </font>
    <font>
      <b/>
      <sz val="10"/>
      <name val="Arial"/>
      <family val="2"/>
    </font>
    <font>
      <b/>
      <sz val="12"/>
      <color indexed="45"/>
      <name val="B Lotus"/>
      <charset val="178"/>
    </font>
    <font>
      <b/>
      <sz val="10"/>
      <color indexed="45"/>
      <name val="B Lotus"/>
      <charset val="178"/>
    </font>
    <font>
      <sz val="8"/>
      <color indexed="22"/>
      <name val="B Lotus"/>
      <charset val="178"/>
    </font>
    <font>
      <sz val="14"/>
      <name val="B Titr"/>
      <charset val="178"/>
    </font>
    <font>
      <sz val="12"/>
      <name val="Arial"/>
      <family val="2"/>
    </font>
    <font>
      <b/>
      <sz val="16"/>
      <name val="B Roya"/>
      <charset val="178"/>
    </font>
    <font>
      <sz val="14"/>
      <color indexed="10"/>
      <name val="B Lotus"/>
      <charset val="178"/>
    </font>
    <font>
      <sz val="12"/>
      <name val="B Traffic"/>
      <charset val="178"/>
    </font>
    <font>
      <b/>
      <sz val="12"/>
      <name val="B Traffic"/>
      <charset val="178"/>
    </font>
    <font>
      <sz val="11"/>
      <name val="B Traffic"/>
      <charset val="178"/>
    </font>
    <font>
      <b/>
      <sz val="11"/>
      <name val="B Traffic"/>
      <charset val="178"/>
    </font>
    <font>
      <b/>
      <sz val="14"/>
      <name val="B Traffic"/>
      <charset val="178"/>
    </font>
    <font>
      <i/>
      <sz val="12"/>
      <name val="B Traffic"/>
      <charset val="178"/>
    </font>
    <font>
      <sz val="8"/>
      <name val="B Traffic"/>
      <charset val="178"/>
    </font>
    <font>
      <sz val="10"/>
      <name val="B Traffic"/>
      <charset val="178"/>
    </font>
    <font>
      <b/>
      <sz val="10"/>
      <name val="B Traffic"/>
      <charset val="178"/>
    </font>
    <font>
      <sz val="14"/>
      <name val="B Traffic"/>
      <charset val="178"/>
    </font>
    <font>
      <b/>
      <sz val="12"/>
      <color indexed="45"/>
      <name val="B Traffic"/>
      <charset val="178"/>
    </font>
    <font>
      <sz val="12"/>
      <color indexed="10"/>
      <name val="B Traffic"/>
      <charset val="178"/>
    </font>
    <font>
      <sz val="10"/>
      <color indexed="9"/>
      <name val="B Traffic"/>
      <charset val="178"/>
    </font>
    <font>
      <sz val="12"/>
      <color indexed="9"/>
      <name val="B Traffic"/>
      <charset val="178"/>
    </font>
    <font>
      <b/>
      <i/>
      <sz val="14"/>
      <name val="B Traffic"/>
      <charset val="178"/>
    </font>
    <font>
      <b/>
      <sz val="15"/>
      <name val="B Titr"/>
      <charset val="178"/>
    </font>
    <font>
      <b/>
      <sz val="12"/>
      <name val="B Titr"/>
      <charset val="178"/>
    </font>
    <font>
      <sz val="11.5"/>
      <name val="B Lotus"/>
      <charset val="178"/>
    </font>
    <font>
      <b/>
      <sz val="14"/>
      <name val="B Titr"/>
      <charset val="178"/>
    </font>
    <font>
      <sz val="11"/>
      <color indexed="8"/>
      <name val="B Lotus"/>
      <charset val="178"/>
    </font>
    <font>
      <sz val="10"/>
      <color rgb="FFFF0000"/>
      <name val="B Lotus"/>
      <charset val="178"/>
    </font>
    <font>
      <sz val="10"/>
      <color rgb="FF000000"/>
      <name val="Calibri"/>
    </font>
    <font>
      <sz val="16"/>
      <name val="B Lotus"/>
      <charset val="178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</cellStyleXfs>
  <cellXfs count="1376">
    <xf numFmtId="0" fontId="0" fillId="0" borderId="0" xfId="0"/>
    <xf numFmtId="0" fontId="6" fillId="0" borderId="0" xfId="0" applyFont="1" applyAlignment="1">
      <alignment horizontal="right" vertical="center" readingOrder="2"/>
    </xf>
    <xf numFmtId="3" fontId="6" fillId="0" borderId="0" xfId="0" applyNumberFormat="1" applyFont="1" applyAlignment="1">
      <alignment horizontal="right" vertical="center" readingOrder="2"/>
    </xf>
    <xf numFmtId="1" fontId="9" fillId="2" borderId="1" xfId="0" applyNumberFormat="1" applyFont="1" applyFill="1" applyBorder="1" applyAlignment="1" applyProtection="1">
      <alignment horizontal="center" vertical="center"/>
      <protection hidden="1"/>
    </xf>
    <xf numFmtId="1" fontId="9" fillId="2" borderId="2" xfId="0" applyNumberFormat="1" applyFont="1" applyFill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1" fontId="9" fillId="0" borderId="2" xfId="0" applyNumberFormat="1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0" fontId="9" fillId="4" borderId="3" xfId="0" applyFont="1" applyFill="1" applyBorder="1" applyAlignment="1" applyProtection="1">
      <alignment horizontal="center" vertical="center"/>
      <protection hidden="1"/>
    </xf>
    <xf numFmtId="1" fontId="9" fillId="4" borderId="4" xfId="0" applyNumberFormat="1" applyFont="1" applyFill="1" applyBorder="1" applyAlignment="1" applyProtection="1">
      <alignment horizontal="center" vertical="center"/>
      <protection hidden="1"/>
    </xf>
    <xf numFmtId="9" fontId="10" fillId="5" borderId="0" xfId="0" applyNumberFormat="1" applyFont="1" applyFill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 readingOrder="2"/>
      <protection hidden="1"/>
    </xf>
    <xf numFmtId="0" fontId="8" fillId="0" borderId="0" xfId="0" applyFont="1" applyAlignment="1" applyProtection="1">
      <alignment horizontal="center" vertical="center" readingOrder="2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 readingOrder="2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2" fontId="2" fillId="4" borderId="0" xfId="0" applyNumberFormat="1" applyFont="1" applyFill="1" applyAlignment="1" applyProtection="1">
      <alignment horizontal="center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  <xf numFmtId="0" fontId="13" fillId="3" borderId="2" xfId="0" applyFont="1" applyFill="1" applyBorder="1" applyAlignment="1" applyProtection="1">
      <alignment horizontal="center" vertical="center" readingOrder="2"/>
      <protection locked="0"/>
    </xf>
    <xf numFmtId="0" fontId="19" fillId="4" borderId="5" xfId="0" applyFont="1" applyFill="1" applyBorder="1" applyAlignment="1" applyProtection="1">
      <alignment horizontal="center" vertical="center"/>
      <protection hidden="1"/>
    </xf>
    <xf numFmtId="1" fontId="20" fillId="4" borderId="6" xfId="0" applyNumberFormat="1" applyFont="1" applyFill="1" applyBorder="1" applyAlignment="1" applyProtection="1">
      <alignment horizontal="center" vertical="center" wrapText="1"/>
      <protection hidden="1"/>
    </xf>
    <xf numFmtId="1" fontId="19" fillId="4" borderId="6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1" fontId="19" fillId="4" borderId="7" xfId="0" applyNumberFormat="1" applyFont="1" applyFill="1" applyBorder="1" applyAlignment="1" applyProtection="1">
      <alignment horizontal="center" vertical="center"/>
      <protection hidden="1"/>
    </xf>
    <xf numFmtId="0" fontId="9" fillId="2" borderId="8" xfId="0" applyFont="1" applyFill="1" applyBorder="1" applyAlignment="1" applyProtection="1">
      <alignment horizontal="center" vertical="center"/>
      <protection hidden="1"/>
    </xf>
    <xf numFmtId="2" fontId="12" fillId="2" borderId="9" xfId="0" applyNumberFormat="1" applyFont="1" applyFill="1" applyBorder="1" applyAlignment="1" applyProtection="1">
      <alignment horizontal="center" vertical="center" readingOrder="2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2" fontId="22" fillId="0" borderId="0" xfId="0" applyNumberFormat="1" applyFont="1" applyAlignment="1" applyProtection="1">
      <alignment horizontal="center" vertical="center" readingOrder="2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 wrapText="1"/>
      <protection hidden="1"/>
    </xf>
    <xf numFmtId="173" fontId="24" fillId="0" borderId="0" xfId="0" applyNumberFormat="1" applyFont="1" applyAlignment="1" applyProtection="1">
      <alignment horizontal="center" vertical="center" readingOrder="2"/>
      <protection hidden="1"/>
    </xf>
    <xf numFmtId="0" fontId="22" fillId="0" borderId="0" xfId="0" applyFont="1" applyAlignment="1" applyProtection="1">
      <alignment horizontal="center" vertical="center" readingOrder="2"/>
      <protection hidden="1"/>
    </xf>
    <xf numFmtId="1" fontId="22" fillId="0" borderId="0" xfId="0" applyNumberFormat="1" applyFont="1" applyAlignment="1" applyProtection="1">
      <alignment horizontal="center" vertical="center" readingOrder="2"/>
      <protection hidden="1"/>
    </xf>
    <xf numFmtId="0" fontId="23" fillId="0" borderId="0" xfId="0" applyFont="1" applyAlignment="1" applyProtection="1">
      <alignment horizontal="center" vertical="center" readingOrder="2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2" fontId="22" fillId="2" borderId="0" xfId="0" applyNumberFormat="1" applyFont="1" applyFill="1" applyAlignment="1" applyProtection="1">
      <alignment horizontal="center" vertical="center" readingOrder="2"/>
      <protection hidden="1"/>
    </xf>
    <xf numFmtId="173" fontId="24" fillId="4" borderId="0" xfId="0" applyNumberFormat="1" applyFont="1" applyFill="1" applyAlignment="1" applyProtection="1">
      <alignment horizontal="center" vertical="center" readingOrder="2"/>
      <protection hidden="1"/>
    </xf>
    <xf numFmtId="0" fontId="0" fillId="0" borderId="0" xfId="0" applyProtection="1">
      <protection hidden="1"/>
    </xf>
    <xf numFmtId="0" fontId="25" fillId="0" borderId="0" xfId="0" applyFont="1" applyAlignment="1">
      <alignment horizontal="center"/>
    </xf>
    <xf numFmtId="0" fontId="15" fillId="6" borderId="2" xfId="0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center" vertical="center" wrapText="1" readingOrder="2"/>
    </xf>
    <xf numFmtId="3" fontId="13" fillId="3" borderId="2" xfId="0" applyNumberFormat="1" applyFont="1" applyFill="1" applyBorder="1" applyAlignment="1" applyProtection="1">
      <alignment horizontal="center" vertical="center" readingOrder="2"/>
      <protection locked="0"/>
    </xf>
    <xf numFmtId="2" fontId="13" fillId="0" borderId="2" xfId="0" applyNumberFormat="1" applyFont="1" applyBorder="1" applyAlignment="1" applyProtection="1">
      <alignment horizontal="center" vertical="center" readingOrder="2"/>
      <protection hidden="1"/>
    </xf>
    <xf numFmtId="0" fontId="27" fillId="0" borderId="0" xfId="0" applyFont="1" applyAlignment="1">
      <alignment horizontal="center"/>
    </xf>
    <xf numFmtId="3" fontId="13" fillId="0" borderId="0" xfId="0" applyNumberFormat="1" applyFont="1" applyAlignment="1">
      <alignment horizontal="center"/>
    </xf>
    <xf numFmtId="3" fontId="13" fillId="0" borderId="10" xfId="0" applyNumberFormat="1" applyFont="1" applyBorder="1" applyAlignment="1">
      <alignment horizontal="center"/>
    </xf>
    <xf numFmtId="167" fontId="13" fillId="0" borderId="0" xfId="0" applyNumberFormat="1" applyFont="1" applyAlignment="1">
      <alignment horizontal="center"/>
    </xf>
    <xf numFmtId="0" fontId="25" fillId="0" borderId="0" xfId="0" applyFont="1" applyAlignment="1">
      <alignment vertical="center" readingOrder="2"/>
    </xf>
    <xf numFmtId="0" fontId="26" fillId="6" borderId="2" xfId="0" applyFont="1" applyFill="1" applyBorder="1" applyAlignment="1">
      <alignment horizontal="center" vertical="center" readingOrder="2"/>
    </xf>
    <xf numFmtId="0" fontId="15" fillId="7" borderId="2" xfId="0" applyFont="1" applyFill="1" applyBorder="1" applyAlignment="1">
      <alignment horizontal="center" vertical="center" readingOrder="2"/>
    </xf>
    <xf numFmtId="0" fontId="13" fillId="7" borderId="2" xfId="0" applyFont="1" applyFill="1" applyBorder="1" applyAlignment="1">
      <alignment horizontal="center" vertical="center" readingOrder="2"/>
    </xf>
    <xf numFmtId="3" fontId="28" fillId="3" borderId="2" xfId="1" applyNumberFormat="1" applyFont="1" applyFill="1" applyBorder="1" applyAlignment="1" applyProtection="1">
      <alignment horizontal="center" vertical="center" readingOrder="2"/>
      <protection locked="0"/>
    </xf>
    <xf numFmtId="0" fontId="28" fillId="3" borderId="2" xfId="0" applyFont="1" applyFill="1" applyBorder="1" applyAlignment="1" applyProtection="1">
      <alignment horizontal="center" vertical="center" readingOrder="2"/>
      <protection locked="0"/>
    </xf>
    <xf numFmtId="2" fontId="28" fillId="3" borderId="2" xfId="0" applyNumberFormat="1" applyFont="1" applyFill="1" applyBorder="1" applyAlignment="1" applyProtection="1">
      <alignment horizontal="center" vertical="center" readingOrder="2"/>
      <protection locked="0"/>
    </xf>
    <xf numFmtId="2" fontId="28" fillId="0" borderId="2" xfId="0" applyNumberFormat="1" applyFont="1" applyBorder="1" applyAlignment="1" applyProtection="1">
      <alignment horizontal="center" vertical="center" readingOrder="2"/>
      <protection hidden="1"/>
    </xf>
    <xf numFmtId="0" fontId="13" fillId="0" borderId="2" xfId="0" applyFont="1" applyBorder="1" applyAlignment="1">
      <alignment horizontal="center" vertical="center" readingOrder="2"/>
    </xf>
    <xf numFmtId="168" fontId="15" fillId="0" borderId="2" xfId="0" applyNumberFormat="1" applyFont="1" applyBorder="1" applyAlignment="1">
      <alignment horizontal="center" vertical="center" readingOrder="2"/>
    </xf>
    <xf numFmtId="0" fontId="29" fillId="0" borderId="0" xfId="0" applyFont="1" applyAlignment="1">
      <alignment vertical="center" readingOrder="2"/>
    </xf>
    <xf numFmtId="0" fontId="25" fillId="0" borderId="0" xfId="0" applyFont="1" applyAlignment="1">
      <alignment vertical="center" readingOrder="1"/>
    </xf>
    <xf numFmtId="0" fontId="25" fillId="0" borderId="0" xfId="0" applyFont="1" applyAlignment="1">
      <alignment vertical="center"/>
    </xf>
    <xf numFmtId="2" fontId="25" fillId="0" borderId="0" xfId="0" applyNumberFormat="1" applyFont="1" applyAlignment="1">
      <alignment vertical="center" readingOrder="2"/>
    </xf>
    <xf numFmtId="0" fontId="25" fillId="0" borderId="0" xfId="0" applyFont="1" applyAlignment="1">
      <alignment horizontal="center" vertical="center" readingOrder="1"/>
    </xf>
    <xf numFmtId="0" fontId="26" fillId="6" borderId="6" xfId="0" applyFont="1" applyFill="1" applyBorder="1" applyAlignment="1">
      <alignment horizontal="center" vertical="center" wrapText="1" readingOrder="2"/>
    </xf>
    <xf numFmtId="0" fontId="26" fillId="6" borderId="11" xfId="0" applyFont="1" applyFill="1" applyBorder="1" applyAlignment="1">
      <alignment horizontal="center" vertical="center" readingOrder="2"/>
    </xf>
    <xf numFmtId="0" fontId="28" fillId="3" borderId="1" xfId="0" applyFont="1" applyFill="1" applyBorder="1" applyAlignment="1" applyProtection="1">
      <alignment horizontal="center" vertical="center" readingOrder="2"/>
      <protection locked="0"/>
    </xf>
    <xf numFmtId="165" fontId="25" fillId="0" borderId="0" xfId="0" applyNumberFormat="1" applyFont="1" applyAlignment="1">
      <alignment horizontal="center" vertical="center" readingOrder="1"/>
    </xf>
    <xf numFmtId="2" fontId="13" fillId="3" borderId="12" xfId="0" applyNumberFormat="1" applyFont="1" applyFill="1" applyBorder="1" applyAlignment="1">
      <alignment horizontal="center" vertical="center" readingOrder="2"/>
    </xf>
    <xf numFmtId="2" fontId="13" fillId="3" borderId="2" xfId="0" applyNumberFormat="1" applyFont="1" applyFill="1" applyBorder="1" applyAlignment="1">
      <alignment horizontal="center" vertical="center" readingOrder="2"/>
    </xf>
    <xf numFmtId="1" fontId="26" fillId="0" borderId="4" xfId="0" applyNumberFormat="1" applyFont="1" applyBorder="1" applyAlignment="1">
      <alignment horizontal="center" vertical="center" readingOrder="2"/>
    </xf>
    <xf numFmtId="2" fontId="26" fillId="0" borderId="4" xfId="0" applyNumberFormat="1" applyFont="1" applyBorder="1" applyAlignment="1">
      <alignment horizontal="center" vertical="center" readingOrder="2"/>
    </xf>
    <xf numFmtId="2" fontId="26" fillId="0" borderId="4" xfId="0" applyNumberFormat="1" applyFont="1" applyBorder="1" applyAlignment="1" applyProtection="1">
      <alignment horizontal="center" vertical="center" readingOrder="2"/>
      <protection hidden="1"/>
    </xf>
    <xf numFmtId="2" fontId="26" fillId="0" borderId="13" xfId="0" applyNumberFormat="1" applyFont="1" applyBorder="1" applyAlignment="1" applyProtection="1">
      <alignment horizontal="center" vertical="center" readingOrder="2"/>
      <protection hidden="1"/>
    </xf>
    <xf numFmtId="2" fontId="21" fillId="0" borderId="12" xfId="0" applyNumberFormat="1" applyFont="1" applyBorder="1" applyAlignment="1">
      <alignment horizontal="center" vertical="center" readingOrder="2"/>
    </xf>
    <xf numFmtId="2" fontId="21" fillId="0" borderId="2" xfId="0" applyNumberFormat="1" applyFont="1" applyBorder="1" applyAlignment="1">
      <alignment horizontal="center" vertical="center" readingOrder="2"/>
    </xf>
    <xf numFmtId="0" fontId="31" fillId="0" borderId="0" xfId="0" applyFont="1" applyAlignment="1">
      <alignment horizontal="center" vertical="center" readingOrder="1"/>
    </xf>
    <xf numFmtId="165" fontId="33" fillId="0" borderId="0" xfId="0" applyNumberFormat="1" applyFont="1" applyAlignment="1">
      <alignment horizontal="center" vertical="center" readingOrder="1"/>
    </xf>
    <xf numFmtId="0" fontId="33" fillId="0" borderId="0" xfId="0" applyFont="1" applyAlignment="1">
      <alignment horizontal="center" vertical="center" readingOrder="1"/>
    </xf>
    <xf numFmtId="0" fontId="28" fillId="3" borderId="2" xfId="0" applyFont="1" applyFill="1" applyBorder="1" applyAlignment="1" applyProtection="1">
      <alignment horizontal="right" vertical="center" wrapText="1" indent="1" readingOrder="2"/>
      <protection locked="0"/>
    </xf>
    <xf numFmtId="0" fontId="21" fillId="0" borderId="0" xfId="0" applyFont="1" applyAlignment="1">
      <alignment horizontal="center" vertical="center" readingOrder="1"/>
    </xf>
    <xf numFmtId="3" fontId="26" fillId="0" borderId="0" xfId="0" applyNumberFormat="1" applyFont="1" applyAlignment="1">
      <alignment horizontal="center" vertical="center" readingOrder="2"/>
    </xf>
    <xf numFmtId="2" fontId="26" fillId="0" borderId="0" xfId="0" applyNumberFormat="1" applyFont="1" applyAlignment="1">
      <alignment horizontal="center" vertical="center" readingOrder="2"/>
    </xf>
    <xf numFmtId="2" fontId="26" fillId="0" borderId="0" xfId="0" applyNumberFormat="1" applyFont="1" applyAlignment="1" applyProtection="1">
      <alignment horizontal="center" vertical="center" readingOrder="2"/>
      <protection hidden="1"/>
    </xf>
    <xf numFmtId="2" fontId="26" fillId="0" borderId="0" xfId="0" quotePrefix="1" applyNumberFormat="1" applyFont="1" applyAlignment="1">
      <alignment horizontal="center" vertical="center" readingOrder="2"/>
    </xf>
    <xf numFmtId="0" fontId="15" fillId="7" borderId="0" xfId="0" applyFont="1" applyFill="1" applyAlignment="1">
      <alignment vertical="center" readingOrder="2"/>
    </xf>
    <xf numFmtId="0" fontId="15" fillId="7" borderId="14" xfId="0" applyFont="1" applyFill="1" applyBorder="1" applyAlignment="1">
      <alignment vertical="center" readingOrder="2"/>
    </xf>
    <xf numFmtId="0" fontId="34" fillId="0" borderId="14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8" fillId="3" borderId="12" xfId="0" applyFont="1" applyFill="1" applyBorder="1" applyAlignment="1" applyProtection="1">
      <alignment horizontal="center" vertical="center" readingOrder="2"/>
      <protection locked="0"/>
    </xf>
    <xf numFmtId="2" fontId="28" fillId="0" borderId="2" xfId="0" quotePrefix="1" applyNumberFormat="1" applyFont="1" applyBorder="1" applyAlignment="1" applyProtection="1">
      <alignment horizontal="center" vertical="center" readingOrder="2"/>
      <protection hidden="1"/>
    </xf>
    <xf numFmtId="0" fontId="29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2" fontId="34" fillId="0" borderId="0" xfId="0" applyNumberFormat="1" applyFont="1" applyAlignment="1">
      <alignment horizontal="center" readingOrder="2"/>
    </xf>
    <xf numFmtId="3" fontId="34" fillId="0" borderId="0" xfId="0" applyNumberFormat="1" applyFont="1" applyAlignment="1">
      <alignment horizontal="center" readingOrder="2"/>
    </xf>
    <xf numFmtId="166" fontId="34" fillId="0" borderId="0" xfId="0" applyNumberFormat="1" applyFont="1" applyAlignment="1">
      <alignment horizontal="center" readingOrder="2"/>
    </xf>
    <xf numFmtId="0" fontId="15" fillId="6" borderId="5" xfId="0" applyFont="1" applyFill="1" applyBorder="1" applyAlignment="1">
      <alignment horizontal="center" vertical="center" textRotation="90" readingOrder="2"/>
    </xf>
    <xf numFmtId="0" fontId="15" fillId="6" borderId="6" xfId="0" applyFont="1" applyFill="1" applyBorder="1" applyAlignment="1">
      <alignment horizontal="center" vertical="center" readingOrder="2"/>
    </xf>
    <xf numFmtId="0" fontId="15" fillId="6" borderId="6" xfId="0" applyFont="1" applyFill="1" applyBorder="1" applyAlignment="1">
      <alignment horizontal="center" vertical="center" wrapText="1" readingOrder="2"/>
    </xf>
    <xf numFmtId="0" fontId="15" fillId="6" borderId="2" xfId="0" applyFont="1" applyFill="1" applyBorder="1" applyAlignment="1">
      <alignment horizontal="center" vertical="center" wrapText="1" readingOrder="2"/>
    </xf>
    <xf numFmtId="0" fontId="13" fillId="3" borderId="1" xfId="0" applyFont="1" applyFill="1" applyBorder="1" applyAlignment="1" applyProtection="1">
      <alignment horizontal="center" vertical="center" readingOrder="2"/>
      <protection locked="0"/>
    </xf>
    <xf numFmtId="1" fontId="13" fillId="3" borderId="2" xfId="0" applyNumberFormat="1" applyFont="1" applyFill="1" applyBorder="1" applyAlignment="1" applyProtection="1">
      <alignment horizontal="center" vertical="center" readingOrder="2"/>
      <protection locked="0"/>
    </xf>
    <xf numFmtId="0" fontId="27" fillId="6" borderId="2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1" fontId="25" fillId="3" borderId="1" xfId="0" applyNumberFormat="1" applyFont="1" applyFill="1" applyBorder="1" applyAlignment="1" applyProtection="1">
      <alignment horizontal="center" vertical="center" readingOrder="2"/>
      <protection locked="0"/>
    </xf>
    <xf numFmtId="2" fontId="25" fillId="3" borderId="2" xfId="0" applyNumberFormat="1" applyFont="1" applyFill="1" applyBorder="1" applyAlignment="1" applyProtection="1">
      <alignment horizontal="center" vertical="center" readingOrder="2"/>
      <protection locked="0"/>
    </xf>
    <xf numFmtId="0" fontId="37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37" fillId="0" borderId="15" xfId="0" applyFont="1" applyBorder="1" applyAlignment="1" applyProtection="1">
      <alignment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27" fillId="6" borderId="12" xfId="0" applyFont="1" applyFill="1" applyBorder="1" applyAlignment="1" applyProtection="1">
      <alignment horizontal="center" vertical="center" wrapText="1"/>
      <protection hidden="1"/>
    </xf>
    <xf numFmtId="0" fontId="27" fillId="0" borderId="16" xfId="0" applyFont="1" applyBorder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  <xf numFmtId="0" fontId="27" fillId="0" borderId="18" xfId="0" applyFont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27" fillId="6" borderId="2" xfId="0" applyFont="1" applyFill="1" applyBorder="1" applyAlignment="1" applyProtection="1">
      <alignment horizontal="center" vertical="center" wrapText="1"/>
      <protection hidden="1"/>
    </xf>
    <xf numFmtId="0" fontId="27" fillId="6" borderId="11" xfId="0" applyFont="1" applyFill="1" applyBorder="1" applyAlignment="1" applyProtection="1">
      <alignment horizontal="center" vertical="center" wrapText="1"/>
      <protection hidden="1"/>
    </xf>
    <xf numFmtId="0" fontId="25" fillId="0" borderId="5" xfId="0" applyFont="1" applyBorder="1" applyAlignment="1" applyProtection="1">
      <alignment vertical="center"/>
      <protection hidden="1"/>
    </xf>
    <xf numFmtId="0" fontId="25" fillId="0" borderId="6" xfId="0" applyFont="1" applyBorder="1" applyAlignment="1" applyProtection="1">
      <alignment vertical="center"/>
      <protection hidden="1"/>
    </xf>
    <xf numFmtId="1" fontId="13" fillId="0" borderId="6" xfId="0" applyNumberFormat="1" applyFont="1" applyBorder="1" applyAlignment="1" applyProtection="1">
      <alignment horizontal="center" vertical="center" readingOrder="2"/>
      <protection hidden="1"/>
    </xf>
    <xf numFmtId="1" fontId="13" fillId="0" borderId="7" xfId="0" applyNumberFormat="1" applyFont="1" applyBorder="1" applyAlignment="1" applyProtection="1">
      <alignment horizontal="center" vertical="center" readingOrder="2"/>
      <protection hidden="1"/>
    </xf>
    <xf numFmtId="0" fontId="25" fillId="0" borderId="0" xfId="0" applyFont="1" applyAlignment="1" applyProtection="1">
      <alignment vertical="center" readingOrder="2"/>
      <protection hidden="1"/>
    </xf>
    <xf numFmtId="0" fontId="25" fillId="3" borderId="1" xfId="0" applyFont="1" applyFill="1" applyBorder="1" applyAlignment="1" applyProtection="1">
      <alignment horizontal="center" vertical="center" readingOrder="2"/>
      <protection locked="0"/>
    </xf>
    <xf numFmtId="0" fontId="25" fillId="3" borderId="2" xfId="0" applyFont="1" applyFill="1" applyBorder="1" applyAlignment="1" applyProtection="1">
      <alignment vertical="center"/>
      <protection locked="0"/>
    </xf>
    <xf numFmtId="2" fontId="13" fillId="0" borderId="12" xfId="0" applyNumberFormat="1" applyFont="1" applyBorder="1" applyAlignment="1" applyProtection="1">
      <alignment horizontal="center" vertical="center" readingOrder="2"/>
      <protection hidden="1"/>
    </xf>
    <xf numFmtId="0" fontId="25" fillId="0" borderId="1" xfId="0" applyFont="1" applyBorder="1" applyAlignment="1" applyProtection="1">
      <alignment vertical="center"/>
      <protection hidden="1"/>
    </xf>
    <xf numFmtId="0" fontId="25" fillId="0" borderId="2" xfId="0" applyFont="1" applyBorder="1" applyAlignment="1" applyProtection="1">
      <alignment vertical="center"/>
      <protection hidden="1"/>
    </xf>
    <xf numFmtId="1" fontId="13" fillId="0" borderId="2" xfId="0" applyNumberFormat="1" applyFont="1" applyBorder="1" applyAlignment="1" applyProtection="1">
      <alignment horizontal="center" vertical="center" readingOrder="2"/>
      <protection hidden="1"/>
    </xf>
    <xf numFmtId="1" fontId="13" fillId="0" borderId="11" xfId="0" applyNumberFormat="1" applyFont="1" applyBorder="1" applyAlignment="1" applyProtection="1">
      <alignment horizontal="center" vertical="center" readingOrder="2"/>
      <protection hidden="1"/>
    </xf>
    <xf numFmtId="0" fontId="25" fillId="0" borderId="19" xfId="0" applyFont="1" applyBorder="1" applyAlignment="1" applyProtection="1">
      <alignment vertical="center"/>
      <protection hidden="1"/>
    </xf>
    <xf numFmtId="0" fontId="25" fillId="0" borderId="20" xfId="0" applyFont="1" applyBorder="1" applyAlignment="1" applyProtection="1">
      <alignment vertical="center"/>
      <protection hidden="1"/>
    </xf>
    <xf numFmtId="1" fontId="13" fillId="0" borderId="20" xfId="0" applyNumberFormat="1" applyFont="1" applyBorder="1" applyAlignment="1" applyProtection="1">
      <alignment horizontal="center" vertical="center" readingOrder="2"/>
      <protection hidden="1"/>
    </xf>
    <xf numFmtId="1" fontId="13" fillId="0" borderId="21" xfId="0" applyNumberFormat="1" applyFont="1" applyBorder="1" applyAlignment="1" applyProtection="1">
      <alignment horizontal="center" vertical="center" readingOrder="2"/>
      <protection hidden="1"/>
    </xf>
    <xf numFmtId="2" fontId="15" fillId="0" borderId="2" xfId="0" applyNumberFormat="1" applyFont="1" applyBorder="1" applyAlignment="1" applyProtection="1">
      <alignment horizontal="center" vertical="center" readingOrder="2"/>
      <protection hidden="1"/>
    </xf>
    <xf numFmtId="2" fontId="15" fillId="0" borderId="12" xfId="0" applyNumberFormat="1" applyFont="1" applyBorder="1" applyAlignment="1" applyProtection="1">
      <alignment horizontal="center" vertical="center" readingOrder="2"/>
      <protection hidden="1"/>
    </xf>
    <xf numFmtId="0" fontId="13" fillId="0" borderId="22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1" fontId="13" fillId="0" borderId="0" xfId="0" applyNumberFormat="1" applyFont="1" applyAlignment="1" applyProtection="1">
      <alignment horizontal="center" vertical="center" readingOrder="2"/>
      <protection hidden="1"/>
    </xf>
    <xf numFmtId="1" fontId="13" fillId="0" borderId="23" xfId="0" applyNumberFormat="1" applyFont="1" applyBorder="1" applyAlignment="1" applyProtection="1">
      <alignment horizontal="center" vertical="center" readingOrder="2"/>
      <protection hidden="1"/>
    </xf>
    <xf numFmtId="1" fontId="13" fillId="0" borderId="24" xfId="0" applyNumberFormat="1" applyFont="1" applyBorder="1" applyAlignment="1" applyProtection="1">
      <alignment horizontal="center" vertical="center" readingOrder="2"/>
      <protection hidden="1"/>
    </xf>
    <xf numFmtId="0" fontId="15" fillId="0" borderId="25" xfId="0" applyFont="1" applyBorder="1" applyAlignment="1" applyProtection="1">
      <alignment horizontal="center" vertical="center" readingOrder="2"/>
      <protection hidden="1"/>
    </xf>
    <xf numFmtId="0" fontId="27" fillId="0" borderId="0" xfId="0" applyFont="1" applyAlignment="1" applyProtection="1">
      <alignment vertical="center" readingOrder="2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readingOrder="2"/>
      <protection hidden="1"/>
    </xf>
    <xf numFmtId="0" fontId="25" fillId="6" borderId="5" xfId="0" applyFont="1" applyFill="1" applyBorder="1" applyAlignment="1">
      <alignment horizontal="center" vertical="center" textRotation="90"/>
    </xf>
    <xf numFmtId="0" fontId="25" fillId="6" borderId="6" xfId="0" applyFont="1" applyFill="1" applyBorder="1" applyAlignment="1">
      <alignment horizontal="center" vertical="center"/>
    </xf>
    <xf numFmtId="0" fontId="25" fillId="6" borderId="6" xfId="0" applyFont="1" applyFill="1" applyBorder="1" applyAlignment="1">
      <alignment horizontal="center" vertical="center" wrapText="1"/>
    </xf>
    <xf numFmtId="9" fontId="25" fillId="6" borderId="6" xfId="0" applyNumberFormat="1" applyFont="1" applyFill="1" applyBorder="1" applyAlignment="1">
      <alignment horizontal="center" vertical="center" wrapText="1"/>
    </xf>
    <xf numFmtId="0" fontId="25" fillId="6" borderId="7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 applyProtection="1">
      <alignment horizontal="center" vertical="center" readingOrder="2"/>
      <protection locked="0"/>
    </xf>
    <xf numFmtId="0" fontId="28" fillId="3" borderId="20" xfId="0" applyFont="1" applyFill="1" applyBorder="1" applyAlignment="1" applyProtection="1">
      <alignment horizontal="center" vertical="center" readingOrder="2"/>
      <protection locked="0"/>
    </xf>
    <xf numFmtId="0" fontId="2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readingOrder="2"/>
    </xf>
    <xf numFmtId="9" fontId="25" fillId="0" borderId="0" xfId="0" applyNumberFormat="1" applyFont="1" applyAlignment="1">
      <alignment horizontal="center" vertical="center"/>
    </xf>
    <xf numFmtId="3" fontId="21" fillId="0" borderId="0" xfId="0" applyNumberFormat="1" applyFont="1" applyAlignment="1" applyProtection="1">
      <alignment horizontal="center" vertical="center"/>
      <protection hidden="1"/>
    </xf>
    <xf numFmtId="3" fontId="34" fillId="0" borderId="0" xfId="0" applyNumberFormat="1" applyFont="1" applyAlignment="1" applyProtection="1">
      <alignment horizontal="center" vertical="center"/>
      <protection hidden="1"/>
    </xf>
    <xf numFmtId="0" fontId="15" fillId="6" borderId="5" xfId="0" applyFont="1" applyFill="1" applyBorder="1" applyAlignment="1" applyProtection="1">
      <alignment horizontal="center" vertical="center" readingOrder="2"/>
      <protection hidden="1"/>
    </xf>
    <xf numFmtId="0" fontId="15" fillId="6" borderId="6" xfId="0" applyFont="1" applyFill="1" applyBorder="1" applyAlignment="1" applyProtection="1">
      <alignment horizontal="center" vertical="center" readingOrder="2"/>
      <protection hidden="1"/>
    </xf>
    <xf numFmtId="0" fontId="26" fillId="6" borderId="6" xfId="0" applyFont="1" applyFill="1" applyBorder="1" applyAlignment="1" applyProtection="1">
      <alignment horizontal="center" vertical="center" wrapText="1" readingOrder="2"/>
      <protection hidden="1"/>
    </xf>
    <xf numFmtId="0" fontId="15" fillId="6" borderId="7" xfId="0" applyFont="1" applyFill="1" applyBorder="1" applyAlignment="1" applyProtection="1">
      <alignment horizontal="center" vertical="center" readingOrder="2"/>
      <protection hidden="1"/>
    </xf>
    <xf numFmtId="3" fontId="13" fillId="3" borderId="1" xfId="0" applyNumberFormat="1" applyFont="1" applyFill="1" applyBorder="1" applyAlignment="1" applyProtection="1">
      <alignment horizontal="center" vertical="center" readingOrder="2"/>
      <protection hidden="1"/>
    </xf>
    <xf numFmtId="165" fontId="13" fillId="3" borderId="2" xfId="0" applyNumberFormat="1" applyFont="1" applyFill="1" applyBorder="1" applyAlignment="1" applyProtection="1">
      <alignment horizontal="center" vertical="center" readingOrder="2"/>
      <protection locked="0"/>
    </xf>
    <xf numFmtId="165" fontId="13" fillId="3" borderId="2" xfId="0" applyNumberFormat="1" applyFont="1" applyFill="1" applyBorder="1" applyAlignment="1" applyProtection="1">
      <alignment horizontal="center" vertical="center" readingOrder="2"/>
      <protection hidden="1"/>
    </xf>
    <xf numFmtId="3" fontId="13" fillId="0" borderId="0" xfId="0" applyNumberFormat="1" applyFont="1" applyAlignment="1" applyProtection="1">
      <alignment horizontal="center" vertical="center"/>
      <protection hidden="1"/>
    </xf>
    <xf numFmtId="3" fontId="36" fillId="0" borderId="0" xfId="0" applyNumberFormat="1" applyFont="1" applyAlignment="1" applyProtection="1">
      <alignment horizontal="center" vertical="center"/>
      <protection hidden="1"/>
    </xf>
    <xf numFmtId="165" fontId="13" fillId="0" borderId="0" xfId="0" applyNumberFormat="1" applyFont="1" applyAlignment="1" applyProtection="1">
      <alignment horizontal="center" vertical="center" readingOrder="2"/>
      <protection hidden="1"/>
    </xf>
    <xf numFmtId="3" fontId="38" fillId="0" borderId="0" xfId="0" applyNumberFormat="1" applyFont="1" applyAlignment="1" applyProtection="1">
      <alignment horizontal="center" vertical="center"/>
      <protection hidden="1"/>
    </xf>
    <xf numFmtId="3" fontId="21" fillId="0" borderId="26" xfId="0" applyNumberFormat="1" applyFont="1" applyBorder="1" applyAlignment="1" applyProtection="1">
      <alignment horizontal="center" readingOrder="2"/>
      <protection hidden="1"/>
    </xf>
    <xf numFmtId="0" fontId="25" fillId="0" borderId="0" xfId="0" applyFont="1"/>
    <xf numFmtId="0" fontId="25" fillId="0" borderId="0" xfId="0" applyFont="1" applyAlignment="1">
      <alignment readingOrder="2"/>
    </xf>
    <xf numFmtId="0" fontId="26" fillId="6" borderId="11" xfId="0" applyFont="1" applyFill="1" applyBorder="1" applyAlignment="1">
      <alignment horizontal="center" vertical="center" wrapText="1" readingOrder="2"/>
    </xf>
    <xf numFmtId="0" fontId="28" fillId="0" borderId="1" xfId="0" applyFont="1" applyBorder="1" applyAlignment="1" applyProtection="1">
      <alignment horizontal="center" vertical="center" readingOrder="2"/>
      <protection hidden="1"/>
    </xf>
    <xf numFmtId="0" fontId="28" fillId="0" borderId="2" xfId="0" applyFont="1" applyBorder="1" applyAlignment="1" applyProtection="1">
      <alignment horizontal="center" vertical="center" readingOrder="2"/>
      <protection hidden="1"/>
    </xf>
    <xf numFmtId="2" fontId="28" fillId="0" borderId="11" xfId="0" quotePrefix="1" applyNumberFormat="1" applyFont="1" applyBorder="1" applyAlignment="1" applyProtection="1">
      <alignment horizontal="center" vertical="center" readingOrder="2"/>
      <protection hidden="1"/>
    </xf>
    <xf numFmtId="0" fontId="25" fillId="0" borderId="0" xfId="0" applyFont="1" applyAlignment="1" applyProtection="1">
      <alignment horizontal="center" vertical="center" readingOrder="2"/>
      <protection hidden="1"/>
    </xf>
    <xf numFmtId="0" fontId="13" fillId="6" borderId="5" xfId="0" applyFont="1" applyFill="1" applyBorder="1" applyAlignment="1" applyProtection="1">
      <alignment horizontal="center" vertical="center" readingOrder="2"/>
      <protection hidden="1"/>
    </xf>
    <xf numFmtId="0" fontId="13" fillId="6" borderId="6" xfId="0" applyFont="1" applyFill="1" applyBorder="1" applyAlignment="1" applyProtection="1">
      <alignment horizontal="center" vertical="center" readingOrder="2"/>
      <protection hidden="1"/>
    </xf>
    <xf numFmtId="1" fontId="13" fillId="6" borderId="6" xfId="0" applyNumberFormat="1" applyFont="1" applyFill="1" applyBorder="1" applyAlignment="1" applyProtection="1">
      <alignment horizontal="center" vertical="center" readingOrder="2"/>
      <protection hidden="1"/>
    </xf>
    <xf numFmtId="1" fontId="13" fillId="6" borderId="7" xfId="0" applyNumberFormat="1" applyFont="1" applyFill="1" applyBorder="1" applyAlignment="1" applyProtection="1">
      <alignment horizontal="center" vertical="center" readingOrder="2"/>
      <protection hidden="1"/>
    </xf>
    <xf numFmtId="0" fontId="13" fillId="0" borderId="1" xfId="0" applyFont="1" applyBorder="1" applyAlignment="1" applyProtection="1">
      <alignment horizontal="center" vertical="center" readingOrder="2"/>
      <protection hidden="1"/>
    </xf>
    <xf numFmtId="0" fontId="13" fillId="0" borderId="2" xfId="0" applyFont="1" applyBorder="1" applyAlignment="1" applyProtection="1">
      <alignment horizontal="center" vertical="center" readingOrder="2"/>
      <protection hidden="1"/>
    </xf>
    <xf numFmtId="9" fontId="13" fillId="0" borderId="2" xfId="4" applyFont="1" applyBorder="1" applyAlignment="1" applyProtection="1">
      <alignment horizontal="center" vertical="center" readingOrder="2"/>
      <protection hidden="1"/>
    </xf>
    <xf numFmtId="9" fontId="13" fillId="0" borderId="11" xfId="4" applyFont="1" applyBorder="1" applyAlignment="1" applyProtection="1">
      <alignment horizontal="center" vertical="center" readingOrder="2"/>
      <protection hidden="1"/>
    </xf>
    <xf numFmtId="1" fontId="13" fillId="0" borderId="4" xfId="0" applyNumberFormat="1" applyFont="1" applyBorder="1" applyAlignment="1" applyProtection="1">
      <alignment horizontal="center" vertical="center" readingOrder="2"/>
      <protection hidden="1"/>
    </xf>
    <xf numFmtId="1" fontId="13" fillId="0" borderId="13" xfId="0" applyNumberFormat="1" applyFont="1" applyBorder="1" applyAlignment="1" applyProtection="1">
      <alignment horizontal="center" vertical="center" readingOrder="2"/>
      <protection hidden="1"/>
    </xf>
    <xf numFmtId="171" fontId="13" fillId="0" borderId="27" xfId="4" applyNumberFormat="1" applyFont="1" applyBorder="1" applyAlignment="1" applyProtection="1">
      <alignment horizontal="center" vertical="center" readingOrder="2"/>
      <protection hidden="1"/>
    </xf>
    <xf numFmtId="0" fontId="13" fillId="0" borderId="0" xfId="0" applyFont="1" applyAlignment="1" applyProtection="1">
      <alignment horizontal="center" vertical="center" readingOrder="2"/>
      <protection hidden="1"/>
    </xf>
    <xf numFmtId="171" fontId="13" fillId="0" borderId="11" xfId="4" applyNumberFormat="1" applyFont="1" applyBorder="1" applyAlignment="1" applyProtection="1">
      <alignment horizontal="center" vertical="center" readingOrder="2"/>
      <protection hidden="1"/>
    </xf>
    <xf numFmtId="0" fontId="13" fillId="0" borderId="11" xfId="0" applyFont="1" applyBorder="1" applyAlignment="1" applyProtection="1">
      <alignment horizontal="center" vertical="center" readingOrder="2"/>
      <protection hidden="1"/>
    </xf>
    <xf numFmtId="0" fontId="39" fillId="0" borderId="0" xfId="0" applyFont="1" applyAlignment="1" applyProtection="1">
      <alignment horizontal="center" vertical="center" readingOrder="2"/>
      <protection hidden="1"/>
    </xf>
    <xf numFmtId="0" fontId="13" fillId="0" borderId="3" xfId="0" applyFont="1" applyBorder="1" applyAlignment="1" applyProtection="1">
      <alignment horizontal="center" vertical="center" readingOrder="2"/>
      <protection hidden="1"/>
    </xf>
    <xf numFmtId="2" fontId="13" fillId="0" borderId="13" xfId="0" applyNumberFormat="1" applyFont="1" applyBorder="1" applyAlignment="1" applyProtection="1">
      <alignment horizontal="center" vertical="center" readingOrder="2"/>
      <protection hidden="1"/>
    </xf>
    <xf numFmtId="0" fontId="25" fillId="0" borderId="0" xfId="0" applyFont="1" applyAlignment="1">
      <alignment horizontal="center" vertical="center" readingOrder="2"/>
    </xf>
    <xf numFmtId="0" fontId="27" fillId="0" borderId="0" xfId="0" applyFont="1" applyAlignment="1">
      <alignment horizontal="center" vertical="center" readingOrder="2"/>
    </xf>
    <xf numFmtId="0" fontId="25" fillId="0" borderId="1" xfId="0" applyFont="1" applyBorder="1" applyAlignment="1" applyProtection="1">
      <alignment horizontal="center" vertical="center" readingOrder="2"/>
      <protection hidden="1"/>
    </xf>
    <xf numFmtId="1" fontId="25" fillId="0" borderId="0" xfId="0" applyNumberFormat="1" applyFont="1" applyAlignment="1">
      <alignment horizontal="center" vertical="center" readingOrder="2"/>
    </xf>
    <xf numFmtId="1" fontId="21" fillId="0" borderId="0" xfId="0" applyNumberFormat="1" applyFont="1" applyAlignment="1">
      <alignment vertical="center"/>
    </xf>
    <xf numFmtId="1" fontId="25" fillId="0" borderId="0" xfId="0" applyNumberFormat="1" applyFont="1"/>
    <xf numFmtId="1" fontId="15" fillId="6" borderId="5" xfId="0" applyNumberFormat="1" applyFont="1" applyFill="1" applyBorder="1" applyAlignment="1">
      <alignment horizontal="center" vertical="center"/>
    </xf>
    <xf numFmtId="1" fontId="15" fillId="6" borderId="6" xfId="0" applyNumberFormat="1" applyFont="1" applyFill="1" applyBorder="1" applyAlignment="1">
      <alignment horizontal="center" vertical="center"/>
    </xf>
    <xf numFmtId="1" fontId="15" fillId="6" borderId="6" xfId="0" applyNumberFormat="1" applyFont="1" applyFill="1" applyBorder="1" applyAlignment="1">
      <alignment horizontal="center" vertical="center" readingOrder="2"/>
    </xf>
    <xf numFmtId="1" fontId="15" fillId="6" borderId="7" xfId="0" applyNumberFormat="1" applyFont="1" applyFill="1" applyBorder="1" applyAlignment="1">
      <alignment horizontal="center" vertical="center" readingOrder="2"/>
    </xf>
    <xf numFmtId="1" fontId="13" fillId="0" borderId="0" xfId="0" applyNumberFormat="1" applyFont="1" applyAlignment="1">
      <alignment horizontal="center" vertical="center"/>
    </xf>
    <xf numFmtId="1" fontId="15" fillId="8" borderId="1" xfId="0" applyNumberFormat="1" applyFont="1" applyFill="1" applyBorder="1" applyAlignment="1">
      <alignment horizontal="center" vertical="center" readingOrder="2"/>
    </xf>
    <xf numFmtId="1" fontId="15" fillId="8" borderId="2" xfId="0" applyNumberFormat="1" applyFont="1" applyFill="1" applyBorder="1" applyAlignment="1">
      <alignment horizontal="right" vertical="center" readingOrder="2"/>
    </xf>
    <xf numFmtId="1" fontId="27" fillId="8" borderId="0" xfId="0" applyNumberFormat="1" applyFont="1" applyFill="1"/>
    <xf numFmtId="1" fontId="13" fillId="8" borderId="1" xfId="0" applyNumberFormat="1" applyFont="1" applyFill="1" applyBorder="1" applyAlignment="1">
      <alignment horizontal="center" vertical="center" readingOrder="2"/>
    </xf>
    <xf numFmtId="1" fontId="13" fillId="8" borderId="2" xfId="0" applyNumberFormat="1" applyFont="1" applyFill="1" applyBorder="1" applyAlignment="1">
      <alignment horizontal="right" vertical="center" readingOrder="2"/>
    </xf>
    <xf numFmtId="1" fontId="25" fillId="8" borderId="0" xfId="0" applyNumberFormat="1" applyFont="1" applyFill="1"/>
    <xf numFmtId="1" fontId="13" fillId="0" borderId="1" xfId="0" applyNumberFormat="1" applyFont="1" applyBorder="1" applyAlignment="1">
      <alignment horizontal="center" vertical="center" readingOrder="2"/>
    </xf>
    <xf numFmtId="1" fontId="13" fillId="0" borderId="2" xfId="0" applyNumberFormat="1" applyFont="1" applyBorder="1" applyAlignment="1">
      <alignment horizontal="right" vertical="center" readingOrder="2"/>
    </xf>
    <xf numFmtId="1" fontId="13" fillId="8" borderId="2" xfId="0" applyNumberFormat="1" applyFont="1" applyFill="1" applyBorder="1" applyAlignment="1">
      <alignment vertical="center" readingOrder="2"/>
    </xf>
    <xf numFmtId="1" fontId="13" fillId="5" borderId="1" xfId="0" applyNumberFormat="1" applyFont="1" applyFill="1" applyBorder="1" applyAlignment="1">
      <alignment horizontal="center" vertical="center" readingOrder="2"/>
    </xf>
    <xf numFmtId="1" fontId="13" fillId="5" borderId="2" xfId="0" applyNumberFormat="1" applyFont="1" applyFill="1" applyBorder="1" applyAlignment="1">
      <alignment horizontal="right" vertical="center" readingOrder="2"/>
    </xf>
    <xf numFmtId="172" fontId="25" fillId="0" borderId="0" xfId="0" applyNumberFormat="1" applyFont="1" applyAlignment="1">
      <alignment horizontal="center" vertical="center" readingOrder="2"/>
    </xf>
    <xf numFmtId="172" fontId="27" fillId="6" borderId="5" xfId="0" applyNumberFormat="1" applyFont="1" applyFill="1" applyBorder="1" applyAlignment="1">
      <alignment horizontal="center" vertical="center" readingOrder="2"/>
    </xf>
    <xf numFmtId="172" fontId="27" fillId="6" borderId="6" xfId="0" applyNumberFormat="1" applyFont="1" applyFill="1" applyBorder="1" applyAlignment="1">
      <alignment horizontal="center" vertical="center" readingOrder="2"/>
    </xf>
    <xf numFmtId="172" fontId="27" fillId="6" borderId="7" xfId="0" applyNumberFormat="1" applyFont="1" applyFill="1" applyBorder="1" applyAlignment="1">
      <alignment horizontal="center" vertical="center" readingOrder="2"/>
    </xf>
    <xf numFmtId="1" fontId="25" fillId="0" borderId="1" xfId="0" applyNumberFormat="1" applyFont="1" applyBorder="1" applyAlignment="1">
      <alignment horizontal="center" vertical="center" readingOrder="2"/>
    </xf>
    <xf numFmtId="9" fontId="25" fillId="0" borderId="1" xfId="4" applyFont="1" applyFill="1" applyBorder="1" applyAlignment="1">
      <alignment horizontal="center" vertical="center" readingOrder="2"/>
    </xf>
    <xf numFmtId="9" fontId="25" fillId="0" borderId="0" xfId="4" applyFont="1" applyAlignment="1">
      <alignment horizontal="center" vertical="center" readingOrder="2"/>
    </xf>
    <xf numFmtId="172" fontId="27" fillId="0" borderId="1" xfId="0" applyNumberFormat="1" applyFont="1" applyBorder="1" applyAlignment="1">
      <alignment horizontal="center" vertical="center" readingOrder="2"/>
    </xf>
    <xf numFmtId="172" fontId="25" fillId="0" borderId="3" xfId="0" applyNumberFormat="1" applyFont="1" applyBorder="1" applyAlignment="1">
      <alignment horizontal="center" vertical="center" readingOrder="2"/>
    </xf>
    <xf numFmtId="172" fontId="27" fillId="0" borderId="0" xfId="0" applyNumberFormat="1" applyFont="1" applyAlignment="1">
      <alignment horizontal="center" vertical="center" readingOrder="2"/>
    </xf>
    <xf numFmtId="172" fontId="15" fillId="0" borderId="0" xfId="0" applyNumberFormat="1" applyFont="1" applyAlignment="1">
      <alignment horizontal="center" vertical="center" readingOrder="2"/>
    </xf>
    <xf numFmtId="172" fontId="27" fillId="6" borderId="7" xfId="0" applyNumberFormat="1" applyFont="1" applyFill="1" applyBorder="1" applyAlignment="1">
      <alignment horizontal="center" vertical="center" wrapText="1" readingOrder="2"/>
    </xf>
    <xf numFmtId="1" fontId="25" fillId="0" borderId="1" xfId="0" applyNumberFormat="1" applyFont="1" applyBorder="1" applyAlignment="1" applyProtection="1">
      <alignment horizontal="center" vertical="center" readingOrder="2"/>
      <protection hidden="1"/>
    </xf>
    <xf numFmtId="172" fontId="25" fillId="3" borderId="0" xfId="0" applyNumberFormat="1" applyFont="1" applyFill="1" applyAlignment="1" applyProtection="1">
      <alignment horizontal="center" vertical="center" readingOrder="2"/>
      <protection locked="0"/>
    </xf>
    <xf numFmtId="172" fontId="14" fillId="3" borderId="0" xfId="0" applyNumberFormat="1" applyFont="1" applyFill="1" applyAlignment="1">
      <alignment horizontal="center" vertical="center" readingOrder="2"/>
    </xf>
    <xf numFmtId="172" fontId="13" fillId="3" borderId="0" xfId="0" applyNumberFormat="1" applyFont="1" applyFill="1" applyAlignment="1">
      <alignment horizontal="center" vertical="center" readingOrder="2"/>
    </xf>
    <xf numFmtId="0" fontId="15" fillId="6" borderId="7" xfId="0" applyFont="1" applyFill="1" applyBorder="1" applyAlignment="1">
      <alignment horizontal="center" vertical="center" wrapText="1" readingOrder="2"/>
    </xf>
    <xf numFmtId="3" fontId="13" fillId="3" borderId="1" xfId="1" applyNumberFormat="1" applyFont="1" applyFill="1" applyBorder="1" applyAlignment="1">
      <alignment horizontal="center" vertical="center" readingOrder="2"/>
    </xf>
    <xf numFmtId="2" fontId="25" fillId="0" borderId="0" xfId="0" applyNumberFormat="1" applyFont="1" applyAlignment="1">
      <alignment horizontal="center" vertical="center" readingOrder="2"/>
    </xf>
    <xf numFmtId="2" fontId="15" fillId="0" borderId="4" xfId="0" applyNumberFormat="1" applyFont="1" applyBorder="1" applyAlignment="1">
      <alignment horizontal="center" vertical="center" readingOrder="2"/>
    </xf>
    <xf numFmtId="166" fontId="15" fillId="0" borderId="0" xfId="0" applyNumberFormat="1" applyFont="1" applyAlignment="1">
      <alignment horizontal="center" vertical="center" readingOrder="2"/>
    </xf>
    <xf numFmtId="4" fontId="25" fillId="0" borderId="0" xfId="0" applyNumberFormat="1" applyFont="1" applyAlignment="1">
      <alignment horizontal="center" vertical="center" readingOrder="2"/>
    </xf>
    <xf numFmtId="3" fontId="15" fillId="0" borderId="0" xfId="0" applyNumberFormat="1" applyFont="1" applyAlignment="1">
      <alignment horizontal="center" vertical="center" readingOrder="2"/>
    </xf>
    <xf numFmtId="0" fontId="27" fillId="2" borderId="28" xfId="0" applyFont="1" applyFill="1" applyBorder="1" applyAlignment="1">
      <alignment horizontal="center" vertical="center" readingOrder="2"/>
    </xf>
    <xf numFmtId="1" fontId="27" fillId="2" borderId="29" xfId="0" applyNumberFormat="1" applyFont="1" applyFill="1" applyBorder="1" applyAlignment="1">
      <alignment horizontal="center" vertical="center" readingOrder="2"/>
    </xf>
    <xf numFmtId="1" fontId="27" fillId="2" borderId="30" xfId="0" applyNumberFormat="1" applyFont="1" applyFill="1" applyBorder="1" applyAlignment="1">
      <alignment horizontal="center" vertical="center" readingOrder="2"/>
    </xf>
    <xf numFmtId="0" fontId="13" fillId="9" borderId="1" xfId="0" applyFont="1" applyFill="1" applyBorder="1" applyAlignment="1" applyProtection="1">
      <alignment horizontal="center" vertical="center" readingOrder="2"/>
      <protection locked="0"/>
    </xf>
    <xf numFmtId="0" fontId="13" fillId="0" borderId="2" xfId="0" applyFont="1" applyBorder="1" applyAlignment="1">
      <alignment horizontal="right" vertical="center" wrapText="1" readingOrder="2"/>
    </xf>
    <xf numFmtId="0" fontId="28" fillId="0" borderId="0" xfId="0" applyFont="1" applyAlignment="1">
      <alignment vertical="center"/>
    </xf>
    <xf numFmtId="0" fontId="25" fillId="0" borderId="0" xfId="0" applyFont="1" applyAlignment="1">
      <alignment horizontal="center" readingOrder="2"/>
    </xf>
    <xf numFmtId="0" fontId="40" fillId="0" borderId="0" xfId="0" applyFont="1" applyAlignment="1">
      <alignment horizontal="center" readingOrder="2"/>
    </xf>
    <xf numFmtId="1" fontId="27" fillId="10" borderId="5" xfId="0" applyNumberFormat="1" applyFont="1" applyFill="1" applyBorder="1" applyAlignment="1">
      <alignment horizontal="center" vertical="center" readingOrder="2"/>
    </xf>
    <xf numFmtId="1" fontId="27" fillId="10" borderId="6" xfId="0" applyNumberFormat="1" applyFont="1" applyFill="1" applyBorder="1" applyAlignment="1">
      <alignment horizontal="center" vertical="center" readingOrder="2"/>
    </xf>
    <xf numFmtId="1" fontId="27" fillId="10" borderId="7" xfId="0" applyNumberFormat="1" applyFont="1" applyFill="1" applyBorder="1" applyAlignment="1">
      <alignment horizontal="center" vertical="center" readingOrder="2"/>
    </xf>
    <xf numFmtId="1" fontId="25" fillId="2" borderId="1" xfId="0" applyNumberFormat="1" applyFont="1" applyFill="1" applyBorder="1" applyAlignment="1">
      <alignment horizontal="center" readingOrder="2"/>
    </xf>
    <xf numFmtId="1" fontId="25" fillId="2" borderId="2" xfId="0" applyNumberFormat="1" applyFont="1" applyFill="1" applyBorder="1" applyAlignment="1">
      <alignment horizontal="center" readingOrder="2"/>
    </xf>
    <xf numFmtId="1" fontId="25" fillId="2" borderId="11" xfId="0" applyNumberFormat="1" applyFont="1" applyFill="1" applyBorder="1" applyAlignment="1">
      <alignment horizontal="center" readingOrder="2"/>
    </xf>
    <xf numFmtId="0" fontId="15" fillId="0" borderId="3" xfId="0" applyFont="1" applyBorder="1" applyAlignment="1">
      <alignment horizontal="center" vertical="center" readingOrder="2"/>
    </xf>
    <xf numFmtId="0" fontId="41" fillId="3" borderId="31" xfId="0" applyFont="1" applyFill="1" applyBorder="1" applyAlignment="1" applyProtection="1">
      <alignment horizontal="center" vertical="center" readingOrder="2"/>
      <protection locked="0"/>
    </xf>
    <xf numFmtId="0" fontId="41" fillId="3" borderId="2" xfId="0" quotePrefix="1" applyFont="1" applyFill="1" applyBorder="1" applyAlignment="1" applyProtection="1">
      <alignment horizontal="center" vertical="center" readingOrder="1"/>
      <protection locked="0"/>
    </xf>
    <xf numFmtId="3" fontId="14" fillId="3" borderId="0" xfId="0" applyNumberFormat="1" applyFont="1" applyFill="1" applyAlignment="1" applyProtection="1">
      <alignment horizontal="center" vertical="center"/>
      <protection hidden="1"/>
    </xf>
    <xf numFmtId="3" fontId="21" fillId="3" borderId="26" xfId="0" applyNumberFormat="1" applyFont="1" applyFill="1" applyBorder="1" applyAlignment="1" applyProtection="1">
      <alignment horizontal="center" readingOrder="2"/>
      <protection hidden="1"/>
    </xf>
    <xf numFmtId="0" fontId="4" fillId="3" borderId="1" xfId="0" applyFont="1" applyFill="1" applyBorder="1" applyAlignment="1" applyProtection="1">
      <alignment horizontal="center" vertical="center" readingOrder="2"/>
      <protection locked="0"/>
    </xf>
    <xf numFmtId="9" fontId="41" fillId="3" borderId="2" xfId="4" applyFont="1" applyFill="1" applyBorder="1" applyAlignment="1" applyProtection="1">
      <alignment horizontal="center" vertical="center" readingOrder="2"/>
      <protection locked="0"/>
    </xf>
    <xf numFmtId="9" fontId="27" fillId="0" borderId="32" xfId="4" applyFont="1" applyBorder="1" applyAlignment="1">
      <alignment horizontal="center" vertical="center" readingOrder="2"/>
    </xf>
    <xf numFmtId="0" fontId="15" fillId="9" borderId="1" xfId="0" applyFont="1" applyFill="1" applyBorder="1" applyAlignment="1" applyProtection="1">
      <alignment horizontal="center" vertical="center" readingOrder="2"/>
      <protection locked="0"/>
    </xf>
    <xf numFmtId="0" fontId="15" fillId="9" borderId="3" xfId="0" applyFont="1" applyFill="1" applyBorder="1" applyAlignment="1" applyProtection="1">
      <alignment horizontal="center" vertical="center" readingOrder="2"/>
      <protection locked="0"/>
    </xf>
    <xf numFmtId="0" fontId="46" fillId="0" borderId="0" xfId="0" applyFont="1"/>
    <xf numFmtId="0" fontId="47" fillId="0" borderId="0" xfId="0" applyFont="1"/>
    <xf numFmtId="164" fontId="46" fillId="5" borderId="2" xfId="1" applyFont="1" applyFill="1" applyBorder="1" applyAlignment="1" applyProtection="1">
      <alignment horizontal="right"/>
    </xf>
    <xf numFmtId="0" fontId="46" fillId="5" borderId="2" xfId="0" applyFont="1" applyFill="1" applyBorder="1" applyAlignment="1">
      <alignment horizontal="right"/>
    </xf>
    <xf numFmtId="0" fontId="47" fillId="0" borderId="22" xfId="0" applyFont="1" applyBorder="1" applyAlignment="1">
      <alignment horizontal="center"/>
    </xf>
    <xf numFmtId="0" fontId="47" fillId="0" borderId="0" xfId="0" applyFont="1" applyAlignment="1">
      <alignment horizontal="center"/>
    </xf>
    <xf numFmtId="0" fontId="46" fillId="0" borderId="0" xfId="0" applyFont="1" applyAlignment="1">
      <alignment horizontal="center" vertical="center"/>
    </xf>
    <xf numFmtId="0" fontId="46" fillId="5" borderId="0" xfId="0" applyFont="1" applyFill="1" applyAlignment="1">
      <alignment horizontal="center" vertical="center"/>
    </xf>
    <xf numFmtId="0" fontId="47" fillId="8" borderId="33" xfId="0" applyFont="1" applyFill="1" applyBorder="1" applyAlignment="1">
      <alignment horizontal="center" vertical="center"/>
    </xf>
    <xf numFmtId="0" fontId="47" fillId="8" borderId="34" xfId="0" applyFont="1" applyFill="1" applyBorder="1" applyAlignment="1">
      <alignment horizontal="center" vertical="center"/>
    </xf>
    <xf numFmtId="164" fontId="47" fillId="5" borderId="6" xfId="1" applyFont="1" applyFill="1" applyBorder="1" applyAlignment="1" applyProtection="1">
      <alignment horizontal="center" vertical="center"/>
    </xf>
    <xf numFmtId="0" fontId="46" fillId="0" borderId="7" xfId="0" applyFont="1" applyBorder="1" applyAlignment="1">
      <alignment horizontal="center" vertical="center"/>
    </xf>
    <xf numFmtId="3" fontId="46" fillId="5" borderId="2" xfId="0" applyNumberFormat="1" applyFont="1" applyFill="1" applyBorder="1" applyAlignment="1">
      <alignment horizontal="center" vertical="center" shrinkToFit="1"/>
    </xf>
    <xf numFmtId="3" fontId="47" fillId="8" borderId="2" xfId="0" applyNumberFormat="1" applyFont="1" applyFill="1" applyBorder="1" applyAlignment="1">
      <alignment horizontal="center" vertical="center" shrinkToFit="1"/>
    </xf>
    <xf numFmtId="164" fontId="47" fillId="5" borderId="2" xfId="1" applyFont="1" applyFill="1" applyBorder="1" applyAlignment="1" applyProtection="1">
      <alignment horizontal="center" vertical="center"/>
    </xf>
    <xf numFmtId="0" fontId="46" fillId="5" borderId="2" xfId="0" applyFont="1" applyFill="1" applyBorder="1" applyAlignment="1">
      <alignment horizontal="center" vertical="center"/>
    </xf>
    <xf numFmtId="3" fontId="47" fillId="8" borderId="4" xfId="0" applyNumberFormat="1" applyFont="1" applyFill="1" applyBorder="1" applyAlignment="1">
      <alignment horizontal="center" vertical="center" shrinkToFit="1"/>
    </xf>
    <xf numFmtId="3" fontId="47" fillId="0" borderId="0" xfId="0" applyNumberFormat="1" applyFont="1" applyAlignment="1">
      <alignment horizontal="center" vertical="center"/>
    </xf>
    <xf numFmtId="3" fontId="47" fillId="0" borderId="0" xfId="0" applyNumberFormat="1" applyFont="1" applyAlignment="1">
      <alignment horizontal="center" vertical="center" shrinkToFit="1"/>
    </xf>
    <xf numFmtId="3" fontId="47" fillId="8" borderId="9" xfId="0" applyNumberFormat="1" applyFont="1" applyFill="1" applyBorder="1" applyAlignment="1">
      <alignment horizontal="center" vertical="center" shrinkToFit="1"/>
    </xf>
    <xf numFmtId="165" fontId="46" fillId="5" borderId="0" xfId="0" applyNumberFormat="1" applyFont="1" applyFill="1" applyAlignment="1">
      <alignment horizontal="center" vertical="center"/>
    </xf>
    <xf numFmtId="165" fontId="46" fillId="0" borderId="0" xfId="0" applyNumberFormat="1" applyFont="1" applyAlignment="1">
      <alignment horizontal="center" vertical="center"/>
    </xf>
    <xf numFmtId="0" fontId="19" fillId="0" borderId="35" xfId="0" applyFont="1" applyBorder="1" applyAlignment="1">
      <alignment horizontal="center" vertical="top" wrapText="1" readingOrder="2"/>
    </xf>
    <xf numFmtId="0" fontId="9" fillId="0" borderId="36" xfId="0" applyFont="1" applyBorder="1" applyAlignment="1">
      <alignment horizontal="center" vertical="top" wrapText="1" readingOrder="1"/>
    </xf>
    <xf numFmtId="0" fontId="9" fillId="0" borderId="37" xfId="0" applyFont="1" applyBorder="1" applyAlignment="1">
      <alignment horizontal="right" vertical="top" wrapText="1" readingOrder="2"/>
    </xf>
    <xf numFmtId="0" fontId="54" fillId="0" borderId="38" xfId="0" applyFont="1" applyBorder="1" applyAlignment="1">
      <alignment horizontal="right" vertical="top" wrapText="1" readingOrder="2"/>
    </xf>
    <xf numFmtId="0" fontId="19" fillId="0" borderId="39" xfId="0" applyFont="1" applyBorder="1" applyAlignment="1">
      <alignment horizontal="center" vertical="top" wrapText="1" readingOrder="1"/>
    </xf>
    <xf numFmtId="0" fontId="9" fillId="0" borderId="35" xfId="0" applyFont="1" applyBorder="1" applyAlignment="1">
      <alignment horizontal="center" vertical="top" wrapText="1" readingOrder="2"/>
    </xf>
    <xf numFmtId="0" fontId="0" fillId="0" borderId="40" xfId="0" applyBorder="1" applyAlignment="1">
      <alignment vertical="top" wrapText="1"/>
    </xf>
    <xf numFmtId="0" fontId="19" fillId="0" borderId="40" xfId="0" applyFont="1" applyBorder="1" applyAlignment="1">
      <alignment horizontal="center" vertical="top" wrapText="1" readingOrder="1"/>
    </xf>
    <xf numFmtId="0" fontId="52" fillId="0" borderId="36" xfId="0" applyFont="1" applyBorder="1" applyAlignment="1">
      <alignment horizontal="left" vertical="top" wrapText="1" readingOrder="1"/>
    </xf>
    <xf numFmtId="0" fontId="9" fillId="0" borderId="36" xfId="0" applyFont="1" applyBorder="1" applyAlignment="1">
      <alignment horizontal="right" vertical="top" wrapText="1" readingOrder="2"/>
    </xf>
    <xf numFmtId="0" fontId="54" fillId="0" borderId="40" xfId="0" applyFont="1" applyBorder="1" applyAlignment="1">
      <alignment horizontal="right" vertical="top" wrapText="1" readingOrder="2"/>
    </xf>
    <xf numFmtId="0" fontId="9" fillId="0" borderId="41" xfId="0" applyFont="1" applyBorder="1" applyAlignment="1">
      <alignment vertical="top" wrapText="1" readingOrder="1"/>
    </xf>
    <xf numFmtId="0" fontId="9" fillId="0" borderId="36" xfId="0" applyFont="1" applyBorder="1" applyAlignment="1">
      <alignment vertical="top" wrapText="1" readingOrder="1"/>
    </xf>
    <xf numFmtId="0" fontId="9" fillId="0" borderId="42" xfId="0" applyFont="1" applyBorder="1" applyAlignment="1">
      <alignment vertical="top" wrapText="1" readingOrder="1"/>
    </xf>
    <xf numFmtId="0" fontId="9" fillId="0" borderId="40" xfId="0" applyFont="1" applyBorder="1" applyAlignment="1">
      <alignment vertical="top" wrapText="1" readingOrder="1"/>
    </xf>
    <xf numFmtId="0" fontId="9" fillId="0" borderId="43" xfId="0" applyFont="1" applyBorder="1" applyAlignment="1">
      <alignment vertical="top" wrapText="1" readingOrder="1"/>
    </xf>
    <xf numFmtId="0" fontId="9" fillId="0" borderId="28" xfId="0" applyFont="1" applyBorder="1" applyAlignment="1">
      <alignment vertical="top" wrapText="1" readingOrder="2"/>
    </xf>
    <xf numFmtId="0" fontId="9" fillId="0" borderId="44" xfId="0" applyFont="1" applyBorder="1" applyAlignment="1">
      <alignment vertical="top" wrapText="1" readingOrder="2"/>
    </xf>
    <xf numFmtId="0" fontId="9" fillId="0" borderId="22" xfId="0" applyFont="1" applyBorder="1" applyAlignment="1">
      <alignment vertical="top" wrapText="1" readingOrder="2"/>
    </xf>
    <xf numFmtId="0" fontId="9" fillId="0" borderId="0" xfId="0" applyFont="1" applyAlignment="1">
      <alignment vertical="top" wrapText="1" readingOrder="2"/>
    </xf>
    <xf numFmtId="0" fontId="9" fillId="0" borderId="45" xfId="0" applyFont="1" applyBorder="1" applyAlignment="1">
      <alignment vertical="top" wrapText="1" readingOrder="2"/>
    </xf>
    <xf numFmtId="0" fontId="9" fillId="0" borderId="39" xfId="0" applyFont="1" applyBorder="1" applyAlignment="1">
      <alignment vertical="top" wrapText="1" readingOrder="2"/>
    </xf>
    <xf numFmtId="0" fontId="9" fillId="0" borderId="46" xfId="0" applyFont="1" applyBorder="1" applyAlignment="1">
      <alignment vertical="top" wrapText="1" readingOrder="2"/>
    </xf>
    <xf numFmtId="0" fontId="9" fillId="0" borderId="47" xfId="0" applyFont="1" applyBorder="1" applyAlignment="1">
      <alignment vertical="top" wrapText="1" readingOrder="2"/>
    </xf>
    <xf numFmtId="0" fontId="9" fillId="0" borderId="41" xfId="0" applyFont="1" applyBorder="1" applyAlignment="1">
      <alignment vertical="top" wrapText="1" readingOrder="2"/>
    </xf>
    <xf numFmtId="0" fontId="9" fillId="0" borderId="36" xfId="0" applyFont="1" applyBorder="1" applyAlignment="1">
      <alignment vertical="top" wrapText="1" readingOrder="2"/>
    </xf>
    <xf numFmtId="0" fontId="9" fillId="0" borderId="40" xfId="0" applyFont="1" applyBorder="1" applyAlignment="1">
      <alignment vertical="top" wrapText="1" readingOrder="2"/>
    </xf>
    <xf numFmtId="0" fontId="9" fillId="0" borderId="42" xfId="0" applyFont="1" applyBorder="1" applyAlignment="1">
      <alignment vertical="top" wrapText="1" readingOrder="2"/>
    </xf>
    <xf numFmtId="0" fontId="9" fillId="0" borderId="48" xfId="0" applyFont="1" applyBorder="1" applyAlignment="1">
      <alignment vertical="top" wrapText="1" readingOrder="2"/>
    </xf>
    <xf numFmtId="0" fontId="9" fillId="0" borderId="49" xfId="0" applyFont="1" applyBorder="1" applyAlignment="1">
      <alignment vertical="top" wrapText="1" readingOrder="2"/>
    </xf>
    <xf numFmtId="0" fontId="9" fillId="0" borderId="35" xfId="0" applyFont="1" applyBorder="1" applyAlignment="1">
      <alignment vertical="top" wrapText="1" readingOrder="2"/>
    </xf>
    <xf numFmtId="0" fontId="9" fillId="0" borderId="50" xfId="0" applyFont="1" applyBorder="1" applyAlignment="1">
      <alignment vertical="top" wrapText="1" readingOrder="2"/>
    </xf>
    <xf numFmtId="0" fontId="9" fillId="0" borderId="51" xfId="0" applyFont="1" applyBorder="1" applyAlignment="1">
      <alignment vertical="top" wrapText="1" readingOrder="1"/>
    </xf>
    <xf numFmtId="0" fontId="9" fillId="0" borderId="52" xfId="0" applyFont="1" applyBorder="1" applyAlignment="1">
      <alignment vertical="top" wrapText="1" readingOrder="1"/>
    </xf>
    <xf numFmtId="0" fontId="9" fillId="0" borderId="53" xfId="0" applyFont="1" applyBorder="1" applyAlignment="1">
      <alignment vertical="top" wrapText="1" readingOrder="1"/>
    </xf>
    <xf numFmtId="0" fontId="52" fillId="0" borderId="35" xfId="0" applyFont="1" applyBorder="1" applyAlignment="1">
      <alignment vertical="top" wrapText="1" readingOrder="2"/>
    </xf>
    <xf numFmtId="0" fontId="52" fillId="0" borderId="52" xfId="0" applyFont="1" applyBorder="1" applyAlignment="1">
      <alignment vertical="top" wrapText="1" readingOrder="2"/>
    </xf>
    <xf numFmtId="0" fontId="52" fillId="0" borderId="53" xfId="0" applyFont="1" applyBorder="1" applyAlignment="1">
      <alignment vertical="top" wrapText="1" readingOrder="2"/>
    </xf>
    <xf numFmtId="0" fontId="9" fillId="0" borderId="52" xfId="0" applyFont="1" applyBorder="1" applyAlignment="1">
      <alignment vertical="top" wrapText="1" readingOrder="2"/>
    </xf>
    <xf numFmtId="0" fontId="9" fillId="0" borderId="51" xfId="0" applyFont="1" applyBorder="1" applyAlignment="1">
      <alignment vertical="top" wrapText="1" readingOrder="2"/>
    </xf>
    <xf numFmtId="0" fontId="9" fillId="0" borderId="41" xfId="0" applyFont="1" applyBorder="1" applyAlignment="1">
      <alignment horizontal="right" vertical="top" wrapText="1" readingOrder="2"/>
    </xf>
    <xf numFmtId="0" fontId="9" fillId="0" borderId="46" xfId="0" applyFont="1" applyBorder="1" applyAlignment="1">
      <alignment vertical="top" wrapText="1" readingOrder="1"/>
    </xf>
    <xf numFmtId="0" fontId="58" fillId="0" borderId="0" xfId="0" applyFont="1"/>
    <xf numFmtId="0" fontId="59" fillId="2" borderId="5" xfId="0" applyFont="1" applyFill="1" applyBorder="1" applyAlignment="1">
      <alignment horizontal="justify" vertical="top" wrapText="1" readingOrder="2"/>
    </xf>
    <xf numFmtId="17" fontId="47" fillId="2" borderId="6" xfId="0" applyNumberFormat="1" applyFont="1" applyFill="1" applyBorder="1" applyAlignment="1">
      <alignment horizontal="center" readingOrder="2"/>
    </xf>
    <xf numFmtId="0" fontId="47" fillId="2" borderId="6" xfId="0" applyFont="1" applyFill="1" applyBorder="1" applyAlignment="1">
      <alignment horizontal="center" readingOrder="2"/>
    </xf>
    <xf numFmtId="0" fontId="47" fillId="2" borderId="7" xfId="0" applyFont="1" applyFill="1" applyBorder="1" applyAlignment="1">
      <alignment horizontal="center" readingOrder="2"/>
    </xf>
    <xf numFmtId="0" fontId="46" fillId="0" borderId="1" xfId="0" applyFont="1" applyBorder="1" applyAlignment="1">
      <alignment horizontal="justify" vertical="top" wrapText="1" readingOrder="2"/>
    </xf>
    <xf numFmtId="0" fontId="59" fillId="0" borderId="1" xfId="0" applyFont="1" applyBorder="1" applyAlignment="1">
      <alignment horizontal="justify" vertical="top" wrapText="1" readingOrder="2"/>
    </xf>
    <xf numFmtId="0" fontId="47" fillId="0" borderId="1" xfId="0" applyFont="1" applyBorder="1" applyAlignment="1">
      <alignment horizontal="justify" vertical="top" wrapText="1" readingOrder="2"/>
    </xf>
    <xf numFmtId="0" fontId="47" fillId="0" borderId="3" xfId="0" applyFont="1" applyBorder="1" applyAlignment="1">
      <alignment horizontal="justify" vertical="top" wrapText="1" readingOrder="2"/>
    </xf>
    <xf numFmtId="3" fontId="46" fillId="3" borderId="2" xfId="0" applyNumberFormat="1" applyFont="1" applyFill="1" applyBorder="1" applyAlignment="1">
      <alignment horizontal="center" vertical="center" shrinkToFit="1"/>
    </xf>
    <xf numFmtId="0" fontId="46" fillId="3" borderId="11" xfId="0" applyFont="1" applyFill="1" applyBorder="1" applyAlignment="1">
      <alignment horizontal="center" vertical="center"/>
    </xf>
    <xf numFmtId="3" fontId="49" fillId="0" borderId="0" xfId="0" applyNumberFormat="1" applyFont="1" applyAlignment="1">
      <alignment horizontal="center" vertical="center"/>
    </xf>
    <xf numFmtId="3" fontId="48" fillId="0" borderId="0" xfId="0" applyNumberFormat="1" applyFont="1" applyAlignment="1">
      <alignment horizontal="center" vertical="center"/>
    </xf>
    <xf numFmtId="3" fontId="48" fillId="0" borderId="54" xfId="0" applyNumberFormat="1" applyFont="1" applyBorder="1" applyAlignment="1">
      <alignment horizontal="center" vertical="center"/>
    </xf>
    <xf numFmtId="3" fontId="48" fillId="0" borderId="55" xfId="0" applyNumberFormat="1" applyFont="1" applyBorder="1" applyAlignment="1">
      <alignment horizontal="center" vertical="center"/>
    </xf>
    <xf numFmtId="3" fontId="49" fillId="0" borderId="0" xfId="0" applyNumberFormat="1" applyFont="1" applyAlignment="1">
      <alignment horizontal="right" vertical="center"/>
    </xf>
    <xf numFmtId="3" fontId="48" fillId="0" borderId="26" xfId="0" applyNumberFormat="1" applyFont="1" applyBorder="1" applyAlignment="1">
      <alignment horizontal="right" vertical="center"/>
    </xf>
    <xf numFmtId="0" fontId="60" fillId="0" borderId="0" xfId="0" applyFont="1" applyAlignment="1">
      <alignment horizontal="center" vertical="center" readingOrder="2"/>
    </xf>
    <xf numFmtId="0" fontId="48" fillId="4" borderId="2" xfId="0" applyFont="1" applyFill="1" applyBorder="1" applyAlignment="1">
      <alignment horizontal="center" vertical="center" readingOrder="2"/>
    </xf>
    <xf numFmtId="1" fontId="48" fillId="4" borderId="2" xfId="0" applyNumberFormat="1" applyFont="1" applyFill="1" applyBorder="1" applyAlignment="1">
      <alignment horizontal="center" vertical="center" readingOrder="2"/>
    </xf>
    <xf numFmtId="0" fontId="48" fillId="0" borderId="0" xfId="0" applyFont="1" applyAlignment="1">
      <alignment horizontal="center" vertical="center" readingOrder="2"/>
    </xf>
    <xf numFmtId="0" fontId="62" fillId="10" borderId="2" xfId="0" applyFont="1" applyFill="1" applyBorder="1" applyAlignment="1">
      <alignment horizontal="right" vertical="center" readingOrder="2"/>
    </xf>
    <xf numFmtId="0" fontId="62" fillId="0" borderId="0" xfId="0" applyFont="1" applyAlignment="1">
      <alignment horizontal="center" vertical="center" readingOrder="2"/>
    </xf>
    <xf numFmtId="0" fontId="63" fillId="4" borderId="2" xfId="0" applyFont="1" applyFill="1" applyBorder="1" applyAlignment="1">
      <alignment horizontal="right" vertical="center" readingOrder="2"/>
    </xf>
    <xf numFmtId="0" fontId="63" fillId="0" borderId="0" xfId="0" applyFont="1" applyAlignment="1">
      <alignment horizontal="center" vertical="center" readingOrder="2"/>
    </xf>
    <xf numFmtId="0" fontId="60" fillId="0" borderId="2" xfId="0" applyFont="1" applyBorder="1" applyAlignment="1">
      <alignment horizontal="right" vertical="center" readingOrder="2"/>
    </xf>
    <xf numFmtId="4" fontId="60" fillId="0" borderId="0" xfId="0" applyNumberFormat="1" applyFont="1" applyAlignment="1">
      <alignment horizontal="center" vertical="center" readingOrder="2"/>
    </xf>
    <xf numFmtId="172" fontId="60" fillId="0" borderId="0" xfId="0" applyNumberFormat="1" applyFont="1" applyAlignment="1">
      <alignment horizontal="center" vertical="center" readingOrder="2"/>
    </xf>
    <xf numFmtId="1" fontId="49" fillId="0" borderId="0" xfId="0" applyNumberFormat="1" applyFont="1"/>
    <xf numFmtId="0" fontId="49" fillId="0" borderId="0" xfId="0" applyFont="1"/>
    <xf numFmtId="1" fontId="49" fillId="0" borderId="2" xfId="0" applyNumberFormat="1" applyFont="1" applyBorder="1" applyAlignment="1">
      <alignment horizontal="center" vertical="center" readingOrder="2"/>
    </xf>
    <xf numFmtId="1" fontId="49" fillId="0" borderId="11" xfId="0" applyNumberFormat="1" applyFont="1" applyBorder="1" applyAlignment="1">
      <alignment horizontal="center" vertical="center" readingOrder="2"/>
    </xf>
    <xf numFmtId="1" fontId="49" fillId="0" borderId="1" xfId="0" applyNumberFormat="1" applyFont="1" applyBorder="1" applyAlignment="1">
      <alignment horizontal="center" vertical="center" readingOrder="2"/>
    </xf>
    <xf numFmtId="1" fontId="49" fillId="6" borderId="5" xfId="0" applyNumberFormat="1" applyFont="1" applyFill="1" applyBorder="1" applyAlignment="1">
      <alignment horizontal="center" vertical="center"/>
    </xf>
    <xf numFmtId="1" fontId="49" fillId="6" borderId="6" xfId="0" applyNumberFormat="1" applyFont="1" applyFill="1" applyBorder="1" applyAlignment="1">
      <alignment horizontal="center" vertical="center"/>
    </xf>
    <xf numFmtId="1" fontId="49" fillId="6" borderId="7" xfId="0" applyNumberFormat="1" applyFont="1" applyFill="1" applyBorder="1" applyAlignment="1">
      <alignment horizontal="center" vertical="center"/>
    </xf>
    <xf numFmtId="1" fontId="49" fillId="8" borderId="1" xfId="0" applyNumberFormat="1" applyFont="1" applyFill="1" applyBorder="1" applyAlignment="1">
      <alignment horizontal="center" vertical="center" readingOrder="2"/>
    </xf>
    <xf numFmtId="1" fontId="49" fillId="8" borderId="2" xfId="0" applyNumberFormat="1" applyFont="1" applyFill="1" applyBorder="1" applyAlignment="1">
      <alignment horizontal="center" vertical="center" readingOrder="2"/>
    </xf>
    <xf numFmtId="1" fontId="49" fillId="8" borderId="11" xfId="0" applyNumberFormat="1" applyFont="1" applyFill="1" applyBorder="1" applyAlignment="1">
      <alignment horizontal="center" vertical="center" readingOrder="2"/>
    </xf>
    <xf numFmtId="1" fontId="49" fillId="8" borderId="3" xfId="0" applyNumberFormat="1" applyFont="1" applyFill="1" applyBorder="1" applyAlignment="1">
      <alignment horizontal="center" vertical="center" readingOrder="2"/>
    </xf>
    <xf numFmtId="1" fontId="49" fillId="8" borderId="4" xfId="0" applyNumberFormat="1" applyFont="1" applyFill="1" applyBorder="1" applyAlignment="1">
      <alignment horizontal="center" vertical="center" readingOrder="2"/>
    </xf>
    <xf numFmtId="1" fontId="49" fillId="8" borderId="13" xfId="0" applyNumberFormat="1" applyFont="1" applyFill="1" applyBorder="1" applyAlignment="1">
      <alignment horizontal="center" vertical="center" readingOrder="2"/>
    </xf>
    <xf numFmtId="0" fontId="49" fillId="0" borderId="0" xfId="0" applyFont="1" applyAlignment="1">
      <alignment horizontal="center" vertical="center"/>
    </xf>
    <xf numFmtId="1" fontId="49" fillId="0" borderId="0" xfId="0" applyNumberFormat="1" applyFont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1" fontId="49" fillId="0" borderId="2" xfId="0" applyNumberFormat="1" applyFont="1" applyBorder="1" applyAlignment="1">
      <alignment horizontal="center" vertical="center"/>
    </xf>
    <xf numFmtId="0" fontId="49" fillId="0" borderId="5" xfId="0" applyFont="1" applyBorder="1"/>
    <xf numFmtId="0" fontId="49" fillId="0" borderId="6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49" fillId="0" borderId="1" xfId="0" applyFont="1" applyBorder="1"/>
    <xf numFmtId="1" fontId="49" fillId="0" borderId="11" xfId="0" applyNumberFormat="1" applyFont="1" applyBorder="1" applyAlignment="1">
      <alignment horizontal="center" vertical="center"/>
    </xf>
    <xf numFmtId="0" fontId="49" fillId="0" borderId="3" xfId="0" applyFont="1" applyBorder="1"/>
    <xf numFmtId="1" fontId="49" fillId="0" borderId="4" xfId="0" applyNumberFormat="1" applyFont="1" applyBorder="1" applyAlignment="1">
      <alignment horizontal="center" vertical="center"/>
    </xf>
    <xf numFmtId="1" fontId="49" fillId="0" borderId="13" xfId="0" applyNumberFormat="1" applyFont="1" applyBorder="1" applyAlignment="1">
      <alignment horizontal="center" vertical="center"/>
    </xf>
    <xf numFmtId="0" fontId="49" fillId="4" borderId="5" xfId="0" applyFont="1" applyFill="1" applyBorder="1"/>
    <xf numFmtId="0" fontId="49" fillId="4" borderId="6" xfId="0" applyFont="1" applyFill="1" applyBorder="1" applyAlignment="1">
      <alignment horizontal="center" vertical="center"/>
    </xf>
    <xf numFmtId="0" fontId="49" fillId="4" borderId="7" xfId="0" applyFont="1" applyFill="1" applyBorder="1" applyAlignment="1">
      <alignment horizontal="center" vertical="center"/>
    </xf>
    <xf numFmtId="0" fontId="49" fillId="4" borderId="1" xfId="0" applyFont="1" applyFill="1" applyBorder="1"/>
    <xf numFmtId="1" fontId="49" fillId="4" borderId="2" xfId="0" applyNumberFormat="1" applyFont="1" applyFill="1" applyBorder="1" applyAlignment="1">
      <alignment horizontal="center" vertical="center"/>
    </xf>
    <xf numFmtId="1" fontId="49" fillId="4" borderId="11" xfId="0" applyNumberFormat="1" applyFont="1" applyFill="1" applyBorder="1" applyAlignment="1">
      <alignment horizontal="center" vertical="center"/>
    </xf>
    <xf numFmtId="0" fontId="49" fillId="0" borderId="11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49" fillId="0" borderId="13" xfId="0" applyFont="1" applyBorder="1" applyAlignment="1">
      <alignment horizontal="center" vertical="center"/>
    </xf>
    <xf numFmtId="0" fontId="49" fillId="0" borderId="5" xfId="0" applyFont="1" applyBorder="1" applyAlignment="1">
      <alignment horizontal="right" vertical="center"/>
    </xf>
    <xf numFmtId="0" fontId="49" fillId="0" borderId="1" xfId="0" applyFont="1" applyBorder="1" applyAlignment="1">
      <alignment horizontal="right" vertical="center"/>
    </xf>
    <xf numFmtId="0" fontId="49" fillId="0" borderId="3" xfId="0" applyFont="1" applyBorder="1" applyAlignment="1">
      <alignment horizontal="right" vertical="center"/>
    </xf>
    <xf numFmtId="0" fontId="61" fillId="0" borderId="0" xfId="0" applyFont="1" applyAlignment="1">
      <alignment horizontal="center" vertical="center"/>
    </xf>
    <xf numFmtId="3" fontId="47" fillId="2" borderId="28" xfId="0" applyNumberFormat="1" applyFont="1" applyFill="1" applyBorder="1" applyAlignment="1">
      <alignment horizontal="right" vertical="center"/>
    </xf>
    <xf numFmtId="3" fontId="47" fillId="2" borderId="29" xfId="0" applyNumberFormat="1" applyFont="1" applyFill="1" applyBorder="1" applyAlignment="1">
      <alignment horizontal="center" vertical="center"/>
    </xf>
    <xf numFmtId="3" fontId="47" fillId="2" borderId="30" xfId="0" applyNumberFormat="1" applyFont="1" applyFill="1" applyBorder="1" applyAlignment="1">
      <alignment horizontal="center" vertical="center"/>
    </xf>
    <xf numFmtId="2" fontId="28" fillId="0" borderId="2" xfId="0" quotePrefix="1" applyNumberFormat="1" applyFont="1" applyBorder="1" applyAlignment="1" applyProtection="1">
      <alignment horizontal="center" vertical="center" readingOrder="2"/>
      <protection locked="0"/>
    </xf>
    <xf numFmtId="0" fontId="64" fillId="0" borderId="0" xfId="0" applyFont="1" applyAlignment="1">
      <alignment horizontal="center" vertical="center" readingOrder="2"/>
    </xf>
    <xf numFmtId="1" fontId="64" fillId="0" borderId="56" xfId="0" applyNumberFormat="1" applyFont="1" applyBorder="1" applyAlignment="1">
      <alignment horizontal="center" vertical="center" readingOrder="2"/>
    </xf>
    <xf numFmtId="1" fontId="64" fillId="0" borderId="31" xfId="0" applyNumberFormat="1" applyFont="1" applyBorder="1" applyAlignment="1">
      <alignment horizontal="center" vertical="center" readingOrder="2"/>
    </xf>
    <xf numFmtId="1" fontId="64" fillId="0" borderId="27" xfId="0" applyNumberFormat="1" applyFont="1" applyBorder="1" applyAlignment="1">
      <alignment horizontal="center" vertical="center" readingOrder="2"/>
    </xf>
    <xf numFmtId="1" fontId="49" fillId="0" borderId="52" xfId="0" applyNumberFormat="1" applyFont="1" applyBorder="1" applyAlignment="1">
      <alignment horizontal="center" vertical="center"/>
    </xf>
    <xf numFmtId="0" fontId="49" fillId="0" borderId="0" xfId="0" applyFont="1" applyAlignment="1">
      <alignment horizontal="center"/>
    </xf>
    <xf numFmtId="2" fontId="25" fillId="0" borderId="0" xfId="0" applyNumberFormat="1" applyFont="1" applyAlignment="1">
      <alignment horizontal="center" readingOrder="2"/>
    </xf>
    <xf numFmtId="1" fontId="65" fillId="8" borderId="2" xfId="0" applyNumberFormat="1" applyFont="1" applyFill="1" applyBorder="1" applyAlignment="1" applyProtection="1">
      <alignment horizontal="center" vertical="center" readingOrder="2"/>
      <protection hidden="1"/>
    </xf>
    <xf numFmtId="1" fontId="66" fillId="0" borderId="0" xfId="0" applyNumberFormat="1" applyFont="1"/>
    <xf numFmtId="1" fontId="65" fillId="0" borderId="2" xfId="0" applyNumberFormat="1" applyFont="1" applyBorder="1" applyAlignment="1" applyProtection="1">
      <alignment horizontal="center" vertical="center" readingOrder="2"/>
      <protection hidden="1"/>
    </xf>
    <xf numFmtId="1" fontId="68" fillId="0" borderId="0" xfId="0" applyNumberFormat="1" applyFont="1"/>
    <xf numFmtId="0" fontId="69" fillId="0" borderId="2" xfId="0" applyFont="1" applyBorder="1" applyAlignment="1">
      <alignment horizontal="right" vertical="center" readingOrder="2"/>
    </xf>
    <xf numFmtId="0" fontId="69" fillId="0" borderId="0" xfId="0" applyFont="1" applyAlignment="1">
      <alignment horizontal="center" vertical="center" readingOrder="2"/>
    </xf>
    <xf numFmtId="1" fontId="49" fillId="0" borderId="0" xfId="0" applyNumberFormat="1" applyFont="1" applyAlignment="1">
      <alignment horizontal="right" vertical="center"/>
    </xf>
    <xf numFmtId="0" fontId="49" fillId="0" borderId="0" xfId="0" applyFont="1" applyAlignment="1">
      <alignment horizontal="right" vertical="center"/>
    </xf>
    <xf numFmtId="1" fontId="49" fillId="2" borderId="26" xfId="0" applyNumberFormat="1" applyFont="1" applyFill="1" applyBorder="1" applyAlignment="1">
      <alignment horizontal="right" vertical="center"/>
    </xf>
    <xf numFmtId="1" fontId="49" fillId="2" borderId="54" xfId="0" applyNumberFormat="1" applyFont="1" applyFill="1" applyBorder="1" applyAlignment="1">
      <alignment horizontal="center" vertical="center"/>
    </xf>
    <xf numFmtId="1" fontId="49" fillId="2" borderId="55" xfId="0" applyNumberFormat="1" applyFont="1" applyFill="1" applyBorder="1" applyAlignment="1">
      <alignment horizontal="center" vertical="center"/>
    </xf>
    <xf numFmtId="1" fontId="49" fillId="0" borderId="26" xfId="0" applyNumberFormat="1" applyFont="1" applyBorder="1" applyAlignment="1">
      <alignment horizontal="right" vertical="center"/>
    </xf>
    <xf numFmtId="1" fontId="49" fillId="0" borderId="54" xfId="0" applyNumberFormat="1" applyFont="1" applyBorder="1" applyAlignment="1">
      <alignment horizontal="center" vertical="center"/>
    </xf>
    <xf numFmtId="1" fontId="49" fillId="0" borderId="55" xfId="0" applyNumberFormat="1" applyFont="1" applyBorder="1" applyAlignment="1">
      <alignment horizontal="center" vertical="center"/>
    </xf>
    <xf numFmtId="1" fontId="48" fillId="2" borderId="26" xfId="0" applyNumberFormat="1" applyFont="1" applyFill="1" applyBorder="1" applyAlignment="1">
      <alignment horizontal="right" vertical="center"/>
    </xf>
    <xf numFmtId="1" fontId="48" fillId="2" borderId="54" xfId="0" applyNumberFormat="1" applyFont="1" applyFill="1" applyBorder="1" applyAlignment="1">
      <alignment horizontal="center" vertical="center"/>
    </xf>
    <xf numFmtId="1" fontId="48" fillId="0" borderId="26" xfId="0" applyNumberFormat="1" applyFont="1" applyBorder="1" applyAlignment="1">
      <alignment horizontal="right" vertical="center"/>
    </xf>
    <xf numFmtId="1" fontId="48" fillId="0" borderId="54" xfId="0" applyNumberFormat="1" applyFont="1" applyBorder="1" applyAlignment="1">
      <alignment horizontal="center" vertical="center"/>
    </xf>
    <xf numFmtId="1" fontId="49" fillId="0" borderId="28" xfId="0" applyNumberFormat="1" applyFont="1" applyBorder="1" applyAlignment="1">
      <alignment horizontal="right" vertical="center"/>
    </xf>
    <xf numFmtId="1" fontId="49" fillId="0" borderId="29" xfId="0" applyNumberFormat="1" applyFont="1" applyBorder="1" applyAlignment="1">
      <alignment horizontal="center" vertical="center"/>
    </xf>
    <xf numFmtId="1" fontId="49" fillId="0" borderId="30" xfId="0" applyNumberFormat="1" applyFont="1" applyBorder="1" applyAlignment="1">
      <alignment horizontal="center" vertical="center"/>
    </xf>
    <xf numFmtId="1" fontId="49" fillId="0" borderId="22" xfId="0" applyNumberFormat="1" applyFont="1" applyBorder="1" applyAlignment="1">
      <alignment horizontal="left" vertical="center"/>
    </xf>
    <xf numFmtId="1" fontId="49" fillId="0" borderId="42" xfId="0" applyNumberFormat="1" applyFont="1" applyBorder="1" applyAlignment="1">
      <alignment horizontal="center" vertical="center"/>
    </xf>
    <xf numFmtId="1" fontId="49" fillId="0" borderId="22" xfId="0" applyNumberFormat="1" applyFont="1" applyBorder="1" applyAlignment="1">
      <alignment horizontal="right" vertical="center"/>
    </xf>
    <xf numFmtId="1" fontId="49" fillId="0" borderId="35" xfId="0" applyNumberFormat="1" applyFont="1" applyBorder="1" applyAlignment="1">
      <alignment horizontal="right" vertical="center"/>
    </xf>
    <xf numFmtId="0" fontId="49" fillId="6" borderId="26" xfId="0" applyFont="1" applyFill="1" applyBorder="1" applyAlignment="1">
      <alignment horizontal="center" vertical="center"/>
    </xf>
    <xf numFmtId="0" fontId="49" fillId="6" borderId="54" xfId="0" applyFont="1" applyFill="1" applyBorder="1" applyAlignment="1">
      <alignment horizontal="center" vertical="center"/>
    </xf>
    <xf numFmtId="0" fontId="49" fillId="6" borderId="55" xfId="0" applyFont="1" applyFill="1" applyBorder="1" applyAlignment="1">
      <alignment horizontal="center" vertical="center"/>
    </xf>
    <xf numFmtId="9" fontId="49" fillId="0" borderId="0" xfId="4" applyFont="1" applyAlignment="1">
      <alignment horizontal="center" vertical="center"/>
    </xf>
    <xf numFmtId="1" fontId="49" fillId="0" borderId="0" xfId="0" applyNumberFormat="1" applyFont="1" applyAlignment="1">
      <alignment horizontal="center"/>
    </xf>
    <xf numFmtId="1" fontId="49" fillId="0" borderId="28" xfId="0" applyNumberFormat="1" applyFont="1" applyBorder="1"/>
    <xf numFmtId="1" fontId="49" fillId="0" borderId="29" xfId="0" applyNumberFormat="1" applyFont="1" applyBorder="1"/>
    <xf numFmtId="1" fontId="49" fillId="0" borderId="29" xfId="0" applyNumberFormat="1" applyFont="1" applyBorder="1" applyAlignment="1">
      <alignment horizontal="center"/>
    </xf>
    <xf numFmtId="1" fontId="49" fillId="0" borderId="22" xfId="0" applyNumberFormat="1" applyFont="1" applyBorder="1"/>
    <xf numFmtId="1" fontId="49" fillId="0" borderId="35" xfId="0" applyNumberFormat="1" applyFont="1" applyBorder="1"/>
    <xf numFmtId="1" fontId="49" fillId="0" borderId="52" xfId="0" applyNumberFormat="1" applyFont="1" applyBorder="1"/>
    <xf numFmtId="1" fontId="49" fillId="0" borderId="52" xfId="0" applyNumberFormat="1" applyFont="1" applyBorder="1" applyAlignment="1">
      <alignment horizontal="center"/>
    </xf>
    <xf numFmtId="1" fontId="49" fillId="0" borderId="30" xfId="0" applyNumberFormat="1" applyFont="1" applyBorder="1" applyAlignment="1">
      <alignment horizontal="center"/>
    </xf>
    <xf numFmtId="1" fontId="49" fillId="0" borderId="42" xfId="0" applyNumberFormat="1" applyFont="1" applyBorder="1" applyAlignment="1">
      <alignment horizontal="center"/>
    </xf>
    <xf numFmtId="1" fontId="49" fillId="0" borderId="53" xfId="0" applyNumberFormat="1" applyFont="1" applyBorder="1" applyAlignment="1">
      <alignment horizontal="center"/>
    </xf>
    <xf numFmtId="0" fontId="49" fillId="0" borderId="29" xfId="0" applyFont="1" applyBorder="1" applyAlignment="1">
      <alignment horizontal="center"/>
    </xf>
    <xf numFmtId="0" fontId="49" fillId="0" borderId="30" xfId="0" applyFont="1" applyBorder="1" applyAlignment="1">
      <alignment horizontal="center"/>
    </xf>
    <xf numFmtId="0" fontId="49" fillId="0" borderId="42" xfId="0" applyFont="1" applyBorder="1" applyAlignment="1">
      <alignment horizontal="center"/>
    </xf>
    <xf numFmtId="0" fontId="49" fillId="0" borderId="52" xfId="0" applyFont="1" applyBorder="1" applyAlignment="1">
      <alignment horizontal="center"/>
    </xf>
    <xf numFmtId="0" fontId="49" fillId="0" borderId="53" xfId="0" applyFont="1" applyBorder="1" applyAlignment="1">
      <alignment horizontal="center"/>
    </xf>
    <xf numFmtId="0" fontId="49" fillId="0" borderId="28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49" fillId="0" borderId="35" xfId="0" applyFont="1" applyBorder="1" applyAlignment="1">
      <alignment horizontal="center"/>
    </xf>
    <xf numFmtId="0" fontId="49" fillId="0" borderId="1" xfId="0" applyFont="1" applyBorder="1" applyAlignment="1">
      <alignment horizontal="left"/>
    </xf>
    <xf numFmtId="2" fontId="49" fillId="0" borderId="2" xfId="0" applyNumberFormat="1" applyFont="1" applyBorder="1" applyAlignment="1">
      <alignment horizontal="center" vertical="center"/>
    </xf>
    <xf numFmtId="2" fontId="49" fillId="0" borderId="11" xfId="0" applyNumberFormat="1" applyFont="1" applyBorder="1" applyAlignment="1">
      <alignment horizontal="center" vertical="center"/>
    </xf>
    <xf numFmtId="0" fontId="49" fillId="3" borderId="2" xfId="0" applyFont="1" applyFill="1" applyBorder="1" applyAlignment="1">
      <alignment horizontal="center" vertical="center"/>
    </xf>
    <xf numFmtId="0" fontId="15" fillId="0" borderId="0" xfId="0" applyFont="1" applyAlignment="1" applyProtection="1">
      <alignment vertical="center" readingOrder="2"/>
      <protection hidden="1"/>
    </xf>
    <xf numFmtId="9" fontId="49" fillId="0" borderId="0" xfId="4" applyFont="1" applyBorder="1" applyAlignment="1">
      <alignment horizontal="center"/>
    </xf>
    <xf numFmtId="171" fontId="49" fillId="0" borderId="0" xfId="4" applyNumberFormat="1" applyFont="1" applyAlignment="1">
      <alignment horizontal="center" vertical="center"/>
    </xf>
    <xf numFmtId="2" fontId="49" fillId="0" borderId="0" xfId="0" applyNumberFormat="1" applyFont="1" applyAlignment="1">
      <alignment horizontal="center"/>
    </xf>
    <xf numFmtId="2" fontId="49" fillId="0" borderId="42" xfId="0" applyNumberFormat="1" applyFont="1" applyBorder="1" applyAlignment="1">
      <alignment horizontal="center"/>
    </xf>
    <xf numFmtId="2" fontId="49" fillId="0" borderId="52" xfId="0" applyNumberFormat="1" applyFont="1" applyBorder="1" applyAlignment="1">
      <alignment horizontal="center"/>
    </xf>
    <xf numFmtId="2" fontId="49" fillId="0" borderId="53" xfId="0" applyNumberFormat="1" applyFont="1" applyBorder="1" applyAlignment="1">
      <alignment horizontal="center"/>
    </xf>
    <xf numFmtId="0" fontId="13" fillId="0" borderId="56" xfId="0" applyFont="1" applyBorder="1" applyAlignment="1" applyProtection="1">
      <alignment horizontal="center" vertical="center" readingOrder="2"/>
      <protection hidden="1"/>
    </xf>
    <xf numFmtId="1" fontId="48" fillId="0" borderId="22" xfId="0" applyNumberFormat="1" applyFont="1" applyBorder="1"/>
    <xf numFmtId="1" fontId="48" fillId="0" borderId="0" xfId="0" applyNumberFormat="1" applyFont="1"/>
    <xf numFmtId="1" fontId="48" fillId="0" borderId="0" xfId="0" applyNumberFormat="1" applyFont="1" applyAlignment="1">
      <alignment horizontal="center"/>
    </xf>
    <xf numFmtId="9" fontId="49" fillId="3" borderId="0" xfId="4" applyFont="1" applyFill="1" applyBorder="1" applyAlignment="1">
      <alignment horizontal="center"/>
    </xf>
    <xf numFmtId="0" fontId="49" fillId="9" borderId="0" xfId="0" applyFont="1" applyFill="1" applyAlignment="1">
      <alignment horizontal="center"/>
    </xf>
    <xf numFmtId="0" fontId="13" fillId="0" borderId="2" xfId="0" applyFont="1" applyBorder="1" applyAlignment="1">
      <alignment vertical="center" readingOrder="2"/>
    </xf>
    <xf numFmtId="0" fontId="15" fillId="6" borderId="5" xfId="0" applyFont="1" applyFill="1" applyBorder="1" applyAlignment="1">
      <alignment horizontal="center" vertical="center" textRotation="90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readingOrder="2"/>
    </xf>
    <xf numFmtId="0" fontId="0" fillId="0" borderId="26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7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" fontId="71" fillId="0" borderId="1" xfId="0" applyNumberFormat="1" applyFont="1" applyBorder="1" applyAlignment="1">
      <alignment horizontal="center" vertical="center" readingOrder="2"/>
    </xf>
    <xf numFmtId="1" fontId="72" fillId="0" borderId="0" xfId="0" applyNumberFormat="1" applyFont="1"/>
    <xf numFmtId="177" fontId="71" fillId="0" borderId="2" xfId="0" applyNumberFormat="1" applyFont="1" applyBorder="1" applyAlignment="1">
      <alignment horizontal="right" vertical="center" readingOrder="2"/>
    </xf>
    <xf numFmtId="0" fontId="73" fillId="0" borderId="0" xfId="0" applyFont="1" applyAlignment="1">
      <alignment horizontal="center"/>
    </xf>
    <xf numFmtId="0" fontId="26" fillId="0" borderId="0" xfId="0" applyFont="1" applyAlignment="1" applyProtection="1">
      <alignment vertical="center" wrapText="1" readingOrder="2"/>
      <protection locked="0"/>
    </xf>
    <xf numFmtId="0" fontId="0" fillId="0" borderId="5" xfId="0" applyBorder="1" applyAlignment="1" applyProtection="1">
      <alignment horizontal="center" vertical="center" readingOrder="2"/>
      <protection hidden="1"/>
    </xf>
    <xf numFmtId="0" fontId="0" fillId="0" borderId="6" xfId="0" applyBorder="1" applyAlignment="1" applyProtection="1">
      <alignment horizontal="center" vertical="center" readingOrder="2"/>
      <protection hidden="1"/>
    </xf>
    <xf numFmtId="0" fontId="0" fillId="0" borderId="7" xfId="0" applyBorder="1" applyAlignment="1" applyProtection="1">
      <alignment horizontal="center" vertical="center" readingOrder="2"/>
      <protection hidden="1"/>
    </xf>
    <xf numFmtId="0" fontId="58" fillId="0" borderId="0" xfId="0" applyFont="1" applyAlignment="1" applyProtection="1">
      <alignment horizontal="center" vertical="center" readingOrder="2"/>
      <protection hidden="1"/>
    </xf>
    <xf numFmtId="0" fontId="0" fillId="0" borderId="1" xfId="0" applyBorder="1" applyAlignment="1" applyProtection="1">
      <alignment horizontal="center" vertical="center" readingOrder="2"/>
      <protection hidden="1"/>
    </xf>
    <xf numFmtId="9" fontId="0" fillId="3" borderId="2" xfId="0" applyNumberFormat="1" applyFill="1" applyBorder="1" applyAlignment="1" applyProtection="1">
      <alignment horizontal="center" vertical="center" readingOrder="2"/>
      <protection locked="0"/>
    </xf>
    <xf numFmtId="9" fontId="0" fillId="3" borderId="11" xfId="0" applyNumberFormat="1" applyFill="1" applyBorder="1" applyAlignment="1" applyProtection="1">
      <alignment horizontal="center" vertical="center" readingOrder="2"/>
      <protection locked="0"/>
    </xf>
    <xf numFmtId="0" fontId="0" fillId="0" borderId="3" xfId="0" applyBorder="1" applyAlignment="1" applyProtection="1">
      <alignment horizontal="center" vertical="center" readingOrder="2"/>
      <protection hidden="1"/>
    </xf>
    <xf numFmtId="9" fontId="0" fillId="3" borderId="4" xfId="0" applyNumberFormat="1" applyFill="1" applyBorder="1" applyAlignment="1" applyProtection="1">
      <alignment horizontal="center" vertical="center" readingOrder="2"/>
      <protection locked="0"/>
    </xf>
    <xf numFmtId="9" fontId="0" fillId="3" borderId="13" xfId="0" applyNumberFormat="1" applyFill="1" applyBorder="1" applyAlignment="1" applyProtection="1">
      <alignment horizontal="center" vertical="center" readingOrder="2"/>
      <protection locked="0"/>
    </xf>
    <xf numFmtId="9" fontId="0" fillId="0" borderId="0" xfId="0" applyNumberFormat="1" applyAlignment="1" applyProtection="1">
      <alignment horizontal="center" vertical="center" readingOrder="2"/>
      <protection locked="0"/>
    </xf>
    <xf numFmtId="9" fontId="0" fillId="3" borderId="0" xfId="0" applyNumberFormat="1" applyFill="1" applyAlignment="1" applyProtection="1">
      <alignment horizontal="center" vertical="center" readingOrder="2"/>
      <protection locked="0"/>
    </xf>
    <xf numFmtId="9" fontId="0" fillId="0" borderId="0" xfId="0" applyNumberFormat="1" applyAlignment="1" applyProtection="1">
      <alignment horizontal="center" vertical="center" readingOrder="2"/>
      <protection hidden="1"/>
    </xf>
    <xf numFmtId="0" fontId="28" fillId="0" borderId="56" xfId="0" applyFont="1" applyBorder="1" applyAlignment="1" applyProtection="1">
      <alignment horizontal="center" vertical="center" readingOrder="2"/>
      <protection hidden="1"/>
    </xf>
    <xf numFmtId="0" fontId="28" fillId="0" borderId="31" xfId="0" applyFont="1" applyBorder="1" applyAlignment="1" applyProtection="1">
      <alignment horizontal="center" vertical="center" readingOrder="2"/>
      <protection hidden="1"/>
    </xf>
    <xf numFmtId="2" fontId="28" fillId="0" borderId="31" xfId="0" applyNumberFormat="1" applyFont="1" applyBorder="1" applyAlignment="1" applyProtection="1">
      <alignment horizontal="center" vertical="center" readingOrder="2"/>
      <protection hidden="1"/>
    </xf>
    <xf numFmtId="9" fontId="41" fillId="0" borderId="31" xfId="4" applyFont="1" applyFill="1" applyBorder="1" applyAlignment="1" applyProtection="1">
      <alignment horizontal="center" vertical="center" readingOrder="2"/>
      <protection locked="0"/>
    </xf>
    <xf numFmtId="2" fontId="28" fillId="0" borderId="31" xfId="0" quotePrefix="1" applyNumberFormat="1" applyFont="1" applyBorder="1" applyAlignment="1" applyProtection="1">
      <alignment horizontal="center" vertical="center" readingOrder="2"/>
      <protection hidden="1"/>
    </xf>
    <xf numFmtId="2" fontId="28" fillId="0" borderId="27" xfId="0" quotePrefix="1" applyNumberFormat="1" applyFont="1" applyBorder="1" applyAlignment="1" applyProtection="1">
      <alignment horizontal="center" vertical="center" readingOrder="2"/>
      <protection hidden="1"/>
    </xf>
    <xf numFmtId="0" fontId="26" fillId="6" borderId="4" xfId="0" applyFont="1" applyFill="1" applyBorder="1" applyAlignment="1">
      <alignment horizontal="center" vertical="center" readingOrder="2"/>
    </xf>
    <xf numFmtId="0" fontId="26" fillId="6" borderId="4" xfId="0" applyFont="1" applyFill="1" applyBorder="1" applyAlignment="1">
      <alignment horizontal="center" vertical="center" wrapText="1" readingOrder="2"/>
    </xf>
    <xf numFmtId="0" fontId="26" fillId="6" borderId="13" xfId="0" applyFont="1" applyFill="1" applyBorder="1" applyAlignment="1">
      <alignment horizontal="center" vertical="center" wrapText="1" readingOrder="2"/>
    </xf>
    <xf numFmtId="0" fontId="40" fillId="0" borderId="0" xfId="0" applyFont="1" applyAlignment="1" applyProtection="1">
      <alignment horizontal="center" vertical="center" readingOrder="2"/>
      <protection hidden="1"/>
    </xf>
    <xf numFmtId="1" fontId="64" fillId="0" borderId="0" xfId="0" applyNumberFormat="1" applyFont="1" applyAlignment="1" applyProtection="1">
      <alignment horizontal="center" vertical="center" readingOrder="2"/>
      <protection hidden="1"/>
    </xf>
    <xf numFmtId="0" fontId="40" fillId="0" borderId="0" xfId="0" applyFont="1" applyAlignment="1" applyProtection="1">
      <alignment horizontal="right" vertical="center" readingOrder="2"/>
      <protection hidden="1"/>
    </xf>
    <xf numFmtId="172" fontId="40" fillId="0" borderId="0" xfId="0" applyNumberFormat="1" applyFont="1" applyAlignment="1" applyProtection="1">
      <alignment horizontal="center" vertical="center" readingOrder="2"/>
      <protection hidden="1"/>
    </xf>
    <xf numFmtId="0" fontId="64" fillId="0" borderId="0" xfId="0" applyFont="1" applyAlignment="1" applyProtection="1">
      <alignment horizontal="center" vertical="center" readingOrder="2"/>
      <protection hidden="1"/>
    </xf>
    <xf numFmtId="172" fontId="64" fillId="0" borderId="0" xfId="0" applyNumberFormat="1" applyFont="1" applyAlignment="1" applyProtection="1">
      <alignment horizontal="center" vertical="center" readingOrder="2"/>
      <protection hidden="1"/>
    </xf>
    <xf numFmtId="0" fontId="13" fillId="0" borderId="5" xfId="0" applyFont="1" applyBorder="1" applyAlignment="1" applyProtection="1">
      <alignment horizontal="center" vertical="center" readingOrder="2"/>
      <protection hidden="1"/>
    </xf>
    <xf numFmtId="172" fontId="13" fillId="0" borderId="7" xfId="0" applyNumberFormat="1" applyFont="1" applyBorder="1" applyAlignment="1" applyProtection="1">
      <alignment horizontal="center" vertical="center" readingOrder="2"/>
      <protection hidden="1"/>
    </xf>
    <xf numFmtId="172" fontId="39" fillId="0" borderId="0" xfId="0" applyNumberFormat="1" applyFont="1" applyAlignment="1" applyProtection="1">
      <alignment horizontal="center" vertical="center" readingOrder="2"/>
      <protection hidden="1"/>
    </xf>
    <xf numFmtId="171" fontId="13" fillId="0" borderId="13" xfId="4" applyNumberFormat="1" applyFont="1" applyBorder="1" applyAlignment="1" applyProtection="1">
      <alignment horizontal="center" vertical="center" readingOrder="2"/>
      <protection hidden="1"/>
    </xf>
    <xf numFmtId="179" fontId="22" fillId="0" borderId="0" xfId="0" applyNumberFormat="1" applyFont="1" applyAlignment="1" applyProtection="1">
      <alignment horizontal="center" vertical="center" readingOrder="2"/>
      <protection hidden="1"/>
    </xf>
    <xf numFmtId="0" fontId="9" fillId="2" borderId="26" xfId="0" applyFont="1" applyFill="1" applyBorder="1" applyAlignment="1" applyProtection="1">
      <alignment horizontal="center" vertical="center"/>
      <protection hidden="1"/>
    </xf>
    <xf numFmtId="10" fontId="0" fillId="0" borderId="0" xfId="0" applyNumberFormat="1" applyAlignment="1" applyProtection="1">
      <alignment horizontal="center" vertical="center"/>
      <protection hidden="1"/>
    </xf>
    <xf numFmtId="1" fontId="60" fillId="0" borderId="0" xfId="0" applyNumberFormat="1" applyFont="1" applyAlignment="1">
      <alignment horizontal="center" vertical="center" readingOrder="2"/>
    </xf>
    <xf numFmtId="1" fontId="15" fillId="6" borderId="57" xfId="0" applyNumberFormat="1" applyFont="1" applyFill="1" applyBorder="1" applyAlignment="1">
      <alignment vertical="center"/>
    </xf>
    <xf numFmtId="1" fontId="15" fillId="6" borderId="12" xfId="0" applyNumberFormat="1" applyFont="1" applyFill="1" applyBorder="1" applyAlignment="1">
      <alignment vertical="center"/>
    </xf>
    <xf numFmtId="1" fontId="13" fillId="8" borderId="19" xfId="0" applyNumberFormat="1" applyFont="1" applyFill="1" applyBorder="1" applyAlignment="1">
      <alignment horizontal="center" vertical="center" readingOrder="2"/>
    </xf>
    <xf numFmtId="1" fontId="13" fillId="8" borderId="20" xfId="0" applyNumberFormat="1" applyFont="1" applyFill="1" applyBorder="1" applyAlignment="1">
      <alignment vertical="center" readingOrder="2"/>
    </xf>
    <xf numFmtId="9" fontId="0" fillId="3" borderId="0" xfId="0" applyNumberFormat="1" applyFill="1" applyAlignment="1" applyProtection="1">
      <alignment horizontal="center" vertical="center" readingOrder="2"/>
      <protection hidden="1"/>
    </xf>
    <xf numFmtId="0" fontId="0" fillId="3" borderId="0" xfId="0" applyFill="1" applyAlignment="1" applyProtection="1">
      <alignment horizontal="center" vertical="center" readingOrder="2"/>
      <protection hidden="1"/>
    </xf>
    <xf numFmtId="169" fontId="25" fillId="0" borderId="0" xfId="0" applyNumberFormat="1" applyFont="1" applyAlignment="1">
      <alignment vertical="center"/>
    </xf>
    <xf numFmtId="177" fontId="25" fillId="0" borderId="0" xfId="0" applyNumberFormat="1" applyFont="1" applyAlignment="1">
      <alignment vertical="center"/>
    </xf>
    <xf numFmtId="172" fontId="25" fillId="3" borderId="58" xfId="0" applyNumberFormat="1" applyFont="1" applyFill="1" applyBorder="1" applyAlignment="1" applyProtection="1">
      <alignment horizontal="center" vertical="center" readingOrder="2"/>
      <protection locked="0"/>
    </xf>
    <xf numFmtId="172" fontId="27" fillId="0" borderId="3" xfId="0" applyNumberFormat="1" applyFont="1" applyBorder="1" applyAlignment="1">
      <alignment horizontal="center" vertical="center" readingOrder="2"/>
    </xf>
    <xf numFmtId="1" fontId="13" fillId="8" borderId="12" xfId="0" applyNumberFormat="1" applyFont="1" applyFill="1" applyBorder="1" applyAlignment="1">
      <alignment horizontal="right" vertical="center" readingOrder="2"/>
    </xf>
    <xf numFmtId="176" fontId="45" fillId="5" borderId="2" xfId="2" applyFont="1" applyFill="1" applyBorder="1" applyAlignment="1" applyProtection="1">
      <alignment horizontal="right"/>
    </xf>
    <xf numFmtId="0" fontId="45" fillId="0" borderId="0" xfId="3" applyFont="1"/>
    <xf numFmtId="0" fontId="75" fillId="0" borderId="0" xfId="0" applyFont="1"/>
    <xf numFmtId="0" fontId="45" fillId="5" borderId="0" xfId="3" applyFont="1" applyFill="1"/>
    <xf numFmtId="9" fontId="45" fillId="5" borderId="0" xfId="3" applyNumberFormat="1" applyFont="1" applyFill="1"/>
    <xf numFmtId="3" fontId="45" fillId="5" borderId="2" xfId="3" applyNumberFormat="1" applyFont="1" applyFill="1" applyBorder="1" applyAlignment="1">
      <alignment horizontal="center"/>
    </xf>
    <xf numFmtId="3" fontId="45" fillId="5" borderId="2" xfId="3" applyNumberFormat="1" applyFont="1" applyFill="1" applyBorder="1" applyAlignment="1">
      <alignment horizontal="center" shrinkToFit="1"/>
    </xf>
    <xf numFmtId="3" fontId="45" fillId="5" borderId="11" xfId="3" applyNumberFormat="1" applyFont="1" applyFill="1" applyBorder="1" applyAlignment="1">
      <alignment horizontal="center" shrinkToFit="1"/>
    </xf>
    <xf numFmtId="0" fontId="7" fillId="5" borderId="0" xfId="3" applyFont="1" applyFill="1"/>
    <xf numFmtId="176" fontId="45" fillId="5" borderId="0" xfId="2" applyFont="1" applyFill="1" applyBorder="1" applyProtection="1"/>
    <xf numFmtId="1" fontId="13" fillId="0" borderId="0" xfId="0" applyNumberFormat="1" applyFont="1"/>
    <xf numFmtId="165" fontId="49" fillId="0" borderId="0" xfId="0" applyNumberFormat="1" applyFont="1" applyAlignment="1">
      <alignment horizontal="center" vertical="center"/>
    </xf>
    <xf numFmtId="3" fontId="76" fillId="0" borderId="28" xfId="0" applyNumberFormat="1" applyFont="1" applyBorder="1" applyAlignment="1">
      <alignment horizontal="right" vertical="center"/>
    </xf>
    <xf numFmtId="3" fontId="49" fillId="0" borderId="22" xfId="0" applyNumberFormat="1" applyFont="1" applyBorder="1" applyAlignment="1">
      <alignment horizontal="left" vertical="center"/>
    </xf>
    <xf numFmtId="3" fontId="49" fillId="0" borderId="42" xfId="0" applyNumberFormat="1" applyFont="1" applyBorder="1" applyAlignment="1">
      <alignment horizontal="center" vertical="center"/>
    </xf>
    <xf numFmtId="3" fontId="48" fillId="0" borderId="22" xfId="0" applyNumberFormat="1" applyFont="1" applyBorder="1" applyAlignment="1">
      <alignment horizontal="right" vertical="center"/>
    </xf>
    <xf numFmtId="3" fontId="48" fillId="0" borderId="42" xfId="0" applyNumberFormat="1" applyFont="1" applyBorder="1" applyAlignment="1">
      <alignment horizontal="center" vertical="center"/>
    </xf>
    <xf numFmtId="3" fontId="49" fillId="0" borderId="22" xfId="0" applyNumberFormat="1" applyFont="1" applyBorder="1" applyAlignment="1">
      <alignment horizontal="right" vertical="center"/>
    </xf>
    <xf numFmtId="3" fontId="49" fillId="0" borderId="35" xfId="0" applyNumberFormat="1" applyFont="1" applyBorder="1" applyAlignment="1">
      <alignment horizontal="right" vertical="center"/>
    </xf>
    <xf numFmtId="3" fontId="49" fillId="0" borderId="52" xfId="0" applyNumberFormat="1" applyFont="1" applyBorder="1" applyAlignment="1">
      <alignment horizontal="center" vertical="center"/>
    </xf>
    <xf numFmtId="3" fontId="48" fillId="0" borderId="29" xfId="0" applyNumberFormat="1" applyFont="1" applyBorder="1" applyAlignment="1">
      <alignment horizontal="center" vertical="center"/>
    </xf>
    <xf numFmtId="3" fontId="48" fillId="0" borderId="30" xfId="0" applyNumberFormat="1" applyFont="1" applyBorder="1" applyAlignment="1">
      <alignment horizontal="center" vertical="center"/>
    </xf>
    <xf numFmtId="0" fontId="65" fillId="0" borderId="0" xfId="0" applyFont="1" applyAlignment="1" applyProtection="1">
      <alignment horizontal="center" vertical="center" readingOrder="2"/>
      <protection hidden="1"/>
    </xf>
    <xf numFmtId="172" fontId="49" fillId="0" borderId="0" xfId="0" applyNumberFormat="1" applyFont="1" applyAlignment="1">
      <alignment horizontal="center"/>
    </xf>
    <xf numFmtId="0" fontId="49" fillId="0" borderId="2" xfId="0" applyFont="1" applyBorder="1"/>
    <xf numFmtId="0" fontId="49" fillId="0" borderId="2" xfId="0" applyFont="1" applyBorder="1" applyAlignment="1">
      <alignment horizontal="center"/>
    </xf>
    <xf numFmtId="0" fontId="48" fillId="0" borderId="0" xfId="0" applyFont="1" applyAlignment="1">
      <alignment horizontal="center"/>
    </xf>
    <xf numFmtId="3" fontId="46" fillId="5" borderId="2" xfId="0" applyNumberFormat="1" applyFont="1" applyFill="1" applyBorder="1" applyAlignment="1">
      <alignment horizontal="center" vertical="center"/>
    </xf>
    <xf numFmtId="1" fontId="7" fillId="6" borderId="2" xfId="3" applyNumberFormat="1" applyFont="1" applyFill="1" applyBorder="1" applyAlignment="1">
      <alignment horizontal="center"/>
    </xf>
    <xf numFmtId="3" fontId="7" fillId="6" borderId="2" xfId="3" applyNumberFormat="1" applyFont="1" applyFill="1" applyBorder="1" applyAlignment="1">
      <alignment horizontal="center" shrinkToFit="1"/>
    </xf>
    <xf numFmtId="0" fontId="7" fillId="5" borderId="2" xfId="2" applyNumberFormat="1" applyFont="1" applyFill="1" applyBorder="1" applyAlignment="1" applyProtection="1">
      <alignment horizontal="right"/>
    </xf>
    <xf numFmtId="3" fontId="7" fillId="5" borderId="2" xfId="2" applyNumberFormat="1" applyFont="1" applyFill="1" applyBorder="1" applyAlignment="1" applyProtection="1">
      <alignment horizontal="right"/>
    </xf>
    <xf numFmtId="3" fontId="45" fillId="5" borderId="2" xfId="3" applyNumberFormat="1" applyFont="1" applyFill="1" applyBorder="1"/>
    <xf numFmtId="3" fontId="45" fillId="0" borderId="2" xfId="3" applyNumberFormat="1" applyFont="1" applyBorder="1"/>
    <xf numFmtId="3" fontId="45" fillId="0" borderId="2" xfId="3" applyNumberFormat="1" applyFont="1" applyBorder="1" applyAlignment="1">
      <alignment horizontal="center"/>
    </xf>
    <xf numFmtId="3" fontId="45" fillId="4" borderId="2" xfId="3" applyNumberFormat="1" applyFont="1" applyFill="1" applyBorder="1" applyAlignment="1" applyProtection="1">
      <alignment horizontal="center" shrinkToFit="1"/>
      <protection locked="0"/>
    </xf>
    <xf numFmtId="1" fontId="7" fillId="6" borderId="11" xfId="3" applyNumberFormat="1" applyFont="1" applyFill="1" applyBorder="1" applyAlignment="1">
      <alignment horizontal="center"/>
    </xf>
    <xf numFmtId="3" fontId="7" fillId="6" borderId="11" xfId="3" applyNumberFormat="1" applyFont="1" applyFill="1" applyBorder="1" applyAlignment="1">
      <alignment horizontal="center" shrinkToFit="1"/>
    </xf>
    <xf numFmtId="0" fontId="75" fillId="0" borderId="11" xfId="0" applyFont="1" applyBorder="1"/>
    <xf numFmtId="0" fontId="7" fillId="5" borderId="1" xfId="2" applyNumberFormat="1" applyFont="1" applyFill="1" applyBorder="1" applyAlignment="1" applyProtection="1">
      <alignment horizontal="right"/>
    </xf>
    <xf numFmtId="3" fontId="45" fillId="0" borderId="11" xfId="3" applyNumberFormat="1" applyFont="1" applyBorder="1" applyAlignment="1">
      <alignment horizontal="center"/>
    </xf>
    <xf numFmtId="3" fontId="45" fillId="5" borderId="11" xfId="3" applyNumberFormat="1" applyFont="1" applyFill="1" applyBorder="1" applyAlignment="1">
      <alignment horizontal="center"/>
    </xf>
    <xf numFmtId="3" fontId="7" fillId="6" borderId="4" xfId="3" applyNumberFormat="1" applyFont="1" applyFill="1" applyBorder="1" applyAlignment="1">
      <alignment horizontal="center" shrinkToFit="1"/>
    </xf>
    <xf numFmtId="3" fontId="7" fillId="6" borderId="13" xfId="3" applyNumberFormat="1" applyFont="1" applyFill="1" applyBorder="1" applyAlignment="1">
      <alignment horizontal="center" shrinkToFit="1"/>
    </xf>
    <xf numFmtId="1" fontId="25" fillId="0" borderId="22" xfId="0" applyNumberFormat="1" applyFont="1" applyBorder="1"/>
    <xf numFmtId="1" fontId="25" fillId="0" borderId="42" xfId="0" applyNumberFormat="1" applyFont="1" applyBorder="1"/>
    <xf numFmtId="1" fontId="65" fillId="8" borderId="1" xfId="0" applyNumberFormat="1" applyFont="1" applyFill="1" applyBorder="1" applyAlignment="1" applyProtection="1">
      <alignment horizontal="center" vertical="center" readingOrder="2"/>
      <protection hidden="1"/>
    </xf>
    <xf numFmtId="1" fontId="65" fillId="8" borderId="11" xfId="0" applyNumberFormat="1" applyFont="1" applyFill="1" applyBorder="1" applyAlignment="1" applyProtection="1">
      <alignment horizontal="center" vertical="center" readingOrder="2"/>
      <protection hidden="1"/>
    </xf>
    <xf numFmtId="1" fontId="65" fillId="0" borderId="1" xfId="0" applyNumberFormat="1" applyFont="1" applyBorder="1" applyAlignment="1" applyProtection="1">
      <alignment horizontal="center" vertical="center" readingOrder="2"/>
      <protection hidden="1"/>
    </xf>
    <xf numFmtId="1" fontId="65" fillId="0" borderId="11" xfId="0" applyNumberFormat="1" applyFont="1" applyBorder="1" applyAlignment="1" applyProtection="1">
      <alignment horizontal="center" vertical="center" readingOrder="2"/>
      <protection hidden="1"/>
    </xf>
    <xf numFmtId="1" fontId="67" fillId="8" borderId="3" xfId="0" applyNumberFormat="1" applyFont="1" applyFill="1" applyBorder="1" applyAlignment="1" applyProtection="1">
      <alignment horizontal="center" vertical="center" readingOrder="2"/>
      <protection hidden="1"/>
    </xf>
    <xf numFmtId="1" fontId="67" fillId="8" borderId="4" xfId="0" applyNumberFormat="1" applyFont="1" applyFill="1" applyBorder="1" applyAlignment="1" applyProtection="1">
      <alignment horizontal="center" vertical="center" readingOrder="2"/>
      <protection hidden="1"/>
    </xf>
    <xf numFmtId="1" fontId="67" fillId="8" borderId="13" xfId="0" applyNumberFormat="1" applyFont="1" applyFill="1" applyBorder="1" applyAlignment="1" applyProtection="1">
      <alignment horizontal="center" vertical="center" readingOrder="2"/>
      <protection hidden="1"/>
    </xf>
    <xf numFmtId="3" fontId="45" fillId="9" borderId="2" xfId="3" applyNumberFormat="1" applyFont="1" applyFill="1" applyBorder="1" applyAlignment="1">
      <alignment horizontal="center" shrinkToFit="1"/>
    </xf>
    <xf numFmtId="3" fontId="45" fillId="9" borderId="11" xfId="3" applyNumberFormat="1" applyFont="1" applyFill="1" applyBorder="1" applyAlignment="1">
      <alignment horizontal="center" shrinkToFit="1"/>
    </xf>
    <xf numFmtId="3" fontId="49" fillId="0" borderId="26" xfId="0" applyNumberFormat="1" applyFont="1" applyBorder="1" applyAlignment="1">
      <alignment horizontal="center" vertical="center"/>
    </xf>
    <xf numFmtId="3" fontId="49" fillId="0" borderId="54" xfId="0" applyNumberFormat="1" applyFont="1" applyBorder="1" applyAlignment="1">
      <alignment horizontal="center" vertical="center"/>
    </xf>
    <xf numFmtId="3" fontId="49" fillId="0" borderId="55" xfId="0" applyNumberFormat="1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center" vertical="center"/>
    </xf>
    <xf numFmtId="0" fontId="42" fillId="0" borderId="0" xfId="0" applyFont="1"/>
    <xf numFmtId="0" fontId="18" fillId="0" borderId="0" xfId="0" applyFont="1" applyAlignment="1">
      <alignment horizontal="center"/>
    </xf>
    <xf numFmtId="164" fontId="18" fillId="0" borderId="0" xfId="1" applyFont="1" applyFill="1" applyBorder="1" applyAlignment="1" applyProtection="1">
      <alignment horizontal="center" vertical="center"/>
    </xf>
    <xf numFmtId="0" fontId="42" fillId="0" borderId="2" xfId="0" applyFont="1" applyBorder="1" applyAlignment="1">
      <alignment horizontal="center" vertical="center"/>
    </xf>
    <xf numFmtId="172" fontId="43" fillId="0" borderId="2" xfId="0" applyNumberFormat="1" applyFont="1" applyBorder="1" applyAlignment="1">
      <alignment horizontal="center" vertical="center" shrinkToFit="1"/>
    </xf>
    <xf numFmtId="1" fontId="43" fillId="0" borderId="2" xfId="0" applyNumberFormat="1" applyFont="1" applyBorder="1" applyAlignment="1">
      <alignment horizontal="center" vertical="center" shrinkToFit="1"/>
    </xf>
    <xf numFmtId="0" fontId="43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2" fontId="43" fillId="0" borderId="2" xfId="0" applyNumberFormat="1" applyFont="1" applyBorder="1" applyAlignment="1">
      <alignment horizontal="center" vertical="center" shrinkToFit="1"/>
    </xf>
    <xf numFmtId="0" fontId="42" fillId="0" borderId="1" xfId="0" applyFont="1" applyBorder="1" applyAlignment="1">
      <alignment horizontal="center" vertical="center" textRotation="90"/>
    </xf>
    <xf numFmtId="0" fontId="42" fillId="0" borderId="4" xfId="0" applyFont="1" applyBorder="1" applyAlignment="1">
      <alignment horizontal="center" vertical="center"/>
    </xf>
    <xf numFmtId="172" fontId="43" fillId="0" borderId="4" xfId="0" applyNumberFormat="1" applyFont="1" applyBorder="1" applyAlignment="1">
      <alignment horizontal="center" vertical="center" shrinkToFit="1"/>
    </xf>
    <xf numFmtId="0" fontId="18" fillId="6" borderId="11" xfId="0" applyFont="1" applyFill="1" applyBorder="1" applyAlignment="1">
      <alignment horizontal="center" vertical="center"/>
    </xf>
    <xf numFmtId="1" fontId="43" fillId="6" borderId="11" xfId="0" applyNumberFormat="1" applyFont="1" applyFill="1" applyBorder="1" applyAlignment="1">
      <alignment horizontal="center" vertical="center" shrinkToFit="1"/>
    </xf>
    <xf numFmtId="172" fontId="18" fillId="6" borderId="11" xfId="0" applyNumberFormat="1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/>
    </xf>
    <xf numFmtId="172" fontId="18" fillId="6" borderId="13" xfId="0" applyNumberFormat="1" applyFont="1" applyFill="1" applyBorder="1" applyAlignment="1">
      <alignment horizontal="center" vertical="center"/>
    </xf>
    <xf numFmtId="0" fontId="42" fillId="0" borderId="31" xfId="0" applyFont="1" applyBorder="1" applyAlignment="1">
      <alignment horizontal="center" vertical="center"/>
    </xf>
    <xf numFmtId="172" fontId="43" fillId="0" borderId="31" xfId="0" applyNumberFormat="1" applyFont="1" applyBorder="1" applyAlignment="1">
      <alignment horizontal="center" vertical="center" shrinkToFit="1"/>
    </xf>
    <xf numFmtId="0" fontId="18" fillId="6" borderId="27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44" fillId="0" borderId="9" xfId="0" applyFont="1" applyBorder="1" applyAlignment="1">
      <alignment horizontal="center" vertical="center"/>
    </xf>
    <xf numFmtId="0" fontId="18" fillId="6" borderId="25" xfId="0" applyFont="1" applyFill="1" applyBorder="1" applyAlignment="1">
      <alignment horizontal="center" vertical="center"/>
    </xf>
    <xf numFmtId="3" fontId="28" fillId="3" borderId="2" xfId="1" applyNumberFormat="1" applyFont="1" applyFill="1" applyBorder="1" applyAlignment="1" applyProtection="1">
      <alignment horizontal="center" vertical="center" wrapText="1" readingOrder="2"/>
      <protection locked="0"/>
    </xf>
    <xf numFmtId="2" fontId="28" fillId="3" borderId="2" xfId="0" applyNumberFormat="1" applyFont="1" applyFill="1" applyBorder="1" applyAlignment="1" applyProtection="1">
      <alignment horizontal="center" vertical="center" wrapText="1" readingOrder="2"/>
      <protection locked="0"/>
    </xf>
    <xf numFmtId="168" fontId="43" fillId="0" borderId="2" xfId="0" applyNumberFormat="1" applyFont="1" applyBorder="1" applyAlignment="1">
      <alignment horizontal="center" vertical="center" shrinkToFit="1"/>
    </xf>
    <xf numFmtId="168" fontId="43" fillId="0" borderId="31" xfId="0" applyNumberFormat="1" applyFont="1" applyBorder="1" applyAlignment="1">
      <alignment horizontal="center" vertical="center" shrinkToFit="1"/>
    </xf>
    <xf numFmtId="168" fontId="18" fillId="6" borderId="27" xfId="0" applyNumberFormat="1" applyFont="1" applyFill="1" applyBorder="1" applyAlignment="1">
      <alignment horizontal="center" vertical="center"/>
    </xf>
    <xf numFmtId="168" fontId="43" fillId="6" borderId="11" xfId="0" applyNumberFormat="1" applyFont="1" applyFill="1" applyBorder="1" applyAlignment="1">
      <alignment horizontal="center" vertical="center" shrinkToFit="1"/>
    </xf>
    <xf numFmtId="168" fontId="18" fillId="6" borderId="11" xfId="0" applyNumberFormat="1" applyFont="1" applyFill="1" applyBorder="1" applyAlignment="1">
      <alignment horizontal="center" vertical="center"/>
    </xf>
    <xf numFmtId="168" fontId="18" fillId="6" borderId="11" xfId="0" applyNumberFormat="1" applyFont="1" applyFill="1" applyBorder="1" applyAlignment="1">
      <alignment horizontal="center"/>
    </xf>
    <xf numFmtId="168" fontId="43" fillId="0" borderId="4" xfId="0" applyNumberFormat="1" applyFont="1" applyBorder="1" applyAlignment="1">
      <alignment horizontal="center" vertical="center" shrinkToFit="1"/>
    </xf>
    <xf numFmtId="168" fontId="18" fillId="6" borderId="13" xfId="0" applyNumberFormat="1" applyFont="1" applyFill="1" applyBorder="1" applyAlignment="1">
      <alignment horizontal="center" vertical="center"/>
    </xf>
    <xf numFmtId="2" fontId="25" fillId="0" borderId="0" xfId="0" applyNumberFormat="1" applyFont="1"/>
    <xf numFmtId="168" fontId="25" fillId="0" borderId="0" xfId="0" applyNumberFormat="1" applyFont="1" applyAlignment="1">
      <alignment horizontal="center" vertical="center" readingOrder="2"/>
    </xf>
    <xf numFmtId="3" fontId="15" fillId="0" borderId="0" xfId="0" applyNumberFormat="1" applyFont="1" applyAlignment="1">
      <alignment vertical="center" readingOrder="2"/>
    </xf>
    <xf numFmtId="1" fontId="17" fillId="11" borderId="35" xfId="0" applyNumberFormat="1" applyFont="1" applyFill="1" applyBorder="1" applyAlignment="1" applyProtection="1">
      <alignment horizontal="right" vertical="center" readingOrder="2"/>
      <protection hidden="1"/>
    </xf>
    <xf numFmtId="1" fontId="16" fillId="11" borderId="52" xfId="0" applyNumberFormat="1" applyFont="1" applyFill="1" applyBorder="1" applyAlignment="1" applyProtection="1">
      <alignment horizontal="right" vertical="center" readingOrder="2"/>
      <protection hidden="1"/>
    </xf>
    <xf numFmtId="1" fontId="16" fillId="11" borderId="53" xfId="0" applyNumberFormat="1" applyFont="1" applyFill="1" applyBorder="1" applyAlignment="1" applyProtection="1">
      <alignment horizontal="right" vertical="center" readingOrder="2"/>
      <protection hidden="1"/>
    </xf>
    <xf numFmtId="3" fontId="41" fillId="3" borderId="2" xfId="0" applyNumberFormat="1" applyFont="1" applyFill="1" applyBorder="1" applyAlignment="1" applyProtection="1">
      <alignment horizontal="center" vertical="center" readingOrder="2"/>
      <protection locked="0"/>
    </xf>
    <xf numFmtId="3" fontId="28" fillId="3" borderId="2" xfId="0" applyNumberFormat="1" applyFont="1" applyFill="1" applyBorder="1" applyAlignment="1" applyProtection="1">
      <alignment horizontal="center" vertical="center" readingOrder="2"/>
      <protection locked="0"/>
    </xf>
    <xf numFmtId="168" fontId="13" fillId="0" borderId="0" xfId="0" applyNumberFormat="1" applyFont="1" applyAlignment="1">
      <alignment horizontal="center" vertical="center" readingOrder="2"/>
    </xf>
    <xf numFmtId="0" fontId="26" fillId="0" borderId="0" xfId="0" applyFont="1" applyAlignment="1">
      <alignment horizontal="center" vertical="center" readingOrder="2"/>
    </xf>
    <xf numFmtId="2" fontId="28" fillId="0" borderId="0" xfId="0" quotePrefix="1" applyNumberFormat="1" applyFont="1" applyAlignment="1" applyProtection="1">
      <alignment horizontal="center" vertical="center" readingOrder="2"/>
      <protection hidden="1"/>
    </xf>
    <xf numFmtId="9" fontId="41" fillId="0" borderId="0" xfId="4" applyFont="1" applyFill="1" applyBorder="1" applyAlignment="1" applyProtection="1">
      <alignment horizontal="center" vertical="center" readingOrder="2"/>
      <protection locked="0"/>
    </xf>
    <xf numFmtId="0" fontId="26" fillId="0" borderId="0" xfId="0" applyFont="1" applyAlignment="1" applyProtection="1">
      <alignment horizontal="center" vertical="center" wrapText="1" readingOrder="2"/>
      <protection locked="0"/>
    </xf>
    <xf numFmtId="0" fontId="26" fillId="0" borderId="0" xfId="0" applyFont="1" applyAlignment="1">
      <alignment horizontal="center" vertical="center" wrapText="1" readingOrder="2"/>
    </xf>
    <xf numFmtId="2" fontId="25" fillId="0" borderId="0" xfId="0" applyNumberFormat="1" applyFont="1" applyAlignment="1">
      <alignment horizontal="center" vertical="center" readingOrder="1"/>
    </xf>
    <xf numFmtId="3" fontId="79" fillId="3" borderId="2" xfId="0" applyNumberFormat="1" applyFont="1" applyFill="1" applyBorder="1" applyAlignment="1" applyProtection="1">
      <alignment horizontal="center" vertical="center" readingOrder="2"/>
      <protection hidden="1"/>
    </xf>
    <xf numFmtId="3" fontId="79" fillId="0" borderId="2" xfId="0" applyNumberFormat="1" applyFont="1" applyBorder="1" applyAlignment="1" applyProtection="1">
      <alignment horizontal="center" vertical="center" readingOrder="2"/>
      <protection hidden="1"/>
    </xf>
    <xf numFmtId="3" fontId="79" fillId="0" borderId="2" xfId="0" quotePrefix="1" applyNumberFormat="1" applyFont="1" applyBorder="1" applyAlignment="1">
      <alignment horizontal="center" vertical="center" readingOrder="2"/>
    </xf>
    <xf numFmtId="3" fontId="78" fillId="3" borderId="2" xfId="0" applyNumberFormat="1" applyFont="1" applyFill="1" applyBorder="1" applyAlignment="1" applyProtection="1">
      <alignment horizontal="center" vertical="center" readingOrder="2"/>
      <protection locked="0"/>
    </xf>
    <xf numFmtId="3" fontId="78" fillId="0" borderId="2" xfId="0" applyNumberFormat="1" applyFont="1" applyBorder="1" applyAlignment="1" applyProtection="1">
      <alignment horizontal="center" vertical="center" readingOrder="2"/>
      <protection hidden="1"/>
    </xf>
    <xf numFmtId="3" fontId="78" fillId="0" borderId="2" xfId="0" quotePrefix="1" applyNumberFormat="1" applyFont="1" applyBorder="1" applyAlignment="1" applyProtection="1">
      <alignment horizontal="center" vertical="center" readingOrder="2"/>
      <protection hidden="1"/>
    </xf>
    <xf numFmtId="3" fontId="79" fillId="0" borderId="2" xfId="1" applyNumberFormat="1" applyFont="1" applyFill="1" applyBorder="1" applyAlignment="1" applyProtection="1">
      <alignment horizontal="center" vertical="center" readingOrder="2"/>
      <protection hidden="1"/>
    </xf>
    <xf numFmtId="3" fontId="78" fillId="0" borderId="11" xfId="0" applyNumberFormat="1" applyFont="1" applyBorder="1" applyAlignment="1" applyProtection="1">
      <alignment horizontal="center" vertical="center" readingOrder="2"/>
      <protection hidden="1"/>
    </xf>
    <xf numFmtId="3" fontId="79" fillId="0" borderId="4" xfId="0" applyNumberFormat="1" applyFont="1" applyBorder="1" applyAlignment="1">
      <alignment horizontal="center" vertical="center" readingOrder="2"/>
    </xf>
    <xf numFmtId="3" fontId="79" fillId="0" borderId="4" xfId="0" applyNumberFormat="1" applyFont="1" applyBorder="1" applyAlignment="1" applyProtection="1">
      <alignment horizontal="center" vertical="center" readingOrder="2"/>
      <protection hidden="1"/>
    </xf>
    <xf numFmtId="3" fontId="79" fillId="0" borderId="13" xfId="0" applyNumberFormat="1" applyFont="1" applyBorder="1" applyAlignment="1" applyProtection="1">
      <alignment horizontal="center" vertical="center" readingOrder="2"/>
      <protection hidden="1"/>
    </xf>
    <xf numFmtId="3" fontId="80" fillId="3" borderId="2" xfId="0" applyNumberFormat="1" applyFont="1" applyFill="1" applyBorder="1" applyAlignment="1" applyProtection="1">
      <alignment horizontal="center" vertical="center" readingOrder="2"/>
      <protection locked="0"/>
    </xf>
    <xf numFmtId="3" fontId="80" fillId="0" borderId="2" xfId="0" applyNumberFormat="1" applyFont="1" applyBorder="1" applyAlignment="1" applyProtection="1">
      <alignment horizontal="center" vertical="center" readingOrder="2"/>
      <protection hidden="1"/>
    </xf>
    <xf numFmtId="3" fontId="80" fillId="0" borderId="11" xfId="0" applyNumberFormat="1" applyFont="1" applyBorder="1" applyAlignment="1" applyProtection="1">
      <alignment horizontal="center" vertical="center" readingOrder="2"/>
      <protection hidden="1"/>
    </xf>
    <xf numFmtId="3" fontId="81" fillId="0" borderId="4" xfId="0" applyNumberFormat="1" applyFont="1" applyBorder="1" applyAlignment="1">
      <alignment horizontal="center" vertical="center" readingOrder="2"/>
    </xf>
    <xf numFmtId="3" fontId="81" fillId="0" borderId="4" xfId="0" applyNumberFormat="1" applyFont="1" applyBorder="1" applyAlignment="1" applyProtection="1">
      <alignment horizontal="center" vertical="center" readingOrder="2"/>
      <protection hidden="1"/>
    </xf>
    <xf numFmtId="3" fontId="81" fillId="0" borderId="13" xfId="0" applyNumberFormat="1" applyFont="1" applyBorder="1" applyAlignment="1" applyProtection="1">
      <alignment horizontal="center" vertical="center" readingOrder="2"/>
      <protection hidden="1"/>
    </xf>
    <xf numFmtId="1" fontId="78" fillId="3" borderId="2" xfId="0" applyNumberFormat="1" applyFont="1" applyFill="1" applyBorder="1" applyAlignment="1" applyProtection="1">
      <alignment horizontal="center" vertical="center" readingOrder="2"/>
      <protection locked="0"/>
    </xf>
    <xf numFmtId="3" fontId="82" fillId="0" borderId="4" xfId="0" applyNumberFormat="1" applyFont="1" applyBorder="1" applyAlignment="1">
      <alignment horizontal="center" vertical="center" readingOrder="2"/>
    </xf>
    <xf numFmtId="3" fontId="82" fillId="0" borderId="4" xfId="0" applyNumberFormat="1" applyFont="1" applyBorder="1" applyAlignment="1" applyProtection="1">
      <alignment horizontal="center" vertical="center" readingOrder="2"/>
      <protection hidden="1"/>
    </xf>
    <xf numFmtId="3" fontId="82" fillId="0" borderId="13" xfId="0" applyNumberFormat="1" applyFont="1" applyBorder="1" applyAlignment="1" applyProtection="1">
      <alignment horizontal="center" vertical="center" readingOrder="2"/>
      <protection hidden="1"/>
    </xf>
    <xf numFmtId="3" fontId="78" fillId="5" borderId="2" xfId="0" applyNumberFormat="1" applyFont="1" applyFill="1" applyBorder="1" applyAlignment="1" applyProtection="1">
      <alignment horizontal="center" vertical="center" readingOrder="2"/>
      <protection hidden="1"/>
    </xf>
    <xf numFmtId="3" fontId="78" fillId="5" borderId="11" xfId="0" applyNumberFormat="1" applyFont="1" applyFill="1" applyBorder="1" applyAlignment="1" applyProtection="1">
      <alignment horizontal="center" vertical="center" readingOrder="2"/>
      <protection hidden="1"/>
    </xf>
    <xf numFmtId="3" fontId="79" fillId="5" borderId="4" xfId="0" applyNumberFormat="1" applyFont="1" applyFill="1" applyBorder="1" applyAlignment="1">
      <alignment horizontal="center" vertical="center" readingOrder="2"/>
    </xf>
    <xf numFmtId="3" fontId="79" fillId="5" borderId="4" xfId="0" applyNumberFormat="1" applyFont="1" applyFill="1" applyBorder="1" applyAlignment="1" applyProtection="1">
      <alignment horizontal="center" vertical="center" readingOrder="2"/>
      <protection hidden="1"/>
    </xf>
    <xf numFmtId="3" fontId="79" fillId="5" borderId="13" xfId="0" applyNumberFormat="1" applyFont="1" applyFill="1" applyBorder="1" applyAlignment="1" applyProtection="1">
      <alignment horizontal="center" vertical="center" readingOrder="2"/>
      <protection hidden="1"/>
    </xf>
    <xf numFmtId="4" fontId="83" fillId="0" borderId="0" xfId="0" applyNumberFormat="1" applyFont="1" applyAlignment="1" applyProtection="1">
      <alignment horizontal="center" vertical="center" readingOrder="2"/>
      <protection hidden="1"/>
    </xf>
    <xf numFmtId="170" fontId="83" fillId="0" borderId="0" xfId="0" applyNumberFormat="1" applyFont="1" applyAlignment="1" applyProtection="1">
      <alignment horizontal="center" vertical="center" readingOrder="2"/>
      <protection hidden="1"/>
    </xf>
    <xf numFmtId="165" fontId="83" fillId="0" borderId="0" xfId="0" applyNumberFormat="1" applyFont="1" applyAlignment="1" applyProtection="1">
      <alignment horizontal="center" vertical="center" readingOrder="2"/>
      <protection hidden="1"/>
    </xf>
    <xf numFmtId="3" fontId="84" fillId="0" borderId="0" xfId="0" applyNumberFormat="1" applyFont="1" applyAlignment="1" applyProtection="1">
      <alignment horizontal="center" vertical="center"/>
      <protection hidden="1"/>
    </xf>
    <xf numFmtId="167" fontId="82" fillId="0" borderId="32" xfId="0" applyNumberFormat="1" applyFont="1" applyBorder="1" applyAlignment="1" applyProtection="1">
      <alignment horizontal="center" readingOrder="2"/>
      <protection hidden="1"/>
    </xf>
    <xf numFmtId="3" fontId="82" fillId="3" borderId="32" xfId="0" applyNumberFormat="1" applyFont="1" applyFill="1" applyBorder="1" applyAlignment="1" applyProtection="1">
      <alignment horizontal="center" readingOrder="2"/>
      <protection hidden="1"/>
    </xf>
    <xf numFmtId="3" fontId="78" fillId="3" borderId="2" xfId="0" applyNumberFormat="1" applyFont="1" applyFill="1" applyBorder="1" applyAlignment="1" applyProtection="1">
      <alignment horizontal="center" vertical="center" readingOrder="2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15" fillId="6" borderId="2" xfId="0" applyFont="1" applyFill="1" applyBorder="1" applyAlignment="1" applyProtection="1">
      <alignment horizontal="center" vertical="center" wrapText="1" readingOrder="2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9" fontId="13" fillId="3" borderId="2" xfId="4" applyFont="1" applyFill="1" applyBorder="1" applyAlignment="1" applyProtection="1">
      <alignment horizontal="center" vertical="center" readingOrder="2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3" fontId="25" fillId="0" borderId="0" xfId="0" applyNumberFormat="1" applyFont="1" applyAlignment="1" applyProtection="1">
      <alignment horizontal="center" vertical="center"/>
      <protection hidden="1"/>
    </xf>
    <xf numFmtId="2" fontId="15" fillId="0" borderId="59" xfId="0" applyNumberFormat="1" applyFont="1" applyBorder="1" applyAlignment="1" applyProtection="1">
      <alignment horizontal="center" vertical="center" readingOrder="2"/>
      <protection hidden="1"/>
    </xf>
    <xf numFmtId="4" fontId="25" fillId="0" borderId="0" xfId="0" applyNumberFormat="1" applyFont="1" applyAlignment="1" applyProtection="1">
      <alignment horizontal="center" vertical="center"/>
      <protection hidden="1"/>
    </xf>
    <xf numFmtId="3" fontId="79" fillId="0" borderId="11" xfId="0" applyNumberFormat="1" applyFont="1" applyBorder="1" applyAlignment="1" applyProtection="1">
      <alignment horizontal="center" vertical="center" readingOrder="2"/>
      <protection hidden="1"/>
    </xf>
    <xf numFmtId="3" fontId="79" fillId="0" borderId="0" xfId="0" applyNumberFormat="1" applyFont="1" applyAlignment="1">
      <alignment horizontal="center" vertical="center" readingOrder="2"/>
    </xf>
    <xf numFmtId="3" fontId="78" fillId="3" borderId="2" xfId="4" applyNumberFormat="1" applyFont="1" applyFill="1" applyBorder="1" applyAlignment="1">
      <alignment horizontal="center" vertical="center"/>
    </xf>
    <xf numFmtId="3" fontId="78" fillId="3" borderId="20" xfId="4" applyNumberFormat="1" applyFont="1" applyFill="1" applyBorder="1" applyAlignment="1">
      <alignment horizontal="center" vertical="center"/>
    </xf>
    <xf numFmtId="3" fontId="78" fillId="3" borderId="20" xfId="0" applyNumberFormat="1" applyFont="1" applyFill="1" applyBorder="1" applyAlignment="1" applyProtection="1">
      <alignment horizontal="center" vertical="center" readingOrder="2"/>
      <protection locked="0"/>
    </xf>
    <xf numFmtId="3" fontId="79" fillId="0" borderId="2" xfId="0" quotePrefix="1" applyNumberFormat="1" applyFont="1" applyBorder="1" applyAlignment="1" applyProtection="1">
      <alignment horizontal="center" vertical="center" readingOrder="2"/>
      <protection hidden="1"/>
    </xf>
    <xf numFmtId="9" fontId="78" fillId="3" borderId="2" xfId="4" applyFont="1" applyFill="1" applyBorder="1" applyAlignment="1" applyProtection="1">
      <alignment horizontal="center" vertical="center" readingOrder="2"/>
      <protection locked="0"/>
    </xf>
    <xf numFmtId="2" fontId="79" fillId="0" borderId="4" xfId="0" applyNumberFormat="1" applyFont="1" applyBorder="1" applyAlignment="1">
      <alignment horizontal="center" vertical="center" readingOrder="2"/>
    </xf>
    <xf numFmtId="3" fontId="78" fillId="0" borderId="11" xfId="0" quotePrefix="1" applyNumberFormat="1" applyFont="1" applyBorder="1" applyAlignment="1" applyProtection="1">
      <alignment horizontal="center" vertical="center" readingOrder="2"/>
      <protection hidden="1"/>
    </xf>
    <xf numFmtId="9" fontId="78" fillId="0" borderId="2" xfId="4" applyFont="1" applyFill="1" applyBorder="1" applyAlignment="1" applyProtection="1">
      <alignment horizontal="center" vertical="center" readingOrder="2"/>
      <protection locked="0"/>
    </xf>
    <xf numFmtId="0" fontId="78" fillId="0" borderId="4" xfId="0" applyFont="1" applyBorder="1" applyAlignment="1">
      <alignment horizontal="center" readingOrder="2"/>
    </xf>
    <xf numFmtId="3" fontId="78" fillId="0" borderId="2" xfId="0" applyNumberFormat="1" applyFont="1" applyBorder="1" applyAlignment="1">
      <alignment horizontal="center" readingOrder="2"/>
    </xf>
    <xf numFmtId="3" fontId="78" fillId="2" borderId="2" xfId="0" applyNumberFormat="1" applyFont="1" applyFill="1" applyBorder="1" applyAlignment="1">
      <alignment horizontal="center" readingOrder="2"/>
    </xf>
    <xf numFmtId="3" fontId="78" fillId="2" borderId="11" xfId="0" applyNumberFormat="1" applyFont="1" applyFill="1" applyBorder="1" applyAlignment="1">
      <alignment horizontal="center" readingOrder="2"/>
    </xf>
    <xf numFmtId="3" fontId="78" fillId="0" borderId="2" xfId="0" quotePrefix="1" applyNumberFormat="1" applyFont="1" applyBorder="1" applyAlignment="1" applyProtection="1">
      <alignment horizontal="center" vertical="center" readingOrder="2"/>
      <protection locked="0"/>
    </xf>
    <xf numFmtId="171" fontId="85" fillId="0" borderId="11" xfId="4" applyNumberFormat="1" applyFont="1" applyBorder="1" applyAlignment="1">
      <alignment horizontal="center" vertical="center"/>
    </xf>
    <xf numFmtId="171" fontId="78" fillId="0" borderId="11" xfId="4" applyNumberFormat="1" applyFont="1" applyBorder="1" applyAlignment="1">
      <alignment horizontal="center" vertical="center"/>
    </xf>
    <xf numFmtId="171" fontId="78" fillId="0" borderId="13" xfId="4" applyNumberFormat="1" applyFont="1" applyBorder="1" applyAlignment="1">
      <alignment horizontal="center" vertical="center"/>
    </xf>
    <xf numFmtId="3" fontId="78" fillId="0" borderId="4" xfId="0" applyNumberFormat="1" applyFont="1" applyBorder="1" applyAlignment="1" applyProtection="1">
      <alignment horizontal="center" vertical="center" readingOrder="2"/>
      <protection hidden="1"/>
    </xf>
    <xf numFmtId="1" fontId="78" fillId="0" borderId="2" xfId="0" applyNumberFormat="1" applyFont="1" applyBorder="1" applyAlignment="1" applyProtection="1">
      <alignment horizontal="center" vertical="center" readingOrder="2"/>
      <protection locked="0"/>
    </xf>
    <xf numFmtId="1" fontId="79" fillId="0" borderId="11" xfId="0" applyNumberFormat="1" applyFont="1" applyBorder="1" applyAlignment="1">
      <alignment horizontal="center" vertical="center" readingOrder="2"/>
    </xf>
    <xf numFmtId="9" fontId="78" fillId="0" borderId="2" xfId="4" applyFont="1" applyFill="1" applyBorder="1" applyAlignment="1" applyProtection="1">
      <alignment horizontal="center" vertical="center" readingOrder="2"/>
      <protection hidden="1"/>
    </xf>
    <xf numFmtId="9" fontId="79" fillId="0" borderId="11" xfId="4" applyFont="1" applyFill="1" applyBorder="1" applyAlignment="1">
      <alignment horizontal="center" vertical="center" readingOrder="2"/>
    </xf>
    <xf numFmtId="3" fontId="79" fillId="3" borderId="11" xfId="0" applyNumberFormat="1" applyFont="1" applyFill="1" applyBorder="1" applyAlignment="1" applyProtection="1">
      <alignment horizontal="center" vertical="center" readingOrder="2"/>
      <protection locked="0"/>
    </xf>
    <xf numFmtId="3" fontId="78" fillId="3" borderId="4" xfId="0" applyNumberFormat="1" applyFont="1" applyFill="1" applyBorder="1" applyAlignment="1" applyProtection="1">
      <alignment horizontal="center" vertical="center" readingOrder="2"/>
      <protection locked="0"/>
    </xf>
    <xf numFmtId="3" fontId="79" fillId="12" borderId="13" xfId="0" applyNumberFormat="1" applyFont="1" applyFill="1" applyBorder="1" applyAlignment="1">
      <alignment horizontal="center" vertical="center" readingOrder="2"/>
    </xf>
    <xf numFmtId="3" fontId="78" fillId="0" borderId="11" xfId="4" applyNumberFormat="1" applyFont="1" applyFill="1" applyBorder="1" applyAlignment="1">
      <alignment horizontal="center" vertical="center" readingOrder="2"/>
    </xf>
    <xf numFmtId="3" fontId="78" fillId="3" borderId="11" xfId="0" applyNumberFormat="1" applyFont="1" applyFill="1" applyBorder="1" applyAlignment="1" applyProtection="1">
      <alignment horizontal="center" vertical="center" readingOrder="2"/>
      <protection locked="0"/>
    </xf>
    <xf numFmtId="3" fontId="78" fillId="0" borderId="11" xfId="0" applyNumberFormat="1" applyFont="1" applyBorder="1" applyAlignment="1">
      <alignment horizontal="center" vertical="center" readingOrder="2"/>
    </xf>
    <xf numFmtId="3" fontId="79" fillId="9" borderId="2" xfId="0" applyNumberFormat="1" applyFont="1" applyFill="1" applyBorder="1" applyAlignment="1">
      <alignment horizontal="center" vertical="center" readingOrder="2"/>
    </xf>
    <xf numFmtId="3" fontId="78" fillId="0" borderId="13" xfId="0" applyNumberFormat="1" applyFont="1" applyBorder="1" applyAlignment="1">
      <alignment horizontal="center" vertical="center" readingOrder="2"/>
    </xf>
    <xf numFmtId="3" fontId="78" fillId="9" borderId="2" xfId="0" applyNumberFormat="1" applyFont="1" applyFill="1" applyBorder="1" applyAlignment="1" applyProtection="1">
      <alignment horizontal="center" vertical="center" readingOrder="2"/>
      <protection hidden="1"/>
    </xf>
    <xf numFmtId="3" fontId="78" fillId="9" borderId="11" xfId="0" applyNumberFormat="1" applyFont="1" applyFill="1" applyBorder="1" applyAlignment="1" applyProtection="1">
      <alignment horizontal="center" vertical="center" readingOrder="2"/>
      <protection hidden="1"/>
    </xf>
    <xf numFmtId="3" fontId="79" fillId="9" borderId="2" xfId="0" applyNumberFormat="1" applyFont="1" applyFill="1" applyBorder="1" applyAlignment="1" applyProtection="1">
      <alignment horizontal="center" vertical="center" readingOrder="2"/>
      <protection hidden="1"/>
    </xf>
    <xf numFmtId="3" fontId="79" fillId="9" borderId="4" xfId="0" applyNumberFormat="1" applyFont="1" applyFill="1" applyBorder="1" applyAlignment="1" applyProtection="1">
      <alignment horizontal="center" vertical="center" readingOrder="2"/>
      <protection hidden="1"/>
    </xf>
    <xf numFmtId="3" fontId="79" fillId="9" borderId="13" xfId="0" applyNumberFormat="1" applyFont="1" applyFill="1" applyBorder="1" applyAlignment="1" applyProtection="1">
      <alignment horizontal="center" vertical="center" readingOrder="2"/>
      <protection hidden="1"/>
    </xf>
    <xf numFmtId="1" fontId="15" fillId="0" borderId="28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readingOrder="2"/>
    </xf>
    <xf numFmtId="0" fontId="13" fillId="0" borderId="0" xfId="0" applyFont="1"/>
    <xf numFmtId="0" fontId="15" fillId="0" borderId="0" xfId="0" applyFont="1"/>
    <xf numFmtId="0" fontId="15" fillId="0" borderId="2" xfId="0" applyFont="1" applyBorder="1" applyAlignment="1" applyProtection="1">
      <alignment horizontal="right" vertical="center" readingOrder="2"/>
      <protection hidden="1"/>
    </xf>
    <xf numFmtId="9" fontId="13" fillId="3" borderId="2" xfId="4" applyFont="1" applyFill="1" applyBorder="1" applyAlignment="1" applyProtection="1">
      <alignment horizontal="center" vertical="center" readingOrder="2"/>
      <protection locked="0"/>
    </xf>
    <xf numFmtId="9" fontId="13" fillId="0" borderId="2" xfId="4" applyFont="1" applyFill="1" applyBorder="1" applyAlignment="1" applyProtection="1">
      <alignment horizontal="center" vertical="center" readingOrder="2"/>
      <protection hidden="1"/>
    </xf>
    <xf numFmtId="1" fontId="15" fillId="0" borderId="1" xfId="0" applyNumberFormat="1" applyFont="1" applyBorder="1" applyAlignment="1" applyProtection="1">
      <alignment horizontal="center" vertical="center" readingOrder="2"/>
      <protection hidden="1"/>
    </xf>
    <xf numFmtId="2" fontId="15" fillId="0" borderId="2" xfId="0" applyNumberFormat="1" applyFont="1" applyBorder="1" applyAlignment="1" applyProtection="1">
      <alignment horizontal="right" vertical="center" readingOrder="2"/>
      <protection hidden="1"/>
    </xf>
    <xf numFmtId="0" fontId="13" fillId="10" borderId="1" xfId="0" applyFont="1" applyFill="1" applyBorder="1" applyAlignment="1" applyProtection="1">
      <alignment horizontal="center" vertical="center" readingOrder="2"/>
      <protection hidden="1"/>
    </xf>
    <xf numFmtId="0" fontId="15" fillId="10" borderId="2" xfId="0" applyFont="1" applyFill="1" applyBorder="1" applyAlignment="1" applyProtection="1">
      <alignment horizontal="right" vertical="center" readingOrder="2"/>
      <protection hidden="1"/>
    </xf>
    <xf numFmtId="9" fontId="13" fillId="10" borderId="2" xfId="4" applyFont="1" applyFill="1" applyBorder="1" applyAlignment="1" applyProtection="1">
      <alignment horizontal="center" vertical="center" readingOrder="2"/>
      <protection hidden="1"/>
    </xf>
    <xf numFmtId="1" fontId="15" fillId="10" borderId="1" xfId="0" applyNumberFormat="1" applyFont="1" applyFill="1" applyBorder="1" applyAlignment="1" applyProtection="1">
      <alignment horizontal="center" vertical="center" readingOrder="2"/>
      <protection hidden="1"/>
    </xf>
    <xf numFmtId="2" fontId="15" fillId="10" borderId="2" xfId="0" applyNumberFormat="1" applyFont="1" applyFill="1" applyBorder="1" applyAlignment="1" applyProtection="1">
      <alignment horizontal="right" vertical="center" readingOrder="2"/>
      <protection hidden="1"/>
    </xf>
    <xf numFmtId="0" fontId="13" fillId="10" borderId="0" xfId="0" applyFont="1" applyFill="1" applyAlignment="1">
      <alignment horizontal="center" vertical="center" readingOrder="2"/>
    </xf>
    <xf numFmtId="0" fontId="13" fillId="10" borderId="0" xfId="0" applyFont="1" applyFill="1"/>
    <xf numFmtId="0" fontId="15" fillId="9" borderId="4" xfId="0" applyFont="1" applyFill="1" applyBorder="1" applyAlignment="1" applyProtection="1">
      <alignment horizontal="center" vertical="center" readingOrder="2"/>
      <protection hidden="1"/>
    </xf>
    <xf numFmtId="2" fontId="15" fillId="9" borderId="4" xfId="0" applyNumberFormat="1" applyFont="1" applyFill="1" applyBorder="1" applyAlignment="1" applyProtection="1">
      <alignment horizontal="center" vertical="center" readingOrder="2"/>
      <protection hidden="1"/>
    </xf>
    <xf numFmtId="0" fontId="15" fillId="9" borderId="0" xfId="0" applyFont="1" applyFill="1" applyAlignment="1">
      <alignment horizontal="center" vertical="center" readingOrder="2"/>
    </xf>
    <xf numFmtId="0" fontId="15" fillId="9" borderId="0" xfId="0" applyFont="1" applyFill="1"/>
    <xf numFmtId="4" fontId="13" fillId="0" borderId="0" xfId="0" applyNumberFormat="1" applyFont="1"/>
    <xf numFmtId="1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 vertical="center" readingOrder="2"/>
    </xf>
    <xf numFmtId="3" fontId="78" fillId="10" borderId="2" xfId="0" applyNumberFormat="1" applyFont="1" applyFill="1" applyBorder="1" applyAlignment="1" applyProtection="1">
      <alignment horizontal="center" vertical="center" readingOrder="2"/>
      <protection hidden="1"/>
    </xf>
    <xf numFmtId="3" fontId="78" fillId="10" borderId="11" xfId="0" applyNumberFormat="1" applyFont="1" applyFill="1" applyBorder="1" applyAlignment="1" applyProtection="1">
      <alignment horizontal="center" vertical="center" readingOrder="2"/>
      <protection hidden="1"/>
    </xf>
    <xf numFmtId="9" fontId="87" fillId="0" borderId="11" xfId="4" applyFont="1" applyBorder="1" applyAlignment="1">
      <alignment horizontal="center" readingOrder="2"/>
    </xf>
    <xf numFmtId="3" fontId="87" fillId="0" borderId="2" xfId="0" applyNumberFormat="1" applyFont="1" applyBorder="1" applyAlignment="1">
      <alignment horizontal="center" readingOrder="2"/>
    </xf>
    <xf numFmtId="3" fontId="82" fillId="0" borderId="2" xfId="0" applyNumberFormat="1" applyFont="1" applyBorder="1" applyAlignment="1">
      <alignment horizontal="center" readingOrder="2"/>
    </xf>
    <xf numFmtId="3" fontId="87" fillId="3" borderId="2" xfId="0" applyNumberFormat="1" applyFont="1" applyFill="1" applyBorder="1" applyAlignment="1">
      <alignment horizontal="center" readingOrder="2"/>
    </xf>
    <xf numFmtId="3" fontId="82" fillId="0" borderId="4" xfId="0" applyNumberFormat="1" applyFont="1" applyBorder="1" applyAlignment="1">
      <alignment horizontal="center" readingOrder="2"/>
    </xf>
    <xf numFmtId="9" fontId="78" fillId="0" borderId="2" xfId="4" applyFont="1" applyBorder="1" applyAlignment="1" applyProtection="1">
      <alignment horizontal="center" vertical="center" readingOrder="2"/>
      <protection hidden="1"/>
    </xf>
    <xf numFmtId="9" fontId="78" fillId="0" borderId="11" xfId="4" applyFont="1" applyBorder="1" applyAlignment="1" applyProtection="1">
      <alignment horizontal="center" vertical="center" readingOrder="2"/>
      <protection hidden="1"/>
    </xf>
    <xf numFmtId="171" fontId="79" fillId="0" borderId="11" xfId="4" applyNumberFormat="1" applyFont="1" applyBorder="1" applyAlignment="1" applyProtection="1">
      <alignment horizontal="center" vertical="center" readingOrder="2"/>
      <protection hidden="1"/>
    </xf>
    <xf numFmtId="2" fontId="79" fillId="0" borderId="11" xfId="0" applyNumberFormat="1" applyFont="1" applyBorder="1" applyAlignment="1" applyProtection="1">
      <alignment horizontal="center" vertical="center" readingOrder="2"/>
      <protection hidden="1"/>
    </xf>
    <xf numFmtId="1" fontId="79" fillId="0" borderId="11" xfId="0" applyNumberFormat="1" applyFont="1" applyBorder="1" applyAlignment="1" applyProtection="1">
      <alignment horizontal="center" vertical="center" readingOrder="2"/>
      <protection hidden="1"/>
    </xf>
    <xf numFmtId="3" fontId="78" fillId="0" borderId="13" xfId="0" applyNumberFormat="1" applyFont="1" applyBorder="1" applyAlignment="1" applyProtection="1">
      <alignment horizontal="center" vertical="center" readingOrder="2"/>
      <protection hidden="1"/>
    </xf>
    <xf numFmtId="3" fontId="79" fillId="6" borderId="31" xfId="0" applyNumberFormat="1" applyFont="1" applyFill="1" applyBorder="1" applyAlignment="1">
      <alignment horizontal="center" vertical="center" readingOrder="2"/>
    </xf>
    <xf numFmtId="3" fontId="79" fillId="6" borderId="27" xfId="0" applyNumberFormat="1" applyFont="1" applyFill="1" applyBorder="1" applyAlignment="1">
      <alignment horizontal="center" vertical="center" readingOrder="2"/>
    </xf>
    <xf numFmtId="3" fontId="79" fillId="8" borderId="2" xfId="0" applyNumberFormat="1" applyFont="1" applyFill="1" applyBorder="1" applyAlignment="1" applyProtection="1">
      <alignment horizontal="center" vertical="center" readingOrder="2"/>
      <protection hidden="1"/>
    </xf>
    <xf numFmtId="3" fontId="79" fillId="8" borderId="11" xfId="0" applyNumberFormat="1" applyFont="1" applyFill="1" applyBorder="1" applyAlignment="1" applyProtection="1">
      <alignment horizontal="center" vertical="center" readingOrder="2"/>
      <protection hidden="1"/>
    </xf>
    <xf numFmtId="3" fontId="78" fillId="8" borderId="2" xfId="0" applyNumberFormat="1" applyFont="1" applyFill="1" applyBorder="1" applyAlignment="1" applyProtection="1">
      <alignment horizontal="center" vertical="center" readingOrder="2"/>
      <protection hidden="1"/>
    </xf>
    <xf numFmtId="3" fontId="78" fillId="8" borderId="11" xfId="0" applyNumberFormat="1" applyFont="1" applyFill="1" applyBorder="1" applyAlignment="1" applyProtection="1">
      <alignment horizontal="center" vertical="center" readingOrder="2"/>
      <protection hidden="1"/>
    </xf>
    <xf numFmtId="3" fontId="88" fillId="0" borderId="2" xfId="0" applyNumberFormat="1" applyFont="1" applyBorder="1" applyAlignment="1" applyProtection="1">
      <alignment horizontal="center" vertical="center" readingOrder="2"/>
      <protection hidden="1"/>
    </xf>
    <xf numFmtId="3" fontId="88" fillId="0" borderId="11" xfId="0" applyNumberFormat="1" applyFont="1" applyBorder="1" applyAlignment="1" applyProtection="1">
      <alignment horizontal="center" vertical="center" readingOrder="2"/>
      <protection hidden="1"/>
    </xf>
    <xf numFmtId="3" fontId="78" fillId="9" borderId="20" xfId="0" applyNumberFormat="1" applyFont="1" applyFill="1" applyBorder="1" applyAlignment="1" applyProtection="1">
      <alignment horizontal="center" vertical="center" readingOrder="2"/>
      <protection hidden="1"/>
    </xf>
    <xf numFmtId="3" fontId="78" fillId="9" borderId="21" xfId="0" applyNumberFormat="1" applyFont="1" applyFill="1" applyBorder="1" applyAlignment="1" applyProtection="1">
      <alignment horizontal="center" vertical="center" readingOrder="2"/>
      <protection hidden="1"/>
    </xf>
    <xf numFmtId="3" fontId="79" fillId="8" borderId="4" xfId="0" applyNumberFormat="1" applyFont="1" applyFill="1" applyBorder="1" applyAlignment="1" applyProtection="1">
      <alignment horizontal="center" vertical="center" readingOrder="2"/>
      <protection hidden="1"/>
    </xf>
    <xf numFmtId="3" fontId="79" fillId="8" borderId="13" xfId="0" applyNumberFormat="1" applyFont="1" applyFill="1" applyBorder="1" applyAlignment="1" applyProtection="1">
      <alignment horizontal="center" vertical="center" readingOrder="2"/>
      <protection hidden="1"/>
    </xf>
    <xf numFmtId="3" fontId="79" fillId="10" borderId="2" xfId="0" applyNumberFormat="1" applyFont="1" applyFill="1" applyBorder="1" applyAlignment="1" applyProtection="1">
      <alignment horizontal="center" vertical="center" readingOrder="2"/>
      <protection hidden="1"/>
    </xf>
    <xf numFmtId="3" fontId="79" fillId="4" borderId="2" xfId="0" applyNumberFormat="1" applyFont="1" applyFill="1" applyBorder="1" applyAlignment="1" applyProtection="1">
      <alignment horizontal="center" vertical="center" readingOrder="2"/>
      <protection hidden="1"/>
    </xf>
    <xf numFmtId="3" fontId="78" fillId="0" borderId="2" xfId="0" applyNumberFormat="1" applyFont="1" applyBorder="1" applyAlignment="1" applyProtection="1">
      <alignment horizontal="center" vertical="center" readingOrder="2"/>
      <protection locked="0" hidden="1"/>
    </xf>
    <xf numFmtId="3" fontId="89" fillId="0" borderId="2" xfId="0" applyNumberFormat="1" applyFont="1" applyBorder="1" applyAlignment="1" applyProtection="1">
      <alignment horizontal="center" vertical="center" readingOrder="2"/>
      <protection hidden="1"/>
    </xf>
    <xf numFmtId="3" fontId="86" fillId="2" borderId="2" xfId="0" applyNumberFormat="1" applyFont="1" applyFill="1" applyBorder="1" applyAlignment="1" applyProtection="1">
      <alignment horizontal="center" vertical="center"/>
      <protection hidden="1"/>
    </xf>
    <xf numFmtId="3" fontId="86" fillId="2" borderId="11" xfId="0" applyNumberFormat="1" applyFont="1" applyFill="1" applyBorder="1" applyAlignment="1" applyProtection="1">
      <alignment horizontal="center" vertical="center"/>
      <protection hidden="1"/>
    </xf>
    <xf numFmtId="3" fontId="86" fillId="0" borderId="2" xfId="0" applyNumberFormat="1" applyFont="1" applyBorder="1" applyAlignment="1" applyProtection="1">
      <alignment horizontal="center" vertical="center"/>
      <protection hidden="1"/>
    </xf>
    <xf numFmtId="3" fontId="86" fillId="0" borderId="11" xfId="0" applyNumberFormat="1" applyFont="1" applyBorder="1" applyAlignment="1" applyProtection="1">
      <alignment horizontal="center" vertical="center"/>
      <protection hidden="1"/>
    </xf>
    <xf numFmtId="3" fontId="86" fillId="3" borderId="2" xfId="0" applyNumberFormat="1" applyFont="1" applyFill="1" applyBorder="1" applyAlignment="1" applyProtection="1">
      <alignment horizontal="center" vertical="center"/>
      <protection hidden="1"/>
    </xf>
    <xf numFmtId="3" fontId="86" fillId="3" borderId="11" xfId="0" applyNumberFormat="1" applyFont="1" applyFill="1" applyBorder="1" applyAlignment="1" applyProtection="1">
      <alignment horizontal="center" vertical="center"/>
      <protection hidden="1"/>
    </xf>
    <xf numFmtId="3" fontId="86" fillId="4" borderId="4" xfId="0" applyNumberFormat="1" applyFont="1" applyFill="1" applyBorder="1" applyAlignment="1" applyProtection="1">
      <alignment horizontal="center" vertical="center"/>
      <protection hidden="1"/>
    </xf>
    <xf numFmtId="3" fontId="86" fillId="4" borderId="13" xfId="0" applyNumberFormat="1" applyFont="1" applyFill="1" applyBorder="1" applyAlignment="1" applyProtection="1">
      <alignment horizontal="center" vertical="center"/>
      <protection hidden="1"/>
    </xf>
    <xf numFmtId="3" fontId="90" fillId="0" borderId="0" xfId="0" applyNumberFormat="1" applyFont="1" applyAlignment="1" applyProtection="1">
      <alignment horizontal="center" vertical="center" readingOrder="2"/>
      <protection hidden="1"/>
    </xf>
    <xf numFmtId="3" fontId="85" fillId="2" borderId="9" xfId="0" applyNumberFormat="1" applyFont="1" applyFill="1" applyBorder="1" applyAlignment="1" applyProtection="1">
      <alignment horizontal="center" vertical="center" readingOrder="2"/>
      <protection hidden="1"/>
    </xf>
    <xf numFmtId="3" fontId="85" fillId="2" borderId="25" xfId="0" applyNumberFormat="1" applyFont="1" applyFill="1" applyBorder="1" applyAlignment="1" applyProtection="1">
      <alignment horizontal="center" vertical="center" readingOrder="2"/>
      <protection hidden="1"/>
    </xf>
    <xf numFmtId="3" fontId="79" fillId="4" borderId="0" xfId="0" applyNumberFormat="1" applyFont="1" applyFill="1" applyAlignment="1" applyProtection="1">
      <alignment horizontal="center" vertical="center" readingOrder="2"/>
      <protection hidden="1"/>
    </xf>
    <xf numFmtId="3" fontId="79" fillId="0" borderId="0" xfId="0" applyNumberFormat="1" applyFont="1" applyAlignment="1" applyProtection="1">
      <alignment horizontal="center" vertical="center" readingOrder="2"/>
      <protection hidden="1"/>
    </xf>
    <xf numFmtId="3" fontId="79" fillId="0" borderId="0" xfId="0" applyNumberFormat="1" applyFont="1" applyAlignment="1" applyProtection="1">
      <alignment horizontal="center" vertical="center"/>
      <protection hidden="1"/>
    </xf>
    <xf numFmtId="3" fontId="79" fillId="2" borderId="2" xfId="0" applyNumberFormat="1" applyFont="1" applyFill="1" applyBorder="1" applyAlignment="1" applyProtection="1">
      <alignment horizontal="center" vertical="center"/>
      <protection hidden="1"/>
    </xf>
    <xf numFmtId="3" fontId="79" fillId="2" borderId="11" xfId="0" applyNumberFormat="1" applyFont="1" applyFill="1" applyBorder="1" applyAlignment="1" applyProtection="1">
      <alignment horizontal="center" vertical="center"/>
      <protection hidden="1"/>
    </xf>
    <xf numFmtId="3" fontId="79" fillId="0" borderId="2" xfId="0" applyNumberFormat="1" applyFont="1" applyBorder="1" applyAlignment="1" applyProtection="1">
      <alignment horizontal="center" vertical="center"/>
      <protection hidden="1"/>
    </xf>
    <xf numFmtId="3" fontId="79" fillId="0" borderId="11" xfId="0" applyNumberFormat="1" applyFont="1" applyBorder="1" applyAlignment="1" applyProtection="1">
      <alignment horizontal="center" vertical="center"/>
      <protection hidden="1"/>
    </xf>
    <xf numFmtId="3" fontId="79" fillId="4" borderId="4" xfId="0" applyNumberFormat="1" applyFont="1" applyFill="1" applyBorder="1" applyAlignment="1" applyProtection="1">
      <alignment horizontal="center" vertical="center"/>
      <protection hidden="1"/>
    </xf>
    <xf numFmtId="3" fontId="79" fillId="4" borderId="13" xfId="0" applyNumberFormat="1" applyFont="1" applyFill="1" applyBorder="1" applyAlignment="1" applyProtection="1">
      <alignment horizontal="center" vertical="center"/>
      <protection hidden="1"/>
    </xf>
    <xf numFmtId="3" fontId="91" fillId="0" borderId="0" xfId="0" applyNumberFormat="1" applyFont="1" applyAlignment="1" applyProtection="1">
      <alignment horizontal="center" vertical="center" readingOrder="2"/>
      <protection hidden="1"/>
    </xf>
    <xf numFmtId="3" fontId="78" fillId="2" borderId="54" xfId="0" applyNumberFormat="1" applyFont="1" applyFill="1" applyBorder="1" applyAlignment="1" applyProtection="1">
      <alignment horizontal="center" vertical="center" readingOrder="2"/>
      <protection hidden="1"/>
    </xf>
    <xf numFmtId="3" fontId="78" fillId="2" borderId="55" xfId="0" applyNumberFormat="1" applyFont="1" applyFill="1" applyBorder="1" applyAlignment="1" applyProtection="1">
      <alignment horizontal="center" vertical="center" readingOrder="2"/>
      <protection hidden="1"/>
    </xf>
    <xf numFmtId="0" fontId="25" fillId="0" borderId="0" xfId="0" applyFont="1" applyProtection="1">
      <protection hidden="1"/>
    </xf>
    <xf numFmtId="0" fontId="26" fillId="6" borderId="2" xfId="0" applyFont="1" applyFill="1" applyBorder="1" applyAlignment="1" applyProtection="1">
      <alignment horizontal="center" vertical="center"/>
      <protection hidden="1"/>
    </xf>
    <xf numFmtId="0" fontId="13" fillId="0" borderId="2" xfId="0" applyFont="1" applyBorder="1" applyAlignment="1" applyProtection="1">
      <alignment horizontal="right" vertical="center" readingOrder="2"/>
      <protection hidden="1"/>
    </xf>
    <xf numFmtId="178" fontId="25" fillId="0" borderId="0" xfId="0" applyNumberFormat="1" applyFont="1" applyProtection="1">
      <protection hidden="1"/>
    </xf>
    <xf numFmtId="0" fontId="13" fillId="0" borderId="0" xfId="0" applyFont="1" applyAlignment="1" applyProtection="1">
      <alignment horizontal="right" vertical="center" readingOrder="2"/>
      <protection hidden="1"/>
    </xf>
    <xf numFmtId="2" fontId="13" fillId="0" borderId="0" xfId="4" applyNumberFormat="1" applyFont="1" applyFill="1" applyBorder="1" applyAlignment="1" applyProtection="1">
      <alignment horizontal="center" vertical="center" readingOrder="2"/>
      <protection hidden="1"/>
    </xf>
    <xf numFmtId="174" fontId="25" fillId="0" borderId="0" xfId="0" applyNumberFormat="1" applyFont="1" applyProtection="1">
      <protection hidden="1"/>
    </xf>
    <xf numFmtId="168" fontId="25" fillId="0" borderId="0" xfId="0" applyNumberFormat="1" applyFont="1" applyProtection="1">
      <protection hidden="1"/>
    </xf>
    <xf numFmtId="2" fontId="25" fillId="0" borderId="0" xfId="0" applyNumberFormat="1" applyFont="1" applyProtection="1">
      <protection hidden="1"/>
    </xf>
    <xf numFmtId="175" fontId="25" fillId="0" borderId="0" xfId="0" applyNumberFormat="1" applyFont="1" applyProtection="1">
      <protection hidden="1"/>
    </xf>
    <xf numFmtId="10" fontId="78" fillId="0" borderId="2" xfId="4" applyNumberFormat="1" applyFont="1" applyFill="1" applyBorder="1" applyAlignment="1" applyProtection="1">
      <alignment horizontal="center" vertical="center" readingOrder="2"/>
      <protection hidden="1"/>
    </xf>
    <xf numFmtId="0" fontId="85" fillId="0" borderId="0" xfId="0" applyFont="1" applyProtection="1">
      <protection hidden="1"/>
    </xf>
    <xf numFmtId="3" fontId="78" fillId="0" borderId="2" xfId="4" applyNumberFormat="1" applyFont="1" applyFill="1" applyBorder="1" applyAlignment="1" applyProtection="1">
      <alignment horizontal="center" vertical="center" readingOrder="2"/>
      <protection hidden="1"/>
    </xf>
    <xf numFmtId="3" fontId="92" fillId="0" borderId="4" xfId="0" applyNumberFormat="1" applyFont="1" applyBorder="1" applyAlignment="1" applyProtection="1">
      <alignment horizontal="center" vertical="center" readingOrder="2"/>
      <protection hidden="1"/>
    </xf>
    <xf numFmtId="3" fontId="92" fillId="0" borderId="13" xfId="0" applyNumberFormat="1" applyFont="1" applyBorder="1" applyAlignment="1" applyProtection="1">
      <alignment horizontal="center" vertical="center" readingOrder="2"/>
      <protection hidden="1"/>
    </xf>
    <xf numFmtId="3" fontId="78" fillId="0" borderId="0" xfId="4" applyNumberFormat="1" applyFont="1" applyFill="1" applyBorder="1" applyAlignment="1" applyProtection="1">
      <alignment horizontal="center" vertical="center" readingOrder="2"/>
      <protection hidden="1"/>
    </xf>
    <xf numFmtId="3" fontId="78" fillId="3" borderId="0" xfId="4" applyNumberFormat="1" applyFont="1" applyFill="1" applyBorder="1" applyAlignment="1" applyProtection="1">
      <alignment horizontal="center" vertical="center" readingOrder="2"/>
      <protection hidden="1"/>
    </xf>
    <xf numFmtId="0" fontId="25" fillId="0" borderId="0" xfId="0" applyFont="1" applyAlignment="1" applyProtection="1">
      <alignment horizontal="right" vertical="center" readingOrder="2"/>
      <protection hidden="1"/>
    </xf>
    <xf numFmtId="1" fontId="15" fillId="5" borderId="1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2" xfId="0" applyNumberFormat="1" applyFont="1" applyFill="1" applyBorder="1" applyAlignment="1" applyProtection="1">
      <alignment horizontal="right" vertical="center" readingOrder="2"/>
      <protection hidden="1"/>
    </xf>
    <xf numFmtId="3" fontId="25" fillId="0" borderId="0" xfId="0" applyNumberFormat="1" applyFont="1" applyAlignment="1" applyProtection="1">
      <alignment horizontal="right" vertical="center" readingOrder="2"/>
      <protection hidden="1"/>
    </xf>
    <xf numFmtId="3" fontId="15" fillId="0" borderId="0" xfId="0" applyNumberFormat="1" applyFont="1" applyAlignment="1" applyProtection="1">
      <alignment horizontal="right" vertical="center" readingOrder="2"/>
      <protection hidden="1"/>
    </xf>
    <xf numFmtId="1" fontId="15" fillId="5" borderId="60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22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0" xfId="0" applyNumberFormat="1" applyFont="1" applyFill="1" applyAlignment="1" applyProtection="1">
      <alignment horizontal="right" vertical="center" readingOrder="2"/>
      <protection hidden="1"/>
    </xf>
    <xf numFmtId="1" fontId="15" fillId="5" borderId="57" xfId="0" applyNumberFormat="1" applyFont="1" applyFill="1" applyBorder="1" applyAlignment="1" applyProtection="1">
      <alignment horizontal="right" vertical="center" readingOrder="2"/>
      <protection hidden="1"/>
    </xf>
    <xf numFmtId="1" fontId="13" fillId="5" borderId="58" xfId="0" applyNumberFormat="1" applyFont="1" applyFill="1" applyBorder="1" applyAlignment="1" applyProtection="1">
      <alignment horizontal="center" vertical="center" readingOrder="2"/>
      <protection hidden="1"/>
    </xf>
    <xf numFmtId="1" fontId="15" fillId="5" borderId="0" xfId="0" quotePrefix="1" applyNumberFormat="1" applyFont="1" applyFill="1" applyAlignment="1" applyProtection="1">
      <alignment horizontal="right" vertical="center" readingOrder="2"/>
      <protection hidden="1"/>
    </xf>
    <xf numFmtId="1" fontId="15" fillId="5" borderId="23" xfId="0" quotePrefix="1" applyNumberFormat="1" applyFont="1" applyFill="1" applyBorder="1" applyAlignment="1" applyProtection="1">
      <alignment horizontal="right" vertical="center" readingOrder="2"/>
      <protection hidden="1"/>
    </xf>
    <xf numFmtId="1" fontId="15" fillId="5" borderId="61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15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62" xfId="0" quotePrefix="1" applyNumberFormat="1" applyFont="1" applyFill="1" applyBorder="1" applyAlignment="1" applyProtection="1">
      <alignment horizontal="right" vertical="center" readingOrder="2"/>
      <protection hidden="1"/>
    </xf>
    <xf numFmtId="3" fontId="13" fillId="5" borderId="58" xfId="0" applyNumberFormat="1" applyFont="1" applyFill="1" applyBorder="1" applyAlignment="1" applyProtection="1">
      <alignment horizontal="center" vertical="center" readingOrder="2"/>
      <protection hidden="1"/>
    </xf>
    <xf numFmtId="1" fontId="15" fillId="5" borderId="63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10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10" xfId="0" quotePrefix="1" applyNumberFormat="1" applyFont="1" applyFill="1" applyBorder="1" applyAlignment="1" applyProtection="1">
      <alignment horizontal="right" vertical="center" readingOrder="2"/>
      <protection hidden="1"/>
    </xf>
    <xf numFmtId="1" fontId="15" fillId="5" borderId="64" xfId="0" quotePrefix="1" applyNumberFormat="1" applyFont="1" applyFill="1" applyBorder="1" applyAlignment="1" applyProtection="1">
      <alignment horizontal="right" vertical="center" readingOrder="2"/>
      <protection hidden="1"/>
    </xf>
    <xf numFmtId="0" fontId="15" fillId="0" borderId="60" xfId="0" applyFont="1" applyBorder="1" applyAlignment="1" applyProtection="1">
      <alignment horizontal="right" vertical="center" readingOrder="2"/>
      <protection hidden="1"/>
    </xf>
    <xf numFmtId="0" fontId="25" fillId="0" borderId="61" xfId="0" applyFont="1" applyBorder="1" applyAlignment="1" applyProtection="1">
      <alignment horizontal="right" vertical="center" readingOrder="2"/>
      <protection hidden="1"/>
    </xf>
    <xf numFmtId="1" fontId="13" fillId="5" borderId="0" xfId="0" applyNumberFormat="1" applyFont="1" applyFill="1" applyAlignment="1" applyProtection="1">
      <alignment horizontal="right" vertical="center" readingOrder="2"/>
      <protection hidden="1"/>
    </xf>
    <xf numFmtId="1" fontId="13" fillId="5" borderId="0" xfId="0" quotePrefix="1" applyNumberFormat="1" applyFont="1" applyFill="1" applyAlignment="1" applyProtection="1">
      <alignment horizontal="right" vertical="center" readingOrder="2"/>
      <protection hidden="1"/>
    </xf>
    <xf numFmtId="3" fontId="13" fillId="5" borderId="0" xfId="0" applyNumberFormat="1" applyFont="1" applyFill="1" applyAlignment="1" applyProtection="1">
      <alignment horizontal="right" vertical="center" readingOrder="2"/>
      <protection hidden="1"/>
    </xf>
    <xf numFmtId="0" fontId="15" fillId="0" borderId="0" xfId="0" applyFont="1" applyAlignment="1" applyProtection="1">
      <alignment horizontal="right" vertical="center" readingOrder="2"/>
      <protection hidden="1"/>
    </xf>
    <xf numFmtId="1" fontId="13" fillId="0" borderId="0" xfId="0" applyNumberFormat="1" applyFont="1" applyAlignment="1" applyProtection="1">
      <alignment horizontal="right" vertical="center" readingOrder="2"/>
      <protection hidden="1"/>
    </xf>
    <xf numFmtId="3" fontId="79" fillId="5" borderId="15" xfId="0" applyNumberFormat="1" applyFont="1" applyFill="1" applyBorder="1" applyAlignment="1" applyProtection="1">
      <alignment horizontal="right" vertical="center" readingOrder="2"/>
      <protection hidden="1"/>
    </xf>
    <xf numFmtId="3" fontId="79" fillId="5" borderId="62" xfId="0" quotePrefix="1" applyNumberFormat="1" applyFont="1" applyFill="1" applyBorder="1" applyAlignment="1" applyProtection="1">
      <alignment horizontal="right" vertical="center" readingOrder="2"/>
      <protection hidden="1"/>
    </xf>
    <xf numFmtId="3" fontId="79" fillId="5" borderId="15" xfId="0" quotePrefix="1" applyNumberFormat="1" applyFont="1" applyFill="1" applyBorder="1" applyAlignment="1" applyProtection="1">
      <alignment horizontal="right" vertical="center" readingOrder="2"/>
      <protection hidden="1"/>
    </xf>
    <xf numFmtId="3" fontId="79" fillId="5" borderId="60" xfId="0" applyNumberFormat="1" applyFont="1" applyFill="1" applyBorder="1" applyAlignment="1" applyProtection="1">
      <alignment horizontal="center" vertical="center" readingOrder="2"/>
      <protection hidden="1"/>
    </xf>
    <xf numFmtId="10" fontId="79" fillId="5" borderId="60" xfId="4" applyNumberFormat="1" applyFont="1" applyFill="1" applyBorder="1" applyAlignment="1" applyProtection="1">
      <alignment horizontal="center" vertical="center" readingOrder="2"/>
      <protection hidden="1"/>
    </xf>
    <xf numFmtId="9" fontId="79" fillId="5" borderId="60" xfId="4" applyFont="1" applyFill="1" applyBorder="1" applyAlignment="1" applyProtection="1">
      <alignment horizontal="center" vertical="center" readingOrder="2"/>
      <protection hidden="1"/>
    </xf>
    <xf numFmtId="0" fontId="28" fillId="3" borderId="31" xfId="0" applyFont="1" applyFill="1" applyBorder="1" applyAlignment="1" applyProtection="1">
      <alignment horizontal="right" vertical="center" readingOrder="2"/>
      <protection locked="0"/>
    </xf>
    <xf numFmtId="0" fontId="13" fillId="3" borderId="2" xfId="0" applyFont="1" applyFill="1" applyBorder="1" applyAlignment="1" applyProtection="1">
      <alignment horizontal="center" vertical="center" wrapText="1" readingOrder="2"/>
      <protection locked="0"/>
    </xf>
    <xf numFmtId="0" fontId="95" fillId="0" borderId="0" xfId="0" applyFont="1" applyProtection="1">
      <protection hidden="1"/>
    </xf>
    <xf numFmtId="1" fontId="87" fillId="5" borderId="3" xfId="0" applyNumberFormat="1" applyFont="1" applyFill="1" applyBorder="1" applyAlignment="1" applyProtection="1">
      <alignment horizontal="right" vertical="center" readingOrder="2"/>
      <protection hidden="1"/>
    </xf>
    <xf numFmtId="1" fontId="87" fillId="5" borderId="4" xfId="0" applyNumberFormat="1" applyFont="1" applyFill="1" applyBorder="1" applyAlignment="1" applyProtection="1">
      <alignment horizontal="right" vertical="center" readingOrder="2"/>
      <protection hidden="1"/>
    </xf>
    <xf numFmtId="1" fontId="87" fillId="5" borderId="4" xfId="0" applyNumberFormat="1" applyFont="1" applyFill="1" applyBorder="1" applyAlignment="1" applyProtection="1">
      <alignment horizontal="right" vertical="center" readingOrder="2"/>
      <protection locked="0" hidden="1"/>
    </xf>
    <xf numFmtId="1" fontId="87" fillId="5" borderId="13" xfId="0" applyNumberFormat="1" applyFont="1" applyFill="1" applyBorder="1" applyAlignment="1" applyProtection="1">
      <alignment horizontal="center" vertical="center" readingOrder="2"/>
      <protection hidden="1"/>
    </xf>
    <xf numFmtId="0" fontId="13" fillId="0" borderId="2" xfId="0" applyFont="1" applyBorder="1" applyAlignment="1" applyProtection="1">
      <alignment horizontal="center" vertical="center" wrapText="1" readingOrder="2"/>
      <protection hidden="1"/>
    </xf>
    <xf numFmtId="4" fontId="78" fillId="3" borderId="2" xfId="0" applyNumberFormat="1" applyFont="1" applyFill="1" applyBorder="1" applyAlignment="1" applyProtection="1">
      <alignment horizontal="center" vertical="center" readingOrder="2"/>
      <protection locked="0"/>
    </xf>
    <xf numFmtId="9" fontId="78" fillId="0" borderId="0" xfId="4" applyFont="1" applyFill="1" applyBorder="1" applyAlignment="1" applyProtection="1">
      <alignment horizontal="center" vertical="center" readingOrder="2"/>
      <protection hidden="1"/>
    </xf>
    <xf numFmtId="0" fontId="13" fillId="3" borderId="2" xfId="0" applyFont="1" applyFill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 vertical="center" wrapText="1" readingOrder="2"/>
      <protection hidden="1"/>
    </xf>
    <xf numFmtId="0" fontId="28" fillId="3" borderId="2" xfId="0" applyFont="1" applyFill="1" applyBorder="1" applyAlignment="1" applyProtection="1">
      <alignment horizontal="center" vertical="center" wrapText="1" readingOrder="2"/>
      <protection locked="0"/>
    </xf>
    <xf numFmtId="3" fontId="15" fillId="5" borderId="15" xfId="0" applyNumberFormat="1" applyFont="1" applyFill="1" applyBorder="1" applyAlignment="1" applyProtection="1">
      <alignment horizontal="right" vertical="center" readingOrder="2"/>
      <protection hidden="1"/>
    </xf>
    <xf numFmtId="3" fontId="15" fillId="5" borderId="60" xfId="0" applyNumberFormat="1" applyFont="1" applyFill="1" applyBorder="1" applyAlignment="1" applyProtection="1">
      <alignment vertical="center" readingOrder="2"/>
      <protection hidden="1"/>
    </xf>
    <xf numFmtId="3" fontId="15" fillId="5" borderId="65" xfId="0" applyNumberFormat="1" applyFont="1" applyFill="1" applyBorder="1" applyAlignment="1" applyProtection="1">
      <alignment horizontal="center" vertical="center" readingOrder="2"/>
      <protection hidden="1"/>
    </xf>
    <xf numFmtId="3" fontId="15" fillId="5" borderId="12" xfId="0" applyNumberFormat="1" applyFont="1" applyFill="1" applyBorder="1" applyAlignment="1" applyProtection="1">
      <alignment vertical="center" readingOrder="2"/>
      <protection hidden="1"/>
    </xf>
    <xf numFmtId="174" fontId="14" fillId="0" borderId="0" xfId="0" applyNumberFormat="1" applyFont="1" applyProtection="1">
      <protection hidden="1"/>
    </xf>
    <xf numFmtId="181" fontId="14" fillId="0" borderId="0" xfId="0" applyNumberFormat="1" applyFont="1" applyProtection="1">
      <protection hidden="1"/>
    </xf>
    <xf numFmtId="10" fontId="78" fillId="3" borderId="2" xfId="4" applyNumberFormat="1" applyFont="1" applyFill="1" applyBorder="1" applyAlignment="1" applyProtection="1">
      <alignment horizontal="center" vertical="center" readingOrder="2"/>
      <protection locked="0"/>
    </xf>
    <xf numFmtId="10" fontId="92" fillId="0" borderId="4" xfId="0" applyNumberFormat="1" applyFont="1" applyBorder="1" applyAlignment="1" applyProtection="1">
      <alignment horizontal="center" vertical="center" readingOrder="2"/>
      <protection hidden="1"/>
    </xf>
    <xf numFmtId="165" fontId="78" fillId="3" borderId="2" xfId="0" applyNumberFormat="1" applyFont="1" applyFill="1" applyBorder="1" applyAlignment="1" applyProtection="1">
      <alignment horizontal="center" vertical="center" readingOrder="2"/>
      <protection locked="0"/>
    </xf>
    <xf numFmtId="4" fontId="78" fillId="0" borderId="2" xfId="0" applyNumberFormat="1" applyFont="1" applyBorder="1" applyAlignment="1" applyProtection="1">
      <alignment horizontal="center" vertical="center" readingOrder="2"/>
      <protection hidden="1"/>
    </xf>
    <xf numFmtId="10" fontId="78" fillId="3" borderId="0" xfId="4" applyNumberFormat="1" applyFont="1" applyFill="1" applyBorder="1" applyAlignment="1" applyProtection="1">
      <alignment horizontal="center" vertical="center" readingOrder="2"/>
      <protection locked="0"/>
    </xf>
    <xf numFmtId="3" fontId="78" fillId="3" borderId="0" xfId="4" applyNumberFormat="1" applyFont="1" applyFill="1" applyBorder="1" applyAlignment="1" applyProtection="1">
      <alignment horizontal="center" vertical="center" readingOrder="2"/>
      <protection locked="0"/>
    </xf>
    <xf numFmtId="9" fontId="13" fillId="3" borderId="2" xfId="4" applyFont="1" applyFill="1" applyBorder="1" applyAlignment="1" applyProtection="1">
      <alignment horizontal="center" vertical="center" wrapText="1" readingOrder="2"/>
      <protection locked="0"/>
    </xf>
    <xf numFmtId="3" fontId="25" fillId="0" borderId="0" xfId="0" applyNumberFormat="1" applyFont="1" applyAlignment="1">
      <alignment horizontal="center" vertical="center" readingOrder="2"/>
    </xf>
    <xf numFmtId="3" fontId="25" fillId="0" borderId="0" xfId="4" applyNumberFormat="1" applyFont="1" applyAlignment="1">
      <alignment horizontal="center" vertical="center" readingOrder="2"/>
    </xf>
    <xf numFmtId="0" fontId="27" fillId="0" borderId="0" xfId="0" applyFont="1" applyAlignment="1">
      <alignment readingOrder="2"/>
    </xf>
    <xf numFmtId="9" fontId="78" fillId="3" borderId="20" xfId="4" applyFont="1" applyFill="1" applyBorder="1" applyAlignment="1">
      <alignment horizontal="center" vertical="center"/>
    </xf>
    <xf numFmtId="3" fontId="25" fillId="0" borderId="0" xfId="0" applyNumberFormat="1" applyFont="1" applyAlignment="1" applyProtection="1">
      <alignment vertical="center"/>
      <protection hidden="1"/>
    </xf>
    <xf numFmtId="3" fontId="25" fillId="0" borderId="0" xfId="0" applyNumberFormat="1" applyFont="1" applyAlignment="1">
      <alignment vertical="center"/>
    </xf>
    <xf numFmtId="3" fontId="67" fillId="8" borderId="4" xfId="0" applyNumberFormat="1" applyFont="1" applyFill="1" applyBorder="1" applyAlignment="1" applyProtection="1">
      <alignment horizontal="center" vertical="center" readingOrder="2"/>
      <protection hidden="1"/>
    </xf>
    <xf numFmtId="3" fontId="25" fillId="0" borderId="0" xfId="0" applyNumberFormat="1" applyFont="1" applyProtection="1">
      <protection hidden="1"/>
    </xf>
    <xf numFmtId="3" fontId="78" fillId="13" borderId="2" xfId="0" applyNumberFormat="1" applyFont="1" applyFill="1" applyBorder="1" applyAlignment="1" applyProtection="1">
      <alignment horizontal="center" vertical="center" readingOrder="2"/>
      <protection hidden="1"/>
    </xf>
    <xf numFmtId="3" fontId="32" fillId="0" borderId="0" xfId="0" applyNumberFormat="1" applyFont="1" applyAlignment="1" applyProtection="1">
      <alignment horizontal="center" vertical="center"/>
      <protection hidden="1"/>
    </xf>
    <xf numFmtId="3" fontId="25" fillId="0" borderId="0" xfId="0" applyNumberFormat="1" applyFont="1"/>
    <xf numFmtId="180" fontId="25" fillId="0" borderId="0" xfId="0" applyNumberFormat="1" applyFont="1" applyProtection="1">
      <protection hidden="1"/>
    </xf>
    <xf numFmtId="169" fontId="25" fillId="0" borderId="0" xfId="0" applyNumberFormat="1" applyFont="1" applyProtection="1">
      <protection hidden="1"/>
    </xf>
    <xf numFmtId="1" fontId="25" fillId="0" borderId="0" xfId="0" applyNumberFormat="1" applyFont="1" applyProtection="1">
      <protection hidden="1"/>
    </xf>
    <xf numFmtId="0" fontId="26" fillId="6" borderId="1" xfId="0" applyFont="1" applyFill="1" applyBorder="1" applyAlignment="1">
      <alignment horizontal="center" vertical="center" readingOrder="2"/>
    </xf>
    <xf numFmtId="1" fontId="13" fillId="3" borderId="2" xfId="0" applyNumberFormat="1" applyFont="1" applyFill="1" applyBorder="1" applyAlignment="1" applyProtection="1">
      <alignment horizontal="center" vertical="center" wrapText="1" readingOrder="2"/>
      <protection locked="0"/>
    </xf>
    <xf numFmtId="1" fontId="25" fillId="3" borderId="1" xfId="0" applyNumberFormat="1" applyFont="1" applyFill="1" applyBorder="1" applyAlignment="1" applyProtection="1">
      <alignment horizontal="center" vertical="center" wrapText="1" readingOrder="2"/>
      <protection locked="0"/>
    </xf>
    <xf numFmtId="171" fontId="78" fillId="3" borderId="2" xfId="4" applyNumberFormat="1" applyFont="1" applyFill="1" applyBorder="1" applyAlignment="1" applyProtection="1">
      <alignment horizontal="center" vertical="center" readingOrder="2"/>
      <protection locked="0"/>
    </xf>
    <xf numFmtId="1" fontId="100" fillId="3" borderId="1" xfId="0" applyNumberFormat="1" applyFont="1" applyFill="1" applyBorder="1" applyAlignment="1" applyProtection="1">
      <alignment horizontal="center" vertical="center" readingOrder="2"/>
      <protection locked="0"/>
    </xf>
    <xf numFmtId="3" fontId="82" fillId="0" borderId="32" xfId="0" applyNumberFormat="1" applyFont="1" applyBorder="1" applyAlignment="1" applyProtection="1">
      <alignment horizontal="center" readingOrder="2"/>
      <protection hidden="1"/>
    </xf>
    <xf numFmtId="0" fontId="15" fillId="0" borderId="0" xfId="0" applyFont="1" applyAlignment="1">
      <alignment horizontal="center" vertical="center" readingOrder="2"/>
    </xf>
    <xf numFmtId="3" fontId="15" fillId="0" borderId="2" xfId="0" applyNumberFormat="1" applyFont="1" applyBorder="1" applyAlignment="1">
      <alignment horizontal="center"/>
    </xf>
    <xf numFmtId="3" fontId="26" fillId="0" borderId="29" xfId="0" applyNumberFormat="1" applyFont="1" applyBorder="1" applyAlignment="1">
      <alignment horizontal="center" vertical="center" wrapText="1" readingOrder="2"/>
    </xf>
    <xf numFmtId="3" fontId="26" fillId="0" borderId="0" xfId="0" applyNumberFormat="1" applyFont="1" applyAlignment="1">
      <alignment horizontal="center" vertical="center" wrapText="1" readingOrder="2"/>
    </xf>
    <xf numFmtId="3" fontId="26" fillId="0" borderId="60" xfId="0" applyNumberFormat="1" applyFont="1" applyBorder="1" applyAlignment="1">
      <alignment horizontal="center" vertical="center" readingOrder="2"/>
    </xf>
    <xf numFmtId="3" fontId="26" fillId="0" borderId="65" xfId="0" applyNumberFormat="1" applyFont="1" applyBorder="1" applyAlignment="1">
      <alignment horizontal="center" vertical="center" readingOrder="2"/>
    </xf>
    <xf numFmtId="3" fontId="26" fillId="0" borderId="12" xfId="0" applyNumberFormat="1" applyFont="1" applyBorder="1" applyAlignment="1">
      <alignment horizontal="center" vertical="center" readingOrder="2"/>
    </xf>
    <xf numFmtId="0" fontId="15" fillId="0" borderId="62" xfId="0" applyFont="1" applyBorder="1" applyAlignment="1">
      <alignment horizontal="center" vertical="center" readingOrder="2"/>
    </xf>
    <xf numFmtId="0" fontId="15" fillId="0" borderId="31" xfId="0" applyFont="1" applyBorder="1" applyAlignment="1">
      <alignment horizontal="center" vertical="center" readingOrder="2"/>
    </xf>
    <xf numFmtId="0" fontId="15" fillId="0" borderId="66" xfId="0" applyFont="1" applyBorder="1" applyAlignment="1">
      <alignment horizontal="center" vertical="center" readingOrder="2"/>
    </xf>
    <xf numFmtId="0" fontId="26" fillId="6" borderId="2" xfId="0" applyFont="1" applyFill="1" applyBorder="1" applyAlignment="1">
      <alignment horizontal="center" vertical="center" readingOrder="2"/>
    </xf>
    <xf numFmtId="0" fontId="26" fillId="6" borderId="2" xfId="0" applyFont="1" applyFill="1" applyBorder="1" applyAlignment="1" applyProtection="1">
      <alignment horizontal="center" vertical="center" wrapText="1" readingOrder="2"/>
      <protection locked="0"/>
    </xf>
    <xf numFmtId="0" fontId="26" fillId="6" borderId="20" xfId="0" applyFont="1" applyFill="1" applyBorder="1" applyAlignment="1">
      <alignment horizontal="center" vertical="center" readingOrder="2"/>
    </xf>
    <xf numFmtId="0" fontId="26" fillId="6" borderId="31" xfId="0" applyFont="1" applyFill="1" applyBorder="1" applyAlignment="1">
      <alignment horizontal="center" vertical="center" readingOrder="2"/>
    </xf>
    <xf numFmtId="0" fontId="26" fillId="6" borderId="20" xfId="0" applyFont="1" applyFill="1" applyBorder="1" applyAlignment="1">
      <alignment horizontal="center" vertical="center" textRotation="90" readingOrder="2"/>
    </xf>
    <xf numFmtId="0" fontId="26" fillId="6" borderId="31" xfId="0" applyFont="1" applyFill="1" applyBorder="1" applyAlignment="1">
      <alignment horizontal="center" vertical="center" textRotation="90" readingOrder="2"/>
    </xf>
    <xf numFmtId="0" fontId="26" fillId="0" borderId="0" xfId="0" applyFont="1" applyAlignment="1">
      <alignment horizontal="center" vertical="center" readingOrder="2"/>
    </xf>
    <xf numFmtId="3" fontId="26" fillId="0" borderId="3" xfId="0" applyNumberFormat="1" applyFont="1" applyBorder="1" applyAlignment="1">
      <alignment horizontal="center" vertical="center" readingOrder="2"/>
    </xf>
    <xf numFmtId="3" fontId="26" fillId="0" borderId="4" xfId="0" applyNumberFormat="1" applyFont="1" applyBorder="1" applyAlignment="1">
      <alignment horizontal="center" vertical="center" readingOrder="2"/>
    </xf>
    <xf numFmtId="0" fontId="26" fillId="6" borderId="6" xfId="0" applyFont="1" applyFill="1" applyBorder="1" applyAlignment="1">
      <alignment horizontal="center" vertical="center" readingOrder="2"/>
    </xf>
    <xf numFmtId="3" fontId="26" fillId="0" borderId="29" xfId="0" applyNumberFormat="1" applyFont="1" applyBorder="1" applyAlignment="1">
      <alignment horizontal="center" vertical="center" readingOrder="2"/>
    </xf>
    <xf numFmtId="0" fontId="26" fillId="6" borderId="7" xfId="0" applyFont="1" applyFill="1" applyBorder="1" applyAlignment="1">
      <alignment horizontal="center" vertical="center" readingOrder="2"/>
    </xf>
    <xf numFmtId="0" fontId="26" fillId="6" borderId="6" xfId="0" applyFont="1" applyFill="1" applyBorder="1" applyAlignment="1">
      <alignment horizontal="center" vertical="center" wrapText="1" readingOrder="2"/>
    </xf>
    <xf numFmtId="0" fontId="26" fillId="6" borderId="2" xfId="0" applyFont="1" applyFill="1" applyBorder="1" applyAlignment="1">
      <alignment horizontal="center" vertical="center" wrapText="1" readingOrder="2"/>
    </xf>
    <xf numFmtId="0" fontId="26" fillId="6" borderId="5" xfId="0" applyFont="1" applyFill="1" applyBorder="1" applyAlignment="1">
      <alignment horizontal="center" vertical="center" textRotation="90" readingOrder="2"/>
    </xf>
    <xf numFmtId="0" fontId="26" fillId="6" borderId="1" xfId="0" applyFont="1" applyFill="1" applyBorder="1" applyAlignment="1">
      <alignment horizontal="center" vertical="center" textRotation="90" readingOrder="2"/>
    </xf>
    <xf numFmtId="3" fontId="15" fillId="0" borderId="29" xfId="0" applyNumberFormat="1" applyFont="1" applyBorder="1" applyAlignment="1">
      <alignment horizontal="center" vertical="center" readingOrder="2"/>
    </xf>
    <xf numFmtId="3" fontId="30" fillId="0" borderId="3" xfId="0" applyNumberFormat="1" applyFont="1" applyBorder="1" applyAlignment="1">
      <alignment horizontal="center" vertical="center" readingOrder="2"/>
    </xf>
    <xf numFmtId="3" fontId="30" fillId="0" borderId="4" xfId="0" applyNumberFormat="1" applyFont="1" applyBorder="1" applyAlignment="1">
      <alignment horizontal="center" vertical="center" readingOrder="2"/>
    </xf>
    <xf numFmtId="2" fontId="26" fillId="6" borderId="6" xfId="0" applyNumberFormat="1" applyFont="1" applyFill="1" applyBorder="1" applyAlignment="1">
      <alignment horizontal="center" vertical="center" readingOrder="2"/>
    </xf>
    <xf numFmtId="0" fontId="26" fillId="6" borderId="11" xfId="0" applyFont="1" applyFill="1" applyBorder="1" applyAlignment="1">
      <alignment horizontal="center" vertical="center" readingOrder="2"/>
    </xf>
    <xf numFmtId="3" fontId="13" fillId="3" borderId="60" xfId="0" applyNumberFormat="1" applyFont="1" applyFill="1" applyBorder="1" applyAlignment="1" applyProtection="1">
      <alignment horizontal="center" vertical="center" readingOrder="2"/>
      <protection locked="0"/>
    </xf>
    <xf numFmtId="3" fontId="13" fillId="3" borderId="65" xfId="0" applyNumberFormat="1" applyFont="1" applyFill="1" applyBorder="1" applyAlignment="1" applyProtection="1">
      <alignment horizontal="center" vertical="center" readingOrder="2"/>
      <protection locked="0"/>
    </xf>
    <xf numFmtId="3" fontId="13" fillId="3" borderId="12" xfId="0" applyNumberFormat="1" applyFont="1" applyFill="1" applyBorder="1" applyAlignment="1" applyProtection="1">
      <alignment horizontal="center" vertical="center" readingOrder="2"/>
      <protection locked="0"/>
    </xf>
    <xf numFmtId="3" fontId="13" fillId="0" borderId="29" xfId="0" applyNumberFormat="1" applyFont="1" applyBorder="1" applyAlignment="1">
      <alignment horizontal="right" wrapText="1" readingOrder="2"/>
    </xf>
    <xf numFmtId="3" fontId="13" fillId="0" borderId="0" xfId="0" applyNumberFormat="1" applyFont="1" applyAlignment="1">
      <alignment horizontal="right" wrapText="1" readingOrder="2"/>
    </xf>
    <xf numFmtId="0" fontId="13" fillId="3" borderId="60" xfId="0" applyFont="1" applyFill="1" applyBorder="1" applyAlignment="1" applyProtection="1">
      <alignment horizontal="center" vertical="center" readingOrder="2"/>
      <protection locked="0"/>
    </xf>
    <xf numFmtId="0" fontId="13" fillId="3" borderId="65" xfId="0" applyFont="1" applyFill="1" applyBorder="1" applyAlignment="1" applyProtection="1">
      <alignment horizontal="center" vertical="center" readingOrder="2"/>
      <protection locked="0"/>
    </xf>
    <xf numFmtId="0" fontId="13" fillId="3" borderId="58" xfId="0" applyFont="1" applyFill="1" applyBorder="1" applyAlignment="1" applyProtection="1">
      <alignment horizontal="center" vertical="center" readingOrder="2"/>
      <protection locked="0"/>
    </xf>
    <xf numFmtId="3" fontId="36" fillId="0" borderId="3" xfId="0" applyNumberFormat="1" applyFont="1" applyBorder="1" applyAlignment="1">
      <alignment horizontal="center" vertical="center" readingOrder="2"/>
    </xf>
    <xf numFmtId="3" fontId="36" fillId="0" borderId="4" xfId="0" applyNumberFormat="1" applyFont="1" applyBorder="1" applyAlignment="1">
      <alignment horizontal="center" vertical="center" readingOrder="2"/>
    </xf>
    <xf numFmtId="0" fontId="15" fillId="6" borderId="6" xfId="0" applyFont="1" applyFill="1" applyBorder="1" applyAlignment="1">
      <alignment horizontal="center" vertical="center" wrapText="1" readingOrder="2"/>
    </xf>
    <xf numFmtId="0" fontId="15" fillId="6" borderId="5" xfId="0" applyFont="1" applyFill="1" applyBorder="1" applyAlignment="1">
      <alignment horizontal="center" vertical="center" textRotation="90" readingOrder="2"/>
    </xf>
    <xf numFmtId="0" fontId="15" fillId="6" borderId="1" xfId="0" applyFont="1" applyFill="1" applyBorder="1" applyAlignment="1">
      <alignment horizontal="center" vertical="center" textRotation="90" readingOrder="2"/>
    </xf>
    <xf numFmtId="0" fontId="15" fillId="6" borderId="6" xfId="0" applyFont="1" applyFill="1" applyBorder="1" applyAlignment="1">
      <alignment horizontal="center" vertical="center" readingOrder="2"/>
    </xf>
    <xf numFmtId="0" fontId="15" fillId="6" borderId="2" xfId="0" applyFont="1" applyFill="1" applyBorder="1" applyAlignment="1">
      <alignment horizontal="center" vertical="center" readingOrder="2"/>
    </xf>
    <xf numFmtId="0" fontId="15" fillId="6" borderId="7" xfId="0" applyFont="1" applyFill="1" applyBorder="1" applyAlignment="1">
      <alignment horizontal="center" vertical="center" readingOrder="2"/>
    </xf>
    <xf numFmtId="0" fontId="15" fillId="6" borderId="11" xfId="0" applyFont="1" applyFill="1" applyBorder="1" applyAlignment="1">
      <alignment horizontal="center" vertical="center" readingOrder="2"/>
    </xf>
    <xf numFmtId="0" fontId="15" fillId="0" borderId="29" xfId="0" applyFont="1" applyBorder="1" applyAlignment="1">
      <alignment horizontal="center" wrapText="1" readingOrder="2"/>
    </xf>
    <xf numFmtId="0" fontId="15" fillId="0" borderId="29" xfId="0" applyFont="1" applyBorder="1" applyAlignment="1">
      <alignment horizontal="center" readingOrder="2"/>
    </xf>
    <xf numFmtId="0" fontId="15" fillId="0" borderId="0" xfId="0" applyFont="1" applyAlignment="1">
      <alignment horizontal="center" readingOrder="2"/>
    </xf>
    <xf numFmtId="0" fontId="25" fillId="0" borderId="29" xfId="0" applyFont="1" applyBorder="1" applyAlignment="1">
      <alignment horizontal="center" wrapText="1"/>
    </xf>
    <xf numFmtId="0" fontId="25" fillId="0" borderId="29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98" fillId="0" borderId="29" xfId="0" applyFont="1" applyBorder="1" applyAlignment="1">
      <alignment horizontal="center" wrapText="1"/>
    </xf>
    <xf numFmtId="0" fontId="98" fillId="0" borderId="29" xfId="0" applyFont="1" applyBorder="1" applyAlignment="1">
      <alignment horizontal="center"/>
    </xf>
    <xf numFmtId="0" fontId="98" fillId="0" borderId="0" xfId="0" applyFont="1" applyAlignment="1">
      <alignment horizontal="center"/>
    </xf>
    <xf numFmtId="3" fontId="30" fillId="5" borderId="3" xfId="0" applyNumberFormat="1" applyFont="1" applyFill="1" applyBorder="1" applyAlignment="1">
      <alignment horizontal="center" vertical="center" readingOrder="2"/>
    </xf>
    <xf numFmtId="3" fontId="30" fillId="5" borderId="4" xfId="0" applyNumberFormat="1" applyFont="1" applyFill="1" applyBorder="1" applyAlignment="1">
      <alignment horizontal="center" vertical="center" readingOrder="2"/>
    </xf>
    <xf numFmtId="0" fontId="15" fillId="5" borderId="0" xfId="0" applyFont="1" applyFill="1" applyAlignment="1">
      <alignment horizontal="center" vertical="center" readingOrder="2"/>
    </xf>
    <xf numFmtId="0" fontId="26" fillId="6" borderId="5" xfId="0" applyFont="1" applyFill="1" applyBorder="1" applyAlignment="1">
      <alignment horizontal="center" vertical="center" readingOrder="2"/>
    </xf>
    <xf numFmtId="0" fontId="26" fillId="6" borderId="1" xfId="0" applyFont="1" applyFill="1" applyBorder="1" applyAlignment="1">
      <alignment horizontal="center" vertical="center" readingOrder="2"/>
    </xf>
    <xf numFmtId="3" fontId="21" fillId="0" borderId="3" xfId="0" applyNumberFormat="1" applyFont="1" applyBorder="1" applyAlignment="1" applyProtection="1">
      <alignment horizontal="center" vertical="center" readingOrder="2"/>
      <protection hidden="1"/>
    </xf>
    <xf numFmtId="3" fontId="21" fillId="0" borderId="4" xfId="0" applyNumberFormat="1" applyFont="1" applyBorder="1" applyAlignment="1" applyProtection="1">
      <alignment horizontal="center" vertical="center" readingOrder="2"/>
      <protection hidden="1"/>
    </xf>
    <xf numFmtId="0" fontId="15" fillId="5" borderId="23" xfId="0" applyFont="1" applyFill="1" applyBorder="1" applyAlignment="1" applyProtection="1">
      <alignment horizontal="center" vertical="center" readingOrder="2"/>
      <protection hidden="1"/>
    </xf>
    <xf numFmtId="0" fontId="15" fillId="5" borderId="67" xfId="0" applyFont="1" applyFill="1" applyBorder="1" applyAlignment="1" applyProtection="1">
      <alignment horizontal="center" vertical="center" readingOrder="2"/>
      <protection hidden="1"/>
    </xf>
    <xf numFmtId="0" fontId="15" fillId="5" borderId="14" xfId="0" applyFont="1" applyFill="1" applyBorder="1" applyAlignment="1" applyProtection="1">
      <alignment horizontal="center" vertical="center" readingOrder="2"/>
      <protection hidden="1"/>
    </xf>
    <xf numFmtId="0" fontId="15" fillId="6" borderId="5" xfId="0" applyFont="1" applyFill="1" applyBorder="1" applyAlignment="1" applyProtection="1">
      <alignment horizontal="center" vertical="center" readingOrder="2"/>
      <protection hidden="1"/>
    </xf>
    <xf numFmtId="0" fontId="15" fillId="6" borderId="1" xfId="0" applyFont="1" applyFill="1" applyBorder="1" applyAlignment="1" applyProtection="1">
      <alignment horizontal="center" vertical="center" readingOrder="2"/>
      <protection hidden="1"/>
    </xf>
    <xf numFmtId="0" fontId="15" fillId="0" borderId="23" xfId="0" applyFont="1" applyBorder="1" applyAlignment="1" applyProtection="1">
      <alignment horizontal="center" vertical="center" readingOrder="2"/>
      <protection hidden="1"/>
    </xf>
    <xf numFmtId="0" fontId="15" fillId="0" borderId="67" xfId="0" applyFont="1" applyBorder="1" applyAlignment="1" applyProtection="1">
      <alignment horizontal="center" vertical="center" readingOrder="2"/>
      <protection hidden="1"/>
    </xf>
    <xf numFmtId="0" fontId="15" fillId="0" borderId="14" xfId="0" applyFont="1" applyBorder="1" applyAlignment="1" applyProtection="1">
      <alignment horizontal="center" vertical="center" readingOrder="2"/>
      <protection hidden="1"/>
    </xf>
    <xf numFmtId="0" fontId="15" fillId="6" borderId="6" xfId="0" applyFont="1" applyFill="1" applyBorder="1" applyAlignment="1" applyProtection="1">
      <alignment horizontal="center" vertical="center" readingOrder="2"/>
      <protection hidden="1"/>
    </xf>
    <xf numFmtId="0" fontId="26" fillId="6" borderId="7" xfId="0" applyFont="1" applyFill="1" applyBorder="1" applyAlignment="1" applyProtection="1">
      <alignment horizontal="center" vertical="center" wrapText="1" readingOrder="2"/>
      <protection hidden="1"/>
    </xf>
    <xf numFmtId="0" fontId="26" fillId="6" borderId="11" xfId="0" applyFont="1" applyFill="1" applyBorder="1" applyAlignment="1" applyProtection="1">
      <alignment horizontal="center" vertical="center" wrapText="1" readingOrder="2"/>
      <protection hidden="1"/>
    </xf>
    <xf numFmtId="0" fontId="15" fillId="6" borderId="68" xfId="0" applyFont="1" applyFill="1" applyBorder="1" applyAlignment="1" applyProtection="1">
      <alignment horizontal="center" vertical="center" readingOrder="2"/>
      <protection hidden="1"/>
    </xf>
    <xf numFmtId="0" fontId="15" fillId="6" borderId="69" xfId="0" applyFont="1" applyFill="1" applyBorder="1" applyAlignment="1" applyProtection="1">
      <alignment horizontal="center" vertical="center" readingOrder="2"/>
      <protection hidden="1"/>
    </xf>
    <xf numFmtId="0" fontId="15" fillId="6" borderId="66" xfId="0" applyFont="1" applyFill="1" applyBorder="1" applyAlignment="1" applyProtection="1">
      <alignment horizontal="center" vertical="center" readingOrder="2"/>
      <protection hidden="1"/>
    </xf>
    <xf numFmtId="0" fontId="15" fillId="6" borderId="62" xfId="0" applyFont="1" applyFill="1" applyBorder="1" applyAlignment="1" applyProtection="1">
      <alignment horizontal="center" vertical="center" readingOrder="2"/>
      <protection hidden="1"/>
    </xf>
    <xf numFmtId="0" fontId="15" fillId="0" borderId="70" xfId="0" applyFont="1" applyBorder="1" applyAlignment="1" applyProtection="1">
      <alignment horizontal="center" vertical="center"/>
      <protection hidden="1"/>
    </xf>
    <xf numFmtId="0" fontId="15" fillId="0" borderId="71" xfId="0" applyFont="1" applyBorder="1" applyAlignment="1" applyProtection="1">
      <alignment horizontal="center" vertical="center"/>
      <protection hidden="1"/>
    </xf>
    <xf numFmtId="0" fontId="15" fillId="0" borderId="33" xfId="0" applyFont="1" applyBorder="1" applyAlignment="1" applyProtection="1">
      <alignment horizontal="center" vertical="center"/>
      <protection hidden="1"/>
    </xf>
    <xf numFmtId="0" fontId="13" fillId="0" borderId="60" xfId="0" applyFont="1" applyBorder="1" applyAlignment="1" applyProtection="1">
      <alignment horizontal="center" vertical="center" readingOrder="2"/>
      <protection hidden="1"/>
    </xf>
    <xf numFmtId="0" fontId="13" fillId="0" borderId="12" xfId="0" applyFont="1" applyBorder="1" applyAlignment="1" applyProtection="1">
      <alignment horizontal="center" vertical="center" readingOrder="2"/>
      <protection hidden="1"/>
    </xf>
    <xf numFmtId="0" fontId="15" fillId="0" borderId="57" xfId="0" applyFont="1" applyBorder="1" applyAlignment="1" applyProtection="1">
      <alignment horizontal="center" vertical="center" readingOrder="2"/>
      <protection hidden="1"/>
    </xf>
    <xf numFmtId="0" fontId="15" fillId="0" borderId="65" xfId="0" applyFont="1" applyBorder="1" applyAlignment="1" applyProtection="1">
      <alignment horizontal="center" vertical="center" readingOrder="2"/>
      <protection hidden="1"/>
    </xf>
    <xf numFmtId="0" fontId="15" fillId="0" borderId="12" xfId="0" applyFont="1" applyBorder="1" applyAlignment="1" applyProtection="1">
      <alignment horizontal="center" vertical="center" readingOrder="2"/>
      <protection hidden="1"/>
    </xf>
    <xf numFmtId="0" fontId="13" fillId="0" borderId="65" xfId="0" applyFont="1" applyBorder="1" applyAlignment="1" applyProtection="1">
      <alignment horizontal="center" vertical="center" readingOrder="2"/>
      <protection hidden="1"/>
    </xf>
    <xf numFmtId="0" fontId="15" fillId="0" borderId="57" xfId="0" applyFont="1" applyBorder="1" applyAlignment="1" applyProtection="1">
      <alignment horizontal="center" vertical="center"/>
      <protection hidden="1"/>
    </xf>
    <xf numFmtId="0" fontId="15" fillId="0" borderId="65" xfId="0" applyFont="1" applyBorder="1" applyAlignment="1" applyProtection="1">
      <alignment horizontal="center" vertical="center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13" fillId="0" borderId="57" xfId="0" applyFont="1" applyBorder="1" applyAlignment="1" applyProtection="1">
      <alignment horizontal="center" vertical="center"/>
      <protection hidden="1"/>
    </xf>
    <xf numFmtId="0" fontId="13" fillId="0" borderId="65" xfId="0" applyFont="1" applyBorder="1" applyAlignment="1" applyProtection="1">
      <alignment horizontal="center" vertical="center"/>
      <protection hidden="1"/>
    </xf>
    <xf numFmtId="0" fontId="13" fillId="0" borderId="12" xfId="0" applyFont="1" applyBorder="1" applyAlignment="1" applyProtection="1">
      <alignment horizontal="center" vertical="center"/>
      <protection hidden="1"/>
    </xf>
    <xf numFmtId="3" fontId="26" fillId="0" borderId="3" xfId="0" applyNumberFormat="1" applyFont="1" applyBorder="1" applyAlignment="1">
      <alignment horizontal="center" vertical="center"/>
    </xf>
    <xf numFmtId="3" fontId="26" fillId="0" borderId="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justify" wrapText="1"/>
    </xf>
    <xf numFmtId="0" fontId="13" fillId="0" borderId="0" xfId="0" applyFont="1" applyAlignment="1">
      <alignment horizontal="center" vertical="justify"/>
    </xf>
    <xf numFmtId="0" fontId="15" fillId="0" borderId="0" xfId="0" applyFont="1" applyAlignment="1" applyProtection="1">
      <alignment horizontal="center" vertical="center"/>
      <protection hidden="1"/>
    </xf>
    <xf numFmtId="0" fontId="27" fillId="6" borderId="6" xfId="0" applyFont="1" applyFill="1" applyBorder="1" applyAlignment="1" applyProtection="1">
      <alignment horizontal="center" vertical="center" wrapText="1"/>
      <protection hidden="1"/>
    </xf>
    <xf numFmtId="0" fontId="27" fillId="6" borderId="7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/>
      <protection hidden="1"/>
    </xf>
    <xf numFmtId="0" fontId="15" fillId="0" borderId="2" xfId="0" applyFont="1" applyBorder="1" applyAlignment="1" applyProtection="1">
      <alignment horizontal="center" vertical="center"/>
      <protection hidden="1"/>
    </xf>
    <xf numFmtId="0" fontId="27" fillId="6" borderId="2" xfId="0" applyFont="1" applyFill="1" applyBorder="1" applyAlignment="1" applyProtection="1">
      <alignment horizontal="center" vertical="center" wrapText="1"/>
      <protection hidden="1"/>
    </xf>
    <xf numFmtId="0" fontId="27" fillId="6" borderId="5" xfId="0" applyFont="1" applyFill="1" applyBorder="1" applyAlignment="1" applyProtection="1">
      <alignment horizontal="center" vertical="center" wrapText="1"/>
      <protection hidden="1"/>
    </xf>
    <xf numFmtId="0" fontId="27" fillId="6" borderId="1" xfId="0" applyFont="1" applyFill="1" applyBorder="1" applyAlignment="1" applyProtection="1">
      <alignment horizontal="center" vertical="center" wrapText="1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13" fillId="0" borderId="19" xfId="0" applyFont="1" applyBorder="1" applyAlignment="1" applyProtection="1">
      <alignment horizontal="center" vertical="center"/>
      <protection hidden="1"/>
    </xf>
    <xf numFmtId="0" fontId="13" fillId="0" borderId="20" xfId="0" applyFont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vertical="center" wrapText="1"/>
      <protection hidden="1"/>
    </xf>
    <xf numFmtId="0" fontId="15" fillId="0" borderId="54" xfId="0" applyFont="1" applyBorder="1" applyAlignment="1" applyProtection="1">
      <alignment horizontal="center" vertical="center" wrapText="1"/>
      <protection hidden="1"/>
    </xf>
    <xf numFmtId="0" fontId="15" fillId="0" borderId="72" xfId="0" applyFont="1" applyBorder="1" applyAlignment="1" applyProtection="1">
      <alignment horizontal="center" vertical="center" wrapText="1"/>
      <protection hidden="1"/>
    </xf>
    <xf numFmtId="0" fontId="27" fillId="6" borderId="65" xfId="0" applyFont="1" applyFill="1" applyBorder="1" applyAlignment="1" applyProtection="1">
      <alignment horizontal="center" vertical="center" wrapText="1"/>
      <protection hidden="1"/>
    </xf>
    <xf numFmtId="0" fontId="27" fillId="6" borderId="12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center" vertical="center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3" xfId="0" applyFont="1" applyBorder="1" applyAlignment="1" applyProtection="1">
      <alignment horizontal="center" vertical="center" wrapText="1"/>
      <protection hidden="1"/>
    </xf>
    <xf numFmtId="0" fontId="15" fillId="0" borderId="4" xfId="0" applyFont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hidden="1"/>
    </xf>
    <xf numFmtId="0" fontId="15" fillId="0" borderId="2" xfId="0" applyFont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 wrapText="1" readingOrder="2"/>
      <protection hidden="1"/>
    </xf>
    <xf numFmtId="0" fontId="15" fillId="0" borderId="2" xfId="0" applyFont="1" applyBorder="1" applyAlignment="1" applyProtection="1">
      <alignment horizontal="center" vertical="center" wrapText="1" readingOrder="2"/>
      <protection hidden="1"/>
    </xf>
    <xf numFmtId="0" fontId="97" fillId="0" borderId="29" xfId="0" applyFont="1" applyBorder="1" applyAlignment="1">
      <alignment horizontal="right" vertical="center" wrapText="1" readingOrder="2"/>
    </xf>
    <xf numFmtId="0" fontId="28" fillId="0" borderId="29" xfId="0" applyFont="1" applyBorder="1" applyAlignment="1">
      <alignment horizontal="right" vertical="center" wrapText="1" readingOrder="2"/>
    </xf>
    <xf numFmtId="0" fontId="28" fillId="0" borderId="0" xfId="0" applyFont="1" applyAlignment="1">
      <alignment horizontal="right" vertical="center" wrapText="1" readingOrder="2"/>
    </xf>
    <xf numFmtId="0" fontId="27" fillId="6" borderId="6" xfId="0" applyFont="1" applyFill="1" applyBorder="1" applyAlignment="1">
      <alignment horizontal="center" vertical="center" wrapText="1"/>
    </xf>
    <xf numFmtId="0" fontId="27" fillId="6" borderId="7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readingOrder="2"/>
    </xf>
    <xf numFmtId="0" fontId="27" fillId="0" borderId="4" xfId="0" applyFont="1" applyBorder="1" applyAlignment="1">
      <alignment horizontal="center" vertical="center" readingOrder="2"/>
    </xf>
    <xf numFmtId="0" fontId="27" fillId="6" borderId="6" xfId="0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horizontal="center" vertical="center" textRotation="90"/>
    </xf>
    <xf numFmtId="0" fontId="27" fillId="6" borderId="1" xfId="0" applyFont="1" applyFill="1" applyBorder="1" applyAlignment="1">
      <alignment horizontal="center" vertical="center" textRotation="90"/>
    </xf>
    <xf numFmtId="0" fontId="27" fillId="6" borderId="2" xfId="0" applyFont="1" applyFill="1" applyBorder="1" applyAlignment="1">
      <alignment horizontal="center" vertical="center" wrapText="1"/>
    </xf>
    <xf numFmtId="0" fontId="26" fillId="6" borderId="6" xfId="0" applyFont="1" applyFill="1" applyBorder="1" applyAlignment="1" applyProtection="1">
      <alignment horizontal="center" vertical="center" wrapText="1" readingOrder="2"/>
      <protection locked="0"/>
    </xf>
    <xf numFmtId="0" fontId="26" fillId="6" borderId="7" xfId="0" applyFont="1" applyFill="1" applyBorder="1" applyAlignment="1" applyProtection="1">
      <alignment horizontal="center" vertical="center" wrapText="1" readingOrder="2"/>
      <protection locked="0"/>
    </xf>
    <xf numFmtId="0" fontId="26" fillId="0" borderId="3" xfId="0" applyFont="1" applyBorder="1" applyAlignment="1" applyProtection="1">
      <alignment horizontal="center" vertical="center" readingOrder="2"/>
      <protection hidden="1"/>
    </xf>
    <xf numFmtId="0" fontId="26" fillId="0" borderId="4" xfId="0" applyFont="1" applyBorder="1" applyAlignment="1" applyProtection="1">
      <alignment horizontal="center" vertical="center" readingOrder="2"/>
      <protection hidden="1"/>
    </xf>
    <xf numFmtId="0" fontId="26" fillId="6" borderId="16" xfId="0" applyFont="1" applyFill="1" applyBorder="1" applyAlignment="1">
      <alignment horizontal="center" vertical="center" textRotation="90" readingOrder="2"/>
    </xf>
    <xf numFmtId="0" fontId="26" fillId="6" borderId="56" xfId="0" applyFont="1" applyFill="1" applyBorder="1" applyAlignment="1">
      <alignment horizontal="center" vertical="center" textRotation="90" readingOrder="2"/>
    </xf>
    <xf numFmtId="0" fontId="27" fillId="6" borderId="6" xfId="0" applyFont="1" applyFill="1" applyBorder="1" applyAlignment="1">
      <alignment horizontal="center" vertical="center" wrapText="1" readingOrder="2"/>
    </xf>
    <xf numFmtId="0" fontId="27" fillId="6" borderId="2" xfId="0" applyFont="1" applyFill="1" applyBorder="1" applyAlignment="1">
      <alignment horizontal="center" vertical="center" wrapText="1" readingOrder="2"/>
    </xf>
    <xf numFmtId="0" fontId="21" fillId="0" borderId="0" xfId="0" applyFont="1" applyAlignment="1">
      <alignment horizontal="center" readingOrder="2"/>
    </xf>
    <xf numFmtId="0" fontId="26" fillId="6" borderId="7" xfId="0" applyFont="1" applyFill="1" applyBorder="1" applyAlignment="1">
      <alignment horizontal="center" vertical="center" wrapText="1" readingOrder="2"/>
    </xf>
    <xf numFmtId="0" fontId="26" fillId="6" borderId="11" xfId="0" applyFont="1" applyFill="1" applyBorder="1" applyAlignment="1">
      <alignment horizontal="center" vertical="center" wrapText="1" readingOrder="2"/>
    </xf>
    <xf numFmtId="0" fontId="13" fillId="0" borderId="2" xfId="0" applyFont="1" applyBorder="1" applyAlignment="1">
      <alignment horizontal="right" vertical="center" readingOrder="2"/>
    </xf>
    <xf numFmtId="0" fontId="21" fillId="0" borderId="52" xfId="0" applyFont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32" fillId="0" borderId="1" xfId="0" applyFont="1" applyBorder="1" applyAlignment="1">
      <alignment horizontal="right" vertical="center" readingOrder="2"/>
    </xf>
    <xf numFmtId="0" fontId="32" fillId="0" borderId="2" xfId="0" applyFont="1" applyBorder="1" applyAlignment="1">
      <alignment horizontal="right" vertical="center" readingOrder="2"/>
    </xf>
    <xf numFmtId="0" fontId="32" fillId="0" borderId="3" xfId="0" applyFont="1" applyBorder="1" applyAlignment="1">
      <alignment horizontal="right" vertical="center" readingOrder="2"/>
    </xf>
    <xf numFmtId="0" fontId="32" fillId="0" borderId="4" xfId="0" applyFont="1" applyBorder="1" applyAlignment="1">
      <alignment horizontal="right" vertical="center" readingOrder="2"/>
    </xf>
    <xf numFmtId="0" fontId="13" fillId="0" borderId="1" xfId="0" applyFont="1" applyBorder="1" applyAlignment="1">
      <alignment horizontal="right" vertical="center" readingOrder="2"/>
    </xf>
    <xf numFmtId="0" fontId="13" fillId="3" borderId="2" xfId="0" applyFont="1" applyFill="1" applyBorder="1" applyAlignment="1" applyProtection="1">
      <alignment horizontal="right" vertical="center" readingOrder="2"/>
      <protection locked="0"/>
    </xf>
    <xf numFmtId="172" fontId="15" fillId="0" borderId="0" xfId="0" applyNumberFormat="1" applyFont="1" applyAlignment="1">
      <alignment horizontal="center" vertical="center" readingOrder="2"/>
    </xf>
    <xf numFmtId="172" fontId="15" fillId="0" borderId="29" xfId="0" applyNumberFormat="1" applyFont="1" applyBorder="1" applyAlignment="1">
      <alignment horizontal="center" vertical="center" wrapText="1" readingOrder="2"/>
    </xf>
    <xf numFmtId="172" fontId="15" fillId="0" borderId="0" xfId="0" applyNumberFormat="1" applyFont="1" applyAlignment="1">
      <alignment horizontal="center" vertical="center" wrapText="1" readingOrder="2"/>
    </xf>
    <xf numFmtId="3" fontId="15" fillId="0" borderId="3" xfId="0" applyNumberFormat="1" applyFont="1" applyBorder="1" applyAlignment="1">
      <alignment horizontal="center" vertical="center" readingOrder="2"/>
    </xf>
    <xf numFmtId="3" fontId="15" fillId="0" borderId="4" xfId="0" applyNumberFormat="1" applyFont="1" applyBorder="1" applyAlignment="1">
      <alignment horizontal="center" vertical="center" readingOrder="2"/>
    </xf>
    <xf numFmtId="3" fontId="15" fillId="0" borderId="52" xfId="0" applyNumberFormat="1" applyFont="1" applyBorder="1" applyAlignment="1">
      <alignment horizontal="center" vertical="center" readingOrder="2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2" fontId="15" fillId="6" borderId="6" xfId="0" applyNumberFormat="1" applyFont="1" applyFill="1" applyBorder="1" applyAlignment="1">
      <alignment horizontal="center" vertical="center" readingOrder="2"/>
    </xf>
    <xf numFmtId="2" fontId="15" fillId="6" borderId="2" xfId="0" applyNumberFormat="1" applyFont="1" applyFill="1" applyBorder="1" applyAlignment="1">
      <alignment horizontal="center" vertical="center" readingOrder="2"/>
    </xf>
    <xf numFmtId="2" fontId="15" fillId="6" borderId="7" xfId="0" applyNumberFormat="1" applyFont="1" applyFill="1" applyBorder="1" applyAlignment="1">
      <alignment horizontal="center" vertical="center" readingOrder="2"/>
    </xf>
    <xf numFmtId="2" fontId="15" fillId="6" borderId="11" xfId="0" applyNumberFormat="1" applyFont="1" applyFill="1" applyBorder="1" applyAlignment="1">
      <alignment horizontal="center" vertical="center" readingOrder="2"/>
    </xf>
    <xf numFmtId="0" fontId="15" fillId="9" borderId="3" xfId="0" applyFont="1" applyFill="1" applyBorder="1" applyAlignment="1" applyProtection="1">
      <alignment horizontal="center" vertical="center" readingOrder="2"/>
      <protection hidden="1"/>
    </xf>
    <xf numFmtId="0" fontId="15" fillId="9" borderId="4" xfId="0" applyFont="1" applyFill="1" applyBorder="1" applyAlignment="1" applyProtection="1">
      <alignment horizontal="center" vertical="center" readingOrder="2"/>
      <protection hidden="1"/>
    </xf>
    <xf numFmtId="1" fontId="15" fillId="6" borderId="5" xfId="0" applyNumberFormat="1" applyFont="1" applyFill="1" applyBorder="1" applyAlignment="1">
      <alignment horizontal="center" vertical="center" textRotation="90"/>
    </xf>
    <xf numFmtId="1" fontId="15" fillId="6" borderId="1" xfId="0" applyNumberFormat="1" applyFont="1" applyFill="1" applyBorder="1" applyAlignment="1">
      <alignment horizontal="center" vertical="center" textRotation="90"/>
    </xf>
    <xf numFmtId="2" fontId="15" fillId="9" borderId="3" xfId="0" applyNumberFormat="1" applyFont="1" applyFill="1" applyBorder="1" applyAlignment="1" applyProtection="1">
      <alignment horizontal="center" vertical="center" readingOrder="2"/>
      <protection hidden="1"/>
    </xf>
    <xf numFmtId="2" fontId="15" fillId="9" borderId="4" xfId="0" applyNumberFormat="1" applyFont="1" applyFill="1" applyBorder="1" applyAlignment="1" applyProtection="1">
      <alignment horizontal="center" vertical="center" readingOrder="2"/>
      <protection hidden="1"/>
    </xf>
    <xf numFmtId="0" fontId="15" fillId="0" borderId="28" xfId="0" applyFont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 textRotation="90"/>
    </xf>
    <xf numFmtId="0" fontId="15" fillId="6" borderId="1" xfId="0" applyFont="1" applyFill="1" applyBorder="1" applyAlignment="1">
      <alignment horizontal="center" vertical="center" textRotation="90"/>
    </xf>
    <xf numFmtId="0" fontId="15" fillId="6" borderId="2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176" fontId="7" fillId="6" borderId="3" xfId="2" applyFont="1" applyFill="1" applyBorder="1" applyAlignment="1" applyProtection="1">
      <alignment horizontal="center"/>
    </xf>
    <xf numFmtId="176" fontId="7" fillId="6" borderId="4" xfId="2" applyFont="1" applyFill="1" applyBorder="1" applyAlignment="1" applyProtection="1">
      <alignment horizontal="center"/>
    </xf>
    <xf numFmtId="176" fontId="7" fillId="6" borderId="1" xfId="2" applyFont="1" applyFill="1" applyBorder="1" applyAlignment="1" applyProtection="1">
      <alignment horizontal="center"/>
    </xf>
    <xf numFmtId="176" fontId="7" fillId="6" borderId="2" xfId="2" applyFont="1" applyFill="1" applyBorder="1" applyAlignment="1" applyProtection="1">
      <alignment horizontal="center"/>
    </xf>
    <xf numFmtId="176" fontId="45" fillId="5" borderId="1" xfId="2" applyFont="1" applyFill="1" applyBorder="1" applyAlignment="1" applyProtection="1">
      <alignment horizontal="center" vertical="center"/>
    </xf>
    <xf numFmtId="0" fontId="45" fillId="0" borderId="1" xfId="3" applyFont="1" applyBorder="1"/>
    <xf numFmtId="0" fontId="45" fillId="5" borderId="1" xfId="3" applyFont="1" applyFill="1" applyBorder="1" applyAlignment="1">
      <alignment horizontal="right"/>
    </xf>
    <xf numFmtId="0" fontId="45" fillId="5" borderId="2" xfId="3" applyFont="1" applyFill="1" applyBorder="1" applyAlignment="1">
      <alignment horizontal="right"/>
    </xf>
    <xf numFmtId="0" fontId="7" fillId="6" borderId="5" xfId="3" applyFont="1" applyFill="1" applyBorder="1" applyAlignment="1">
      <alignment horizontal="center" vertical="center"/>
    </xf>
    <xf numFmtId="0" fontId="7" fillId="6" borderId="6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176" fontId="45" fillId="5" borderId="1" xfId="2" applyFont="1" applyFill="1" applyBorder="1" applyAlignment="1" applyProtection="1">
      <alignment horizontal="center"/>
    </xf>
    <xf numFmtId="176" fontId="45" fillId="5" borderId="2" xfId="2" applyFont="1" applyFill="1" applyBorder="1" applyAlignment="1" applyProtection="1">
      <alignment horizontal="center"/>
    </xf>
    <xf numFmtId="0" fontId="45" fillId="5" borderId="0" xfId="3" applyFont="1" applyFill="1" applyAlignment="1">
      <alignment horizontal="left"/>
    </xf>
    <xf numFmtId="176" fontId="45" fillId="5" borderId="1" xfId="2" applyFont="1" applyFill="1" applyBorder="1" applyAlignment="1" applyProtection="1">
      <alignment horizontal="right"/>
    </xf>
    <xf numFmtId="176" fontId="45" fillId="5" borderId="2" xfId="2" applyFont="1" applyFill="1" applyBorder="1" applyAlignment="1" applyProtection="1">
      <alignment horizontal="right"/>
    </xf>
    <xf numFmtId="176" fontId="7" fillId="5" borderId="0" xfId="2" applyFont="1" applyFill="1" applyBorder="1" applyAlignment="1" applyProtection="1">
      <alignment horizontal="right"/>
    </xf>
    <xf numFmtId="0" fontId="7" fillId="6" borderId="6" xfId="3" applyFont="1" applyFill="1" applyBorder="1" applyAlignment="1">
      <alignment horizontal="center"/>
    </xf>
    <xf numFmtId="0" fontId="7" fillId="6" borderId="7" xfId="3" applyFont="1" applyFill="1" applyBorder="1" applyAlignment="1">
      <alignment horizontal="center"/>
    </xf>
    <xf numFmtId="176" fontId="7" fillId="5" borderId="1" xfId="2" applyFont="1" applyFill="1" applyBorder="1" applyAlignment="1" applyProtection="1">
      <alignment horizontal="right"/>
    </xf>
    <xf numFmtId="176" fontId="7" fillId="5" borderId="2" xfId="2" applyFont="1" applyFill="1" applyBorder="1" applyAlignment="1" applyProtection="1">
      <alignment horizontal="right"/>
    </xf>
    <xf numFmtId="176" fontId="7" fillId="5" borderId="11" xfId="2" applyFont="1" applyFill="1" applyBorder="1" applyAlignment="1" applyProtection="1">
      <alignment horizontal="right"/>
    </xf>
    <xf numFmtId="176" fontId="45" fillId="5" borderId="1" xfId="2" applyFont="1" applyFill="1" applyBorder="1" applyAlignment="1" applyProtection="1">
      <alignment horizontal="center" vertical="center" wrapText="1"/>
    </xf>
    <xf numFmtId="164" fontId="47" fillId="5" borderId="0" xfId="1" applyFont="1" applyFill="1" applyBorder="1" applyAlignment="1" applyProtection="1">
      <alignment horizontal="right"/>
    </xf>
    <xf numFmtId="0" fontId="46" fillId="5" borderId="0" xfId="0" applyFont="1" applyFill="1" applyAlignment="1">
      <alignment horizontal="center" vertical="center"/>
    </xf>
    <xf numFmtId="0" fontId="47" fillId="8" borderId="5" xfId="0" applyFont="1" applyFill="1" applyBorder="1" applyAlignment="1">
      <alignment horizontal="center" vertical="center"/>
    </xf>
    <xf numFmtId="0" fontId="47" fillId="8" borderId="73" xfId="0" applyFont="1" applyFill="1" applyBorder="1" applyAlignment="1">
      <alignment horizontal="center" vertical="center"/>
    </xf>
    <xf numFmtId="0" fontId="47" fillId="8" borderId="3" xfId="0" applyFont="1" applyFill="1" applyBorder="1" applyAlignment="1">
      <alignment horizontal="center" vertical="center"/>
    </xf>
    <xf numFmtId="0" fontId="47" fillId="8" borderId="74" xfId="0" applyFont="1" applyFill="1" applyBorder="1" applyAlignment="1">
      <alignment horizontal="center" vertical="center"/>
    </xf>
    <xf numFmtId="0" fontId="47" fillId="8" borderId="75" xfId="0" applyFont="1" applyFill="1" applyBorder="1" applyAlignment="1">
      <alignment horizontal="center" vertical="center"/>
    </xf>
    <xf numFmtId="0" fontId="47" fillId="8" borderId="76" xfId="0" applyFont="1" applyFill="1" applyBorder="1" applyAlignment="1">
      <alignment horizontal="center" vertical="center"/>
    </xf>
    <xf numFmtId="0" fontId="47" fillId="8" borderId="77" xfId="0" applyFont="1" applyFill="1" applyBorder="1" applyAlignment="1">
      <alignment horizontal="center" vertical="center"/>
    </xf>
    <xf numFmtId="0" fontId="47" fillId="8" borderId="78" xfId="0" applyFont="1" applyFill="1" applyBorder="1" applyAlignment="1">
      <alignment horizontal="center" vertical="center"/>
    </xf>
    <xf numFmtId="0" fontId="47" fillId="8" borderId="79" xfId="0" applyFont="1" applyFill="1" applyBorder="1" applyAlignment="1">
      <alignment horizontal="center" vertical="center"/>
    </xf>
    <xf numFmtId="1" fontId="21" fillId="8" borderId="1" xfId="0" applyNumberFormat="1" applyFont="1" applyFill="1" applyBorder="1" applyAlignment="1">
      <alignment horizontal="center" vertical="center" readingOrder="2"/>
    </xf>
    <xf numFmtId="1" fontId="21" fillId="8" borderId="2" xfId="0" applyNumberFormat="1" applyFont="1" applyFill="1" applyBorder="1" applyAlignment="1">
      <alignment horizontal="center" vertical="center" readingOrder="2"/>
    </xf>
    <xf numFmtId="164" fontId="46" fillId="5" borderId="1" xfId="1" applyFont="1" applyFill="1" applyBorder="1" applyAlignment="1" applyProtection="1">
      <alignment horizontal="center" vertical="center" wrapText="1"/>
    </xf>
    <xf numFmtId="164" fontId="47" fillId="8" borderId="1" xfId="1" applyFont="1" applyFill="1" applyBorder="1" applyAlignment="1" applyProtection="1">
      <alignment horizontal="center"/>
    </xf>
    <xf numFmtId="164" fontId="47" fillId="8" borderId="2" xfId="1" applyFont="1" applyFill="1" applyBorder="1" applyAlignment="1" applyProtection="1">
      <alignment horizontal="center"/>
    </xf>
    <xf numFmtId="164" fontId="47" fillId="5" borderId="77" xfId="1" applyFont="1" applyFill="1" applyBorder="1" applyAlignment="1" applyProtection="1">
      <alignment horizontal="right"/>
    </xf>
    <xf numFmtId="164" fontId="47" fillId="5" borderId="80" xfId="1" applyFont="1" applyFill="1" applyBorder="1" applyAlignment="1" applyProtection="1">
      <alignment horizontal="right"/>
    </xf>
    <xf numFmtId="0" fontId="47" fillId="8" borderId="8" xfId="0" applyFont="1" applyFill="1" applyBorder="1" applyAlignment="1">
      <alignment horizontal="center"/>
    </xf>
    <xf numFmtId="0" fontId="47" fillId="8" borderId="9" xfId="0" applyFont="1" applyFill="1" applyBorder="1" applyAlignment="1">
      <alignment horizontal="center"/>
    </xf>
    <xf numFmtId="0" fontId="47" fillId="8" borderId="1" xfId="0" applyFont="1" applyFill="1" applyBorder="1" applyAlignment="1">
      <alignment horizontal="center"/>
    </xf>
    <xf numFmtId="0" fontId="47" fillId="8" borderId="2" xfId="0" applyFont="1" applyFill="1" applyBorder="1" applyAlignment="1">
      <alignment horizontal="center"/>
    </xf>
    <xf numFmtId="0" fontId="47" fillId="8" borderId="3" xfId="0" applyFont="1" applyFill="1" applyBorder="1" applyAlignment="1">
      <alignment horizontal="center"/>
    </xf>
    <xf numFmtId="0" fontId="47" fillId="8" borderId="4" xfId="0" applyFont="1" applyFill="1" applyBorder="1" applyAlignment="1">
      <alignment horizontal="center"/>
    </xf>
    <xf numFmtId="0" fontId="26" fillId="6" borderId="3" xfId="0" applyFont="1" applyFill="1" applyBorder="1" applyAlignment="1">
      <alignment horizontal="center" vertical="center" textRotation="90" readingOrder="2"/>
    </xf>
    <xf numFmtId="0" fontId="26" fillId="6" borderId="4" xfId="0" applyFont="1" applyFill="1" applyBorder="1" applyAlignment="1">
      <alignment horizontal="center" vertical="center" readingOrder="2"/>
    </xf>
    <xf numFmtId="0" fontId="26" fillId="6" borderId="4" xfId="0" applyFont="1" applyFill="1" applyBorder="1" applyAlignment="1">
      <alignment horizontal="center" vertical="center" wrapText="1" readingOrder="2"/>
    </xf>
    <xf numFmtId="0" fontId="26" fillId="6" borderId="4" xfId="0" applyFont="1" applyFill="1" applyBorder="1" applyAlignment="1" applyProtection="1">
      <alignment horizontal="center" vertical="center" wrapText="1" readingOrder="2"/>
      <protection locked="0"/>
    </xf>
    <xf numFmtId="0" fontId="49" fillId="0" borderId="0" xfId="0" applyFont="1" applyAlignment="1">
      <alignment horizontal="center"/>
    </xf>
    <xf numFmtId="1" fontId="49" fillId="0" borderId="57" xfId="0" applyNumberFormat="1" applyFont="1" applyBorder="1" applyAlignment="1">
      <alignment horizontal="right" vertical="center" readingOrder="2"/>
    </xf>
    <xf numFmtId="1" fontId="49" fillId="0" borderId="12" xfId="0" applyNumberFormat="1" applyFont="1" applyBorder="1" applyAlignment="1">
      <alignment horizontal="right" vertical="center" readingOrder="2"/>
    </xf>
    <xf numFmtId="1" fontId="49" fillId="8" borderId="57" xfId="0" applyNumberFormat="1" applyFont="1" applyFill="1" applyBorder="1" applyAlignment="1">
      <alignment horizontal="right" vertical="center" readingOrder="2"/>
    </xf>
    <xf numFmtId="1" fontId="49" fillId="8" borderId="12" xfId="0" applyNumberFormat="1" applyFont="1" applyFill="1" applyBorder="1" applyAlignment="1">
      <alignment horizontal="right" vertical="center" readingOrder="2"/>
    </xf>
    <xf numFmtId="0" fontId="49" fillId="0" borderId="35" xfId="0" applyFont="1" applyBorder="1" applyAlignment="1">
      <alignment horizontal="center"/>
    </xf>
    <xf numFmtId="0" fontId="49" fillId="0" borderId="52" xfId="0" applyFont="1" applyBorder="1" applyAlignment="1">
      <alignment horizontal="center"/>
    </xf>
    <xf numFmtId="1" fontId="49" fillId="8" borderId="1" xfId="0" applyNumberFormat="1" applyFont="1" applyFill="1" applyBorder="1" applyAlignment="1">
      <alignment horizontal="center" vertical="center" readingOrder="2"/>
    </xf>
    <xf numFmtId="1" fontId="49" fillId="8" borderId="2" xfId="0" applyNumberFormat="1" applyFont="1" applyFill="1" applyBorder="1" applyAlignment="1">
      <alignment horizontal="center" vertical="center" readingOrder="2"/>
    </xf>
    <xf numFmtId="1" fontId="49" fillId="0" borderId="1" xfId="0" applyNumberFormat="1" applyFont="1" applyBorder="1" applyAlignment="1">
      <alignment horizontal="right" vertical="center" readingOrder="2"/>
    </xf>
    <xf numFmtId="1" fontId="49" fillId="0" borderId="2" xfId="0" applyNumberFormat="1" applyFont="1" applyBorder="1" applyAlignment="1">
      <alignment horizontal="right" vertical="center" readingOrder="2"/>
    </xf>
    <xf numFmtId="0" fontId="49" fillId="0" borderId="29" xfId="0" applyFont="1" applyBorder="1" applyAlignment="1">
      <alignment horizontal="center"/>
    </xf>
    <xf numFmtId="0" fontId="49" fillId="0" borderId="30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1" fontId="49" fillId="8" borderId="57" xfId="0" applyNumberFormat="1" applyFont="1" applyFill="1" applyBorder="1" applyAlignment="1">
      <alignment horizontal="center" vertical="center" readingOrder="2"/>
    </xf>
    <xf numFmtId="1" fontId="49" fillId="8" borderId="12" xfId="0" applyNumberFormat="1" applyFont="1" applyFill="1" applyBorder="1" applyAlignment="1">
      <alignment horizontal="center" vertical="center" readingOrder="2"/>
    </xf>
    <xf numFmtId="0" fontId="15" fillId="0" borderId="0" xfId="0" applyFont="1" applyAlignment="1" applyProtection="1">
      <alignment horizontal="center" vertical="center" readingOrder="2"/>
      <protection hidden="1"/>
    </xf>
    <xf numFmtId="1" fontId="49" fillId="0" borderId="0" xfId="0" applyNumberFormat="1" applyFont="1" applyAlignment="1">
      <alignment horizontal="center"/>
    </xf>
    <xf numFmtId="0" fontId="61" fillId="0" borderId="52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1" fontId="49" fillId="0" borderId="52" xfId="0" applyNumberFormat="1" applyFont="1" applyBorder="1" applyAlignment="1">
      <alignment horizontal="center" vertical="center"/>
    </xf>
    <xf numFmtId="1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2" fillId="0" borderId="56" xfId="0" applyFont="1" applyBorder="1" applyAlignment="1">
      <alignment horizontal="center" vertical="center" textRotation="90"/>
    </xf>
    <xf numFmtId="0" fontId="42" fillId="0" borderId="1" xfId="0" applyFont="1" applyBorder="1" applyAlignment="1">
      <alignment horizontal="center" vertical="center" textRotation="90"/>
    </xf>
    <xf numFmtId="0" fontId="42" fillId="0" borderId="3" xfId="0" applyFont="1" applyBorder="1" applyAlignment="1">
      <alignment horizontal="center" vertical="center" textRotation="90"/>
    </xf>
    <xf numFmtId="1" fontId="37" fillId="8" borderId="3" xfId="0" applyNumberFormat="1" applyFont="1" applyFill="1" applyBorder="1" applyAlignment="1">
      <alignment horizontal="right" vertical="center" readingOrder="2"/>
    </xf>
    <xf numFmtId="1" fontId="37" fillId="8" borderId="4" xfId="0" applyNumberFormat="1" applyFont="1" applyFill="1" applyBorder="1" applyAlignment="1">
      <alignment horizontal="right" vertical="center" readingOrder="2"/>
    </xf>
    <xf numFmtId="1" fontId="15" fillId="8" borderId="57" xfId="0" applyNumberFormat="1" applyFont="1" applyFill="1" applyBorder="1" applyAlignment="1">
      <alignment horizontal="right" vertical="center" readingOrder="2"/>
    </xf>
    <xf numFmtId="1" fontId="15" fillId="8" borderId="12" xfId="0" applyNumberFormat="1" applyFont="1" applyFill="1" applyBorder="1" applyAlignment="1">
      <alignment horizontal="right" vertical="center" readingOrder="2"/>
    </xf>
    <xf numFmtId="1" fontId="36" fillId="0" borderId="1" xfId="0" applyNumberFormat="1" applyFont="1" applyBorder="1" applyAlignment="1">
      <alignment horizontal="right" vertical="center" readingOrder="2"/>
    </xf>
    <xf numFmtId="1" fontId="36" fillId="0" borderId="2" xfId="0" applyNumberFormat="1" applyFont="1" applyBorder="1" applyAlignment="1">
      <alignment horizontal="right" vertical="center" readingOrder="2"/>
    </xf>
    <xf numFmtId="1" fontId="13" fillId="0" borderId="57" xfId="0" applyNumberFormat="1" applyFont="1" applyBorder="1" applyAlignment="1">
      <alignment horizontal="right" vertical="center" readingOrder="2"/>
    </xf>
    <xf numFmtId="1" fontId="13" fillId="0" borderId="12" xfId="0" applyNumberFormat="1" applyFont="1" applyBorder="1" applyAlignment="1">
      <alignment horizontal="right" vertical="center" readingOrder="2"/>
    </xf>
    <xf numFmtId="0" fontId="47" fillId="0" borderId="15" xfId="0" applyFont="1" applyBorder="1" applyAlignment="1">
      <alignment horizontal="center" vertical="center" readingOrder="2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52" xfId="0" applyFont="1" applyBorder="1" applyAlignment="1" applyProtection="1">
      <alignment horizontal="center" vertical="center"/>
      <protection hidden="1"/>
    </xf>
    <xf numFmtId="3" fontId="92" fillId="0" borderId="66" xfId="0" applyNumberFormat="1" applyFont="1" applyBorder="1" applyAlignment="1" applyProtection="1">
      <alignment horizontal="center" vertical="center" readingOrder="2"/>
      <protection hidden="1"/>
    </xf>
    <xf numFmtId="3" fontId="92" fillId="0" borderId="15" xfId="0" applyNumberFormat="1" applyFont="1" applyBorder="1" applyAlignment="1" applyProtection="1">
      <alignment horizontal="center" vertical="center" readingOrder="2"/>
      <protection hidden="1"/>
    </xf>
    <xf numFmtId="3" fontId="92" fillId="0" borderId="62" xfId="0" applyNumberFormat="1" applyFont="1" applyBorder="1" applyAlignment="1" applyProtection="1">
      <alignment horizontal="center" vertical="center" readingOrder="2"/>
      <protection hidden="1"/>
    </xf>
    <xf numFmtId="0" fontId="36" fillId="0" borderId="3" xfId="0" applyFont="1" applyBorder="1" applyAlignment="1" applyProtection="1">
      <alignment horizontal="center" vertical="center" readingOrder="2"/>
      <protection hidden="1"/>
    </xf>
    <xf numFmtId="0" fontId="36" fillId="0" borderId="4" xfId="0" applyFont="1" applyBorder="1" applyAlignment="1" applyProtection="1">
      <alignment horizontal="center" vertical="center" readingOrder="2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6" fillId="6" borderId="5" xfId="0" applyFont="1" applyFill="1" applyBorder="1" applyAlignment="1" applyProtection="1">
      <alignment horizontal="center" vertical="center" textRotation="90"/>
      <protection hidden="1"/>
    </xf>
    <xf numFmtId="0" fontId="26" fillId="6" borderId="1" xfId="0" applyFont="1" applyFill="1" applyBorder="1" applyAlignment="1" applyProtection="1">
      <alignment horizontal="center" vertical="center" textRotation="90"/>
      <protection hidden="1"/>
    </xf>
    <xf numFmtId="0" fontId="26" fillId="6" borderId="6" xfId="0" applyFont="1" applyFill="1" applyBorder="1" applyAlignment="1" applyProtection="1">
      <alignment horizontal="center" vertical="center"/>
      <protection hidden="1"/>
    </xf>
    <xf numFmtId="0" fontId="26" fillId="6" borderId="2" xfId="0" applyFont="1" applyFill="1" applyBorder="1" applyAlignment="1" applyProtection="1">
      <alignment horizontal="center" vertical="center"/>
      <protection hidden="1"/>
    </xf>
    <xf numFmtId="0" fontId="15" fillId="6" borderId="7" xfId="0" applyFont="1" applyFill="1" applyBorder="1" applyAlignment="1" applyProtection="1">
      <alignment horizontal="center" vertical="center" wrapText="1"/>
      <protection hidden="1"/>
    </xf>
    <xf numFmtId="0" fontId="15" fillId="6" borderId="11" xfId="0" applyFont="1" applyFill="1" applyBorder="1" applyAlignment="1" applyProtection="1">
      <alignment horizontal="center" vertical="center" wrapText="1"/>
      <protection hidden="1"/>
    </xf>
    <xf numFmtId="0" fontId="26" fillId="6" borderId="17" xfId="0" applyFont="1" applyFill="1" applyBorder="1" applyAlignment="1" applyProtection="1">
      <alignment horizontal="center" vertical="center" wrapText="1"/>
      <protection hidden="1"/>
    </xf>
    <xf numFmtId="0" fontId="26" fillId="6" borderId="31" xfId="0" applyFont="1" applyFill="1" applyBorder="1" applyAlignment="1" applyProtection="1">
      <alignment horizontal="center" vertical="center"/>
      <protection hidden="1"/>
    </xf>
    <xf numFmtId="0" fontId="0" fillId="0" borderId="26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" fontId="15" fillId="5" borderId="70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71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34" xfId="0" applyNumberFormat="1" applyFont="1" applyFill="1" applyBorder="1" applyAlignment="1" applyProtection="1">
      <alignment horizontal="right" vertical="center" readingOrder="2"/>
      <protection hidden="1"/>
    </xf>
    <xf numFmtId="1" fontId="13" fillId="5" borderId="2" xfId="0" applyNumberFormat="1" applyFont="1" applyFill="1" applyBorder="1" applyAlignment="1" applyProtection="1">
      <alignment horizontal="right" vertical="center" readingOrder="2"/>
      <protection hidden="1"/>
    </xf>
    <xf numFmtId="1" fontId="94" fillId="11" borderId="5" xfId="0" applyNumberFormat="1" applyFont="1" applyFill="1" applyBorder="1" applyAlignment="1" applyProtection="1">
      <alignment horizontal="center" vertical="center" readingOrder="2"/>
      <protection hidden="1"/>
    </xf>
    <xf numFmtId="1" fontId="94" fillId="11" borderId="6" xfId="0" applyNumberFormat="1" applyFont="1" applyFill="1" applyBorder="1" applyAlignment="1" applyProtection="1">
      <alignment horizontal="center" vertical="center" readingOrder="2"/>
      <protection hidden="1"/>
    </xf>
    <xf numFmtId="1" fontId="13" fillId="5" borderId="2" xfId="0" applyNumberFormat="1" applyFont="1" applyFill="1" applyBorder="1" applyAlignment="1" applyProtection="1">
      <alignment horizontal="center" vertical="center" readingOrder="2"/>
      <protection hidden="1"/>
    </xf>
    <xf numFmtId="1" fontId="13" fillId="5" borderId="11" xfId="0" applyNumberFormat="1" applyFont="1" applyFill="1" applyBorder="1" applyAlignment="1" applyProtection="1">
      <alignment horizontal="center" vertical="center" readingOrder="2"/>
      <protection hidden="1"/>
    </xf>
    <xf numFmtId="3" fontId="15" fillId="5" borderId="2" xfId="0" applyNumberFormat="1" applyFont="1" applyFill="1" applyBorder="1" applyAlignment="1" applyProtection="1">
      <alignment horizontal="center" vertical="center" readingOrder="2"/>
      <protection hidden="1"/>
    </xf>
    <xf numFmtId="3" fontId="79" fillId="0" borderId="2" xfId="0" applyNumberFormat="1" applyFont="1" applyBorder="1" applyAlignment="1" applyProtection="1">
      <alignment horizontal="center" vertical="center" readingOrder="2"/>
      <protection hidden="1"/>
    </xf>
    <xf numFmtId="3" fontId="79" fillId="0" borderId="11" xfId="0" applyNumberFormat="1" applyFont="1" applyBorder="1" applyAlignment="1" applyProtection="1">
      <alignment horizontal="center" vertical="center" readingOrder="2"/>
      <protection hidden="1"/>
    </xf>
    <xf numFmtId="1" fontId="15" fillId="5" borderId="2" xfId="0" applyNumberFormat="1" applyFont="1" applyFill="1" applyBorder="1" applyAlignment="1" applyProtection="1">
      <alignment horizontal="center" vertical="center" readingOrder="2"/>
      <protection hidden="1"/>
    </xf>
    <xf numFmtId="1" fontId="94" fillId="11" borderId="60" xfId="0" applyNumberFormat="1" applyFont="1" applyFill="1" applyBorder="1" applyAlignment="1" applyProtection="1">
      <alignment horizontal="center" vertical="center" readingOrder="2"/>
      <protection hidden="1"/>
    </xf>
    <xf numFmtId="1" fontId="94" fillId="11" borderId="65" xfId="0" applyNumberFormat="1" applyFont="1" applyFill="1" applyBorder="1" applyAlignment="1" applyProtection="1">
      <alignment horizontal="center" vertical="center" readingOrder="2"/>
      <protection hidden="1"/>
    </xf>
    <xf numFmtId="1" fontId="94" fillId="11" borderId="58" xfId="0" applyNumberFormat="1" applyFont="1" applyFill="1" applyBorder="1" applyAlignment="1" applyProtection="1">
      <alignment horizontal="center" vertical="center" readingOrder="2"/>
      <protection hidden="1"/>
    </xf>
    <xf numFmtId="1" fontId="15" fillId="5" borderId="0" xfId="0" applyNumberFormat="1" applyFont="1" applyFill="1" applyAlignment="1" applyProtection="1">
      <alignment horizontal="right" vertical="center" readingOrder="2"/>
      <protection hidden="1"/>
    </xf>
    <xf numFmtId="1" fontId="15" fillId="5" borderId="23" xfId="0" applyNumberFormat="1" applyFont="1" applyFill="1" applyBorder="1" applyAlignment="1" applyProtection="1">
      <alignment horizontal="right" vertical="center" readingOrder="2"/>
      <protection hidden="1"/>
    </xf>
    <xf numFmtId="1" fontId="28" fillId="5" borderId="22" xfId="0" applyNumberFormat="1" applyFont="1" applyFill="1" applyBorder="1" applyAlignment="1" applyProtection="1">
      <alignment horizontal="right" vertical="center" wrapText="1" readingOrder="2"/>
      <protection hidden="1"/>
    </xf>
    <xf numFmtId="1" fontId="28" fillId="5" borderId="0" xfId="0" applyNumberFormat="1" applyFont="1" applyFill="1" applyAlignment="1" applyProtection="1">
      <alignment horizontal="right" vertical="center" readingOrder="2"/>
      <protection hidden="1"/>
    </xf>
    <xf numFmtId="1" fontId="28" fillId="5" borderId="23" xfId="0" applyNumberFormat="1" applyFont="1" applyFill="1" applyBorder="1" applyAlignment="1" applyProtection="1">
      <alignment horizontal="right" vertical="center" readingOrder="2"/>
      <protection hidden="1"/>
    </xf>
    <xf numFmtId="1" fontId="28" fillId="5" borderId="61" xfId="0" applyNumberFormat="1" applyFont="1" applyFill="1" applyBorder="1" applyAlignment="1" applyProtection="1">
      <alignment horizontal="right" vertical="center" readingOrder="2"/>
      <protection hidden="1"/>
    </xf>
    <xf numFmtId="1" fontId="28" fillId="5" borderId="15" xfId="0" applyNumberFormat="1" applyFont="1" applyFill="1" applyBorder="1" applyAlignment="1" applyProtection="1">
      <alignment horizontal="right" vertical="center" readingOrder="2"/>
      <protection hidden="1"/>
    </xf>
    <xf numFmtId="1" fontId="28" fillId="5" borderId="62" xfId="0" applyNumberFormat="1" applyFont="1" applyFill="1" applyBorder="1" applyAlignment="1" applyProtection="1">
      <alignment horizontal="right" vertical="center" readingOrder="2"/>
      <protection hidden="1"/>
    </xf>
    <xf numFmtId="0" fontId="93" fillId="0" borderId="0" xfId="0" applyFont="1" applyAlignment="1" applyProtection="1">
      <alignment horizontal="center" vertical="center" readingOrder="2"/>
      <protection hidden="1"/>
    </xf>
    <xf numFmtId="1" fontId="94" fillId="11" borderId="7" xfId="0" applyNumberFormat="1" applyFont="1" applyFill="1" applyBorder="1" applyAlignment="1" applyProtection="1">
      <alignment horizontal="center" vertical="center" readingOrder="2"/>
      <protection hidden="1"/>
    </xf>
    <xf numFmtId="3" fontId="13" fillId="5" borderId="2" xfId="0" applyNumberFormat="1" applyFont="1" applyFill="1" applyBorder="1" applyAlignment="1" applyProtection="1">
      <alignment horizontal="right" vertical="center" readingOrder="2"/>
      <protection hidden="1"/>
    </xf>
    <xf numFmtId="1" fontId="13" fillId="5" borderId="60" xfId="0" applyNumberFormat="1" applyFont="1" applyFill="1" applyBorder="1" applyAlignment="1" applyProtection="1">
      <alignment horizontal="center" vertical="center" readingOrder="2"/>
      <protection hidden="1"/>
    </xf>
    <xf numFmtId="1" fontId="13" fillId="5" borderId="65" xfId="0" applyNumberFormat="1" applyFont="1" applyFill="1" applyBorder="1" applyAlignment="1" applyProtection="1">
      <alignment horizontal="center" vertical="center" readingOrder="2"/>
      <protection hidden="1"/>
    </xf>
    <xf numFmtId="1" fontId="13" fillId="5" borderId="12" xfId="0" applyNumberFormat="1" applyFont="1" applyFill="1" applyBorder="1" applyAlignment="1" applyProtection="1">
      <alignment horizontal="center" vertical="center" readingOrder="2"/>
      <protection hidden="1"/>
    </xf>
    <xf numFmtId="1" fontId="94" fillId="11" borderId="2" xfId="0" applyNumberFormat="1" applyFont="1" applyFill="1" applyBorder="1" applyAlignment="1" applyProtection="1">
      <alignment horizontal="center" vertical="center" readingOrder="2"/>
      <protection hidden="1"/>
    </xf>
    <xf numFmtId="1" fontId="94" fillId="11" borderId="11" xfId="0" applyNumberFormat="1" applyFont="1" applyFill="1" applyBorder="1" applyAlignment="1" applyProtection="1">
      <alignment horizontal="center" vertical="center" readingOrder="2"/>
      <protection hidden="1"/>
    </xf>
    <xf numFmtId="1" fontId="94" fillId="11" borderId="1" xfId="0" applyNumberFormat="1" applyFont="1" applyFill="1" applyBorder="1" applyAlignment="1" applyProtection="1">
      <alignment horizontal="center" vertical="center" readingOrder="2"/>
      <protection hidden="1"/>
    </xf>
    <xf numFmtId="1" fontId="15" fillId="5" borderId="65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12" xfId="0" applyNumberFormat="1" applyFont="1" applyFill="1" applyBorder="1" applyAlignment="1" applyProtection="1">
      <alignment horizontal="right" vertical="center" readingOrder="2"/>
      <protection hidden="1"/>
    </xf>
    <xf numFmtId="1" fontId="13" fillId="5" borderId="0" xfId="0" applyNumberFormat="1" applyFont="1" applyFill="1" applyAlignment="1" applyProtection="1">
      <alignment horizontal="right" vertical="center" readingOrder="2"/>
      <protection hidden="1"/>
    </xf>
    <xf numFmtId="1" fontId="96" fillId="11" borderId="77" xfId="0" applyNumberFormat="1" applyFont="1" applyFill="1" applyBorder="1" applyAlignment="1" applyProtection="1">
      <alignment horizontal="right" vertical="center" readingOrder="2"/>
      <protection hidden="1"/>
    </xf>
    <xf numFmtId="1" fontId="96" fillId="11" borderId="78" xfId="0" applyNumberFormat="1" applyFont="1" applyFill="1" applyBorder="1" applyAlignment="1" applyProtection="1">
      <alignment horizontal="right" vertical="center" readingOrder="2"/>
      <protection hidden="1"/>
    </xf>
    <xf numFmtId="1" fontId="96" fillId="11" borderId="79" xfId="0" applyNumberFormat="1" applyFont="1" applyFill="1" applyBorder="1" applyAlignment="1" applyProtection="1">
      <alignment horizontal="right" vertical="center" readingOrder="2"/>
      <protection hidden="1"/>
    </xf>
    <xf numFmtId="1" fontId="14" fillId="0" borderId="1" xfId="0" applyNumberFormat="1" applyFont="1" applyBorder="1" applyAlignment="1" applyProtection="1">
      <alignment horizontal="right" vertical="top" wrapText="1" readingOrder="2"/>
      <protection hidden="1"/>
    </xf>
    <xf numFmtId="1" fontId="14" fillId="0" borderId="2" xfId="0" applyNumberFormat="1" applyFont="1" applyBorder="1" applyAlignment="1" applyProtection="1">
      <alignment horizontal="right" vertical="top" wrapText="1" readingOrder="2"/>
      <protection hidden="1"/>
    </xf>
    <xf numFmtId="1" fontId="14" fillId="0" borderId="11" xfId="0" applyNumberFormat="1" applyFont="1" applyBorder="1" applyAlignment="1" applyProtection="1">
      <alignment horizontal="right" vertical="top" wrapText="1" readingOrder="2"/>
      <protection hidden="1"/>
    </xf>
    <xf numFmtId="1" fontId="14" fillId="0" borderId="1" xfId="0" applyNumberFormat="1" applyFont="1" applyBorder="1" applyAlignment="1" applyProtection="1">
      <alignment horizontal="right" vertical="center" wrapText="1" readingOrder="2"/>
      <protection hidden="1"/>
    </xf>
    <xf numFmtId="1" fontId="14" fillId="0" borderId="2" xfId="0" applyNumberFormat="1" applyFont="1" applyBorder="1" applyAlignment="1" applyProtection="1">
      <alignment horizontal="right" vertical="center" wrapText="1" readingOrder="2"/>
      <protection hidden="1"/>
    </xf>
    <xf numFmtId="1" fontId="14" fillId="0" borderId="11" xfId="0" applyNumberFormat="1" applyFont="1" applyBorder="1" applyAlignment="1" applyProtection="1">
      <alignment horizontal="right" vertical="center" wrapText="1" readingOrder="2"/>
      <protection hidden="1"/>
    </xf>
    <xf numFmtId="1" fontId="77" fillId="0" borderId="1" xfId="0" applyNumberFormat="1" applyFont="1" applyBorder="1" applyAlignment="1" applyProtection="1">
      <alignment horizontal="right" vertical="top" wrapText="1" readingOrder="2"/>
      <protection hidden="1"/>
    </xf>
    <xf numFmtId="1" fontId="77" fillId="0" borderId="2" xfId="0" applyNumberFormat="1" applyFont="1" applyBorder="1" applyAlignment="1" applyProtection="1">
      <alignment horizontal="right" vertical="top" wrapText="1" readingOrder="2"/>
      <protection hidden="1"/>
    </xf>
    <xf numFmtId="1" fontId="77" fillId="0" borderId="11" xfId="0" applyNumberFormat="1" applyFont="1" applyBorder="1" applyAlignment="1" applyProtection="1">
      <alignment horizontal="right" vertical="top" wrapText="1" readingOrder="2"/>
      <protection hidden="1"/>
    </xf>
    <xf numFmtId="1" fontId="14" fillId="0" borderId="70" xfId="0" applyNumberFormat="1" applyFont="1" applyBorder="1" applyAlignment="1" applyProtection="1">
      <alignment horizontal="right" vertical="top" wrapText="1" readingOrder="2"/>
      <protection hidden="1"/>
    </xf>
    <xf numFmtId="1" fontId="14" fillId="0" borderId="71" xfId="0" applyNumberFormat="1" applyFont="1" applyBorder="1" applyAlignment="1" applyProtection="1">
      <alignment horizontal="right" vertical="top" wrapText="1" readingOrder="2"/>
      <protection hidden="1"/>
    </xf>
    <xf numFmtId="1" fontId="14" fillId="0" borderId="34" xfId="0" applyNumberFormat="1" applyFont="1" applyBorder="1" applyAlignment="1" applyProtection="1">
      <alignment horizontal="right" vertical="top" wrapText="1" readingOrder="2"/>
      <protection hidden="1"/>
    </xf>
    <xf numFmtId="0" fontId="53" fillId="0" borderId="36" xfId="0" applyFont="1" applyBorder="1" applyAlignment="1">
      <alignment horizontal="right" vertical="top" wrapText="1" readingOrder="1"/>
    </xf>
    <xf numFmtId="0" fontId="53" fillId="0" borderId="0" xfId="0" applyFont="1" applyAlignment="1">
      <alignment horizontal="right" vertical="top" wrapText="1" readingOrder="1"/>
    </xf>
    <xf numFmtId="0" fontId="53" fillId="0" borderId="45" xfId="0" applyFont="1" applyBorder="1" applyAlignment="1">
      <alignment horizontal="right" vertical="top" wrapText="1" readingOrder="1"/>
    </xf>
    <xf numFmtId="0" fontId="54" fillId="0" borderId="40" xfId="0" applyFont="1" applyBorder="1" applyAlignment="1">
      <alignment horizontal="right" vertical="top" wrapText="1" readingOrder="1"/>
    </xf>
    <xf numFmtId="0" fontId="54" fillId="0" borderId="46" xfId="0" applyFont="1" applyBorder="1" applyAlignment="1">
      <alignment horizontal="right" vertical="top" wrapText="1" readingOrder="1"/>
    </xf>
    <xf numFmtId="0" fontId="54" fillId="0" borderId="47" xfId="0" applyFont="1" applyBorder="1" applyAlignment="1">
      <alignment horizontal="right" vertical="top" wrapText="1" readingOrder="1"/>
    </xf>
    <xf numFmtId="0" fontId="42" fillId="0" borderId="0" xfId="0" applyFont="1" applyAlignment="1">
      <alignment horizontal="center" readingOrder="2"/>
    </xf>
    <xf numFmtId="0" fontId="45" fillId="0" borderId="0" xfId="0" applyFont="1" applyAlignment="1">
      <alignment horizontal="center" readingOrder="2"/>
    </xf>
    <xf numFmtId="0" fontId="45" fillId="0" borderId="46" xfId="0" applyFont="1" applyBorder="1" applyAlignment="1">
      <alignment horizontal="center" readingOrder="2"/>
    </xf>
    <xf numFmtId="0" fontId="9" fillId="0" borderId="28" xfId="0" applyFont="1" applyBorder="1" applyAlignment="1">
      <alignment horizontal="center" vertical="top" wrapText="1" readingOrder="2"/>
    </xf>
    <xf numFmtId="0" fontId="9" fillId="0" borderId="29" xfId="0" applyFont="1" applyBorder="1" applyAlignment="1">
      <alignment horizontal="center" vertical="top" wrapText="1" readingOrder="2"/>
    </xf>
    <xf numFmtId="0" fontId="9" fillId="0" borderId="44" xfId="0" applyFont="1" applyBorder="1" applyAlignment="1">
      <alignment horizontal="center" vertical="top" wrapText="1" readingOrder="2"/>
    </xf>
    <xf numFmtId="0" fontId="9" fillId="0" borderId="41" xfId="0" applyFont="1" applyBorder="1" applyAlignment="1">
      <alignment horizontal="center" vertical="top" wrapText="1" readingOrder="2"/>
    </xf>
    <xf numFmtId="0" fontId="9" fillId="0" borderId="30" xfId="0" applyFont="1" applyBorder="1" applyAlignment="1">
      <alignment horizontal="center" vertical="top" wrapText="1" readingOrder="2"/>
    </xf>
    <xf numFmtId="0" fontId="52" fillId="0" borderId="28" xfId="0" applyFont="1" applyBorder="1" applyAlignment="1">
      <alignment horizontal="center" vertical="top" wrapText="1" readingOrder="2"/>
    </xf>
    <xf numFmtId="0" fontId="52" fillId="0" borderId="29" xfId="0" applyFont="1" applyBorder="1" applyAlignment="1">
      <alignment horizontal="center" vertical="top" wrapText="1" readingOrder="2"/>
    </xf>
    <xf numFmtId="0" fontId="52" fillId="0" borderId="30" xfId="0" applyFont="1" applyBorder="1" applyAlignment="1">
      <alignment horizontal="center" vertical="top" wrapText="1" readingOrder="2"/>
    </xf>
    <xf numFmtId="0" fontId="19" fillId="0" borderId="81" xfId="0" applyFont="1" applyBorder="1" applyAlignment="1">
      <alignment horizontal="right" vertical="top" wrapText="1" readingOrder="2"/>
    </xf>
    <xf numFmtId="0" fontId="19" fillId="0" borderId="84" xfId="0" applyFont="1" applyBorder="1" applyAlignment="1">
      <alignment horizontal="right" vertical="top" wrapText="1" readingOrder="2"/>
    </xf>
    <xf numFmtId="0" fontId="19" fillId="0" borderId="85" xfId="0" applyFont="1" applyBorder="1" applyAlignment="1">
      <alignment horizontal="right" vertical="top" wrapText="1" readingOrder="2"/>
    </xf>
    <xf numFmtId="0" fontId="19" fillId="0" borderId="36" xfId="0" applyFont="1" applyBorder="1" applyAlignment="1">
      <alignment horizontal="right" vertical="top" wrapText="1" readingOrder="2"/>
    </xf>
    <xf numFmtId="0" fontId="19" fillId="0" borderId="0" xfId="0" applyFont="1" applyAlignment="1">
      <alignment horizontal="right" vertical="top" wrapText="1" readingOrder="2"/>
    </xf>
    <xf numFmtId="0" fontId="19" fillId="0" borderId="45" xfId="0" applyFont="1" applyBorder="1" applyAlignment="1">
      <alignment horizontal="right" vertical="top" wrapText="1" readingOrder="2"/>
    </xf>
    <xf numFmtId="0" fontId="19" fillId="0" borderId="51" xfId="0" applyFont="1" applyBorder="1" applyAlignment="1">
      <alignment horizontal="right" vertical="top" wrapText="1" readingOrder="2"/>
    </xf>
    <xf numFmtId="0" fontId="19" fillId="0" borderId="52" xfId="0" applyFont="1" applyBorder="1" applyAlignment="1">
      <alignment horizontal="right" vertical="top" wrapText="1" readingOrder="2"/>
    </xf>
    <xf numFmtId="0" fontId="19" fillId="0" borderId="50" xfId="0" applyFont="1" applyBorder="1" applyAlignment="1">
      <alignment horizontal="right" vertical="top" wrapText="1" readingOrder="2"/>
    </xf>
    <xf numFmtId="0" fontId="53" fillId="0" borderId="36" xfId="0" applyFont="1" applyBorder="1" applyAlignment="1">
      <alignment horizontal="left" vertical="top" wrapText="1" readingOrder="1"/>
    </xf>
    <xf numFmtId="0" fontId="53" fillId="0" borderId="0" xfId="0" applyFont="1" applyAlignment="1">
      <alignment horizontal="left" vertical="top" wrapText="1" readingOrder="1"/>
    </xf>
    <xf numFmtId="0" fontId="53" fillId="0" borderId="45" xfId="0" applyFont="1" applyBorder="1" applyAlignment="1">
      <alignment horizontal="left" vertical="top" wrapText="1" readingOrder="1"/>
    </xf>
    <xf numFmtId="0" fontId="19" fillId="0" borderId="41" xfId="0" applyFont="1" applyBorder="1" applyAlignment="1">
      <alignment horizontal="right" vertical="top" wrapText="1" readingOrder="1"/>
    </xf>
    <xf numFmtId="0" fontId="19" fillId="0" borderId="29" xfId="0" applyFont="1" applyBorder="1" applyAlignment="1">
      <alignment horizontal="right" vertical="top" wrapText="1" readingOrder="1"/>
    </xf>
    <xf numFmtId="0" fontId="19" fillId="0" borderId="44" xfId="0" applyFont="1" applyBorder="1" applyAlignment="1">
      <alignment horizontal="right" vertical="top" wrapText="1" readingOrder="1"/>
    </xf>
    <xf numFmtId="0" fontId="19" fillId="0" borderId="40" xfId="0" applyFont="1" applyBorder="1" applyAlignment="1">
      <alignment horizontal="right" vertical="top" wrapText="1" readingOrder="1"/>
    </xf>
    <xf numFmtId="0" fontId="19" fillId="0" borderId="46" xfId="0" applyFont="1" applyBorder="1" applyAlignment="1">
      <alignment horizontal="right" vertical="top" wrapText="1" readingOrder="1"/>
    </xf>
    <xf numFmtId="0" fontId="19" fillId="0" borderId="47" xfId="0" applyFont="1" applyBorder="1" applyAlignment="1">
      <alignment horizontal="right" vertical="top" wrapText="1" readingOrder="1"/>
    </xf>
    <xf numFmtId="0" fontId="53" fillId="0" borderId="81" xfId="0" applyFont="1" applyBorder="1" applyAlignment="1">
      <alignment horizontal="right" vertical="top" wrapText="1" readingOrder="1"/>
    </xf>
    <xf numFmtId="0" fontId="53" fillId="0" borderId="84" xfId="0" applyFont="1" applyBorder="1" applyAlignment="1">
      <alignment horizontal="right" vertical="top" wrapText="1" readingOrder="1"/>
    </xf>
    <xf numFmtId="0" fontId="53" fillId="0" borderId="85" xfId="0" applyFont="1" applyBorder="1" applyAlignment="1">
      <alignment horizontal="right" vertical="top" wrapText="1" readingOrder="1"/>
    </xf>
    <xf numFmtId="0" fontId="0" fillId="0" borderId="2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2" xfId="0" applyBorder="1" applyAlignment="1">
      <alignment vertical="top" wrapText="1"/>
    </xf>
    <xf numFmtId="0" fontId="9" fillId="0" borderId="83" xfId="0" applyFont="1" applyBorder="1" applyAlignment="1">
      <alignment horizontal="center" vertical="top" wrapText="1" readingOrder="1"/>
    </xf>
    <xf numFmtId="0" fontId="9" fillId="0" borderId="82" xfId="0" applyFont="1" applyBorder="1" applyAlignment="1">
      <alignment horizontal="center" vertical="top" wrapText="1" readingOrder="1"/>
    </xf>
    <xf numFmtId="0" fontId="9" fillId="0" borderId="39" xfId="0" applyFont="1" applyBorder="1" applyAlignment="1">
      <alignment horizontal="center" vertical="top" wrapText="1" readingOrder="1"/>
    </xf>
    <xf numFmtId="0" fontId="9" fillId="0" borderId="43" xfId="0" applyFont="1" applyBorder="1" applyAlignment="1">
      <alignment horizontal="center" vertical="top" wrapText="1" readingOrder="1"/>
    </xf>
    <xf numFmtId="0" fontId="9" fillId="0" borderId="84" xfId="0" applyFont="1" applyBorder="1" applyAlignment="1">
      <alignment horizontal="center" vertical="top" wrapText="1" readingOrder="1"/>
    </xf>
    <xf numFmtId="0" fontId="9" fillId="0" borderId="85" xfId="0" applyFont="1" applyBorder="1" applyAlignment="1">
      <alignment horizontal="center" vertical="top" wrapText="1" readingOrder="1"/>
    </xf>
    <xf numFmtId="0" fontId="9" fillId="0" borderId="46" xfId="0" applyFont="1" applyBorder="1" applyAlignment="1">
      <alignment horizontal="center" vertical="top" wrapText="1" readingOrder="1"/>
    </xf>
    <xf numFmtId="0" fontId="9" fillId="0" borderId="47" xfId="0" applyFont="1" applyBorder="1" applyAlignment="1">
      <alignment horizontal="center" vertical="top" wrapText="1" readingOrder="1"/>
    </xf>
    <xf numFmtId="0" fontId="19" fillId="0" borderId="22" xfId="0" applyFont="1" applyBorder="1" applyAlignment="1">
      <alignment horizontal="right" vertical="top" wrapText="1" readingOrder="2"/>
    </xf>
    <xf numFmtId="0" fontId="0" fillId="0" borderId="39" xfId="0" applyBorder="1" applyAlignment="1">
      <alignment vertical="top" wrapText="1"/>
    </xf>
    <xf numFmtId="0" fontId="0" fillId="0" borderId="47" xfId="0" applyBorder="1" applyAlignment="1">
      <alignment vertical="top" wrapText="1"/>
    </xf>
    <xf numFmtId="0" fontId="9" fillId="0" borderId="86" xfId="0" applyFont="1" applyBorder="1" applyAlignment="1">
      <alignment horizontal="right" vertical="top" wrapText="1" readingOrder="2"/>
    </xf>
    <xf numFmtId="0" fontId="9" fillId="0" borderId="87" xfId="0" applyFont="1" applyBorder="1" applyAlignment="1">
      <alignment horizontal="right" vertical="top" wrapText="1" readingOrder="2"/>
    </xf>
    <xf numFmtId="0" fontId="9" fillId="0" borderId="88" xfId="0" applyFont="1" applyBorder="1" applyAlignment="1">
      <alignment horizontal="right" vertical="top" wrapText="1" readingOrder="2"/>
    </xf>
    <xf numFmtId="0" fontId="9" fillId="0" borderId="89" xfId="0" applyFont="1" applyBorder="1" applyAlignment="1">
      <alignment horizontal="right" vertical="top" wrapText="1" readingOrder="2"/>
    </xf>
    <xf numFmtId="0" fontId="9" fillId="0" borderId="90" xfId="0" applyFont="1" applyBorder="1" applyAlignment="1">
      <alignment horizontal="right" vertical="top" wrapText="1" readingOrder="2"/>
    </xf>
    <xf numFmtId="0" fontId="55" fillId="0" borderId="86" xfId="0" applyFont="1" applyBorder="1" applyAlignment="1">
      <alignment horizontal="right" vertical="top" wrapText="1" readingOrder="2"/>
    </xf>
    <xf numFmtId="0" fontId="55" fillId="0" borderId="87" xfId="0" applyFont="1" applyBorder="1" applyAlignment="1">
      <alignment horizontal="right" vertical="top" wrapText="1" readingOrder="2"/>
    </xf>
    <xf numFmtId="0" fontId="55" fillId="0" borderId="88" xfId="0" applyFont="1" applyBorder="1" applyAlignment="1">
      <alignment horizontal="right" vertical="top" wrapText="1" readingOrder="2"/>
    </xf>
    <xf numFmtId="0" fontId="9" fillId="0" borderId="81" xfId="0" applyFont="1" applyBorder="1" applyAlignment="1">
      <alignment horizontal="center" vertical="top" wrapText="1" readingOrder="2"/>
    </xf>
    <xf numFmtId="0" fontId="9" fillId="0" borderId="84" xfId="0" applyFont="1" applyBorder="1" applyAlignment="1">
      <alignment horizontal="center" vertical="top" wrapText="1" readingOrder="2"/>
    </xf>
    <xf numFmtId="0" fontId="9" fillId="0" borderId="82" xfId="0" applyFont="1" applyBorder="1" applyAlignment="1">
      <alignment horizontal="center" vertical="top" wrapText="1" readingOrder="2"/>
    </xf>
    <xf numFmtId="0" fontId="9" fillId="0" borderId="83" xfId="0" applyFont="1" applyBorder="1" applyAlignment="1">
      <alignment horizontal="center" vertical="top" wrapText="1" readingOrder="2"/>
    </xf>
    <xf numFmtId="0" fontId="9" fillId="0" borderId="85" xfId="0" applyFont="1" applyBorder="1" applyAlignment="1">
      <alignment horizontal="center" vertical="top" wrapText="1" readingOrder="2"/>
    </xf>
    <xf numFmtId="0" fontId="9" fillId="0" borderId="81" xfId="0" applyFont="1" applyBorder="1" applyAlignment="1">
      <alignment horizontal="center" vertical="top" wrapText="1" readingOrder="1"/>
    </xf>
    <xf numFmtId="0" fontId="9" fillId="0" borderId="83" xfId="0" applyFont="1" applyBorder="1" applyAlignment="1">
      <alignment horizontal="right" vertical="top" wrapText="1" readingOrder="1"/>
    </xf>
    <xf numFmtId="0" fontId="9" fillId="0" borderId="84" xfId="0" applyFont="1" applyBorder="1" applyAlignment="1">
      <alignment horizontal="right" vertical="top" wrapText="1" readingOrder="1"/>
    </xf>
    <xf numFmtId="0" fontId="9" fillId="0" borderId="85" xfId="0" applyFont="1" applyBorder="1" applyAlignment="1">
      <alignment horizontal="right" vertical="top" wrapText="1" readingOrder="1"/>
    </xf>
    <xf numFmtId="0" fontId="9" fillId="0" borderId="22" xfId="0" applyFont="1" applyBorder="1" applyAlignment="1">
      <alignment horizontal="right" vertical="top" wrapText="1" readingOrder="1"/>
    </xf>
    <xf numFmtId="0" fontId="9" fillId="0" borderId="0" xfId="0" applyFont="1" applyAlignment="1">
      <alignment horizontal="right" vertical="top" wrapText="1" readingOrder="1"/>
    </xf>
    <xf numFmtId="0" fontId="9" fillId="0" borderId="45" xfId="0" applyFont="1" applyBorder="1" applyAlignment="1">
      <alignment horizontal="right" vertical="top" wrapText="1" readingOrder="1"/>
    </xf>
    <xf numFmtId="0" fontId="9" fillId="0" borderId="35" xfId="0" applyFont="1" applyBorder="1" applyAlignment="1">
      <alignment horizontal="right" vertical="top" wrapText="1" readingOrder="1"/>
    </xf>
    <xf numFmtId="0" fontId="9" fillId="0" borderId="52" xfId="0" applyFont="1" applyBorder="1" applyAlignment="1">
      <alignment horizontal="right" vertical="top" wrapText="1" readingOrder="1"/>
    </xf>
    <xf numFmtId="0" fontId="9" fillId="0" borderId="50" xfId="0" applyFont="1" applyBorder="1" applyAlignment="1">
      <alignment horizontal="right" vertical="top" wrapText="1" readingOrder="1"/>
    </xf>
    <xf numFmtId="0" fontId="9" fillId="0" borderId="22" xfId="0" applyFont="1" applyBorder="1" applyAlignment="1">
      <alignment horizontal="center" vertical="top" wrapText="1" readingOrder="2"/>
    </xf>
    <xf numFmtId="0" fontId="9" fillId="0" borderId="0" xfId="0" applyFont="1" applyAlignment="1">
      <alignment horizontal="center" vertical="top" wrapText="1" readingOrder="2"/>
    </xf>
    <xf numFmtId="0" fontId="9" fillId="0" borderId="45" xfId="0" applyFont="1" applyBorder="1" applyAlignment="1">
      <alignment horizontal="center" vertical="top" wrapText="1" readingOrder="2"/>
    </xf>
    <xf numFmtId="0" fontId="9" fillId="0" borderId="35" xfId="0" applyFont="1" applyBorder="1" applyAlignment="1">
      <alignment horizontal="center" vertical="top" wrapText="1" readingOrder="2"/>
    </xf>
    <xf numFmtId="0" fontId="9" fillId="0" borderId="52" xfId="0" applyFont="1" applyBorder="1" applyAlignment="1">
      <alignment horizontal="center" vertical="top" wrapText="1" readingOrder="2"/>
    </xf>
    <xf numFmtId="0" fontId="9" fillId="0" borderId="50" xfId="0" applyFont="1" applyBorder="1" applyAlignment="1">
      <alignment horizontal="center" vertical="top" wrapText="1" readingOrder="2"/>
    </xf>
    <xf numFmtId="0" fontId="9" fillId="0" borderId="36" xfId="0" applyFont="1" applyBorder="1" applyAlignment="1">
      <alignment horizontal="center" vertical="top" wrapText="1" readingOrder="1"/>
    </xf>
    <xf numFmtId="0" fontId="9" fillId="0" borderId="42" xfId="0" applyFont="1" applyBorder="1" applyAlignment="1">
      <alignment horizontal="center" vertical="top" wrapText="1" readingOrder="1"/>
    </xf>
    <xf numFmtId="0" fontId="19" fillId="0" borderId="26" xfId="0" applyFont="1" applyBorder="1" applyAlignment="1">
      <alignment horizontal="center" vertical="top" wrapText="1" readingOrder="2"/>
    </xf>
    <xf numFmtId="0" fontId="19" fillId="0" borderId="91" xfId="0" applyFont="1" applyBorder="1" applyAlignment="1">
      <alignment horizontal="center" vertical="top" wrapText="1" readingOrder="2"/>
    </xf>
    <xf numFmtId="0" fontId="56" fillId="0" borderId="83" xfId="0" applyFont="1" applyBorder="1" applyAlignment="1">
      <alignment horizontal="right" vertical="top" wrapText="1" readingOrder="2"/>
    </xf>
    <xf numFmtId="0" fontId="56" fillId="0" borderId="85" xfId="0" applyFont="1" applyBorder="1" applyAlignment="1">
      <alignment horizontal="right" vertical="top" wrapText="1" readingOrder="2"/>
    </xf>
    <xf numFmtId="0" fontId="0" fillId="0" borderId="46" xfId="0" applyBorder="1" applyAlignment="1">
      <alignment vertical="top" wrapText="1"/>
    </xf>
    <xf numFmtId="0" fontId="0" fillId="0" borderId="43" xfId="0" applyBorder="1" applyAlignment="1">
      <alignment vertical="top" wrapText="1"/>
    </xf>
    <xf numFmtId="0" fontId="9" fillId="0" borderId="22" xfId="0" applyFont="1" applyBorder="1" applyAlignment="1">
      <alignment horizontal="right" vertical="top" wrapText="1" readingOrder="2"/>
    </xf>
    <xf numFmtId="0" fontId="9" fillId="0" borderId="45" xfId="0" applyFont="1" applyBorder="1" applyAlignment="1">
      <alignment horizontal="right" vertical="top" wrapText="1" readingOrder="2"/>
    </xf>
    <xf numFmtId="0" fontId="19" fillId="0" borderId="22" xfId="0" applyFont="1" applyBorder="1" applyAlignment="1">
      <alignment horizontal="center" vertical="top" wrapText="1" readingOrder="2"/>
    </xf>
    <xf numFmtId="0" fontId="19" fillId="0" borderId="0" xfId="0" applyFont="1" applyAlignment="1">
      <alignment horizontal="center" vertical="top" wrapText="1" readingOrder="2"/>
    </xf>
    <xf numFmtId="0" fontId="19" fillId="0" borderId="42" xfId="0" applyFont="1" applyBorder="1" applyAlignment="1">
      <alignment horizontal="center" vertical="top" wrapText="1" readingOrder="2"/>
    </xf>
    <xf numFmtId="0" fontId="9" fillId="0" borderId="22" xfId="0" applyFont="1" applyBorder="1" applyAlignment="1">
      <alignment horizontal="center" vertical="top" wrapText="1" readingOrder="1"/>
    </xf>
    <xf numFmtId="0" fontId="9" fillId="0" borderId="35" xfId="0" applyFont="1" applyBorder="1" applyAlignment="1">
      <alignment horizontal="center" vertical="top" wrapText="1" readingOrder="1"/>
    </xf>
    <xf numFmtId="0" fontId="9" fillId="0" borderId="53" xfId="0" applyFont="1" applyBorder="1" applyAlignment="1">
      <alignment horizontal="center" vertical="top" wrapText="1" readingOrder="1"/>
    </xf>
    <xf numFmtId="0" fontId="55" fillId="0" borderId="92" xfId="0" applyFont="1" applyBorder="1" applyAlignment="1">
      <alignment horizontal="right" vertical="top" wrapText="1" readingOrder="1"/>
    </xf>
    <xf numFmtId="0" fontId="55" fillId="0" borderId="93" xfId="0" applyFont="1" applyBorder="1" applyAlignment="1">
      <alignment horizontal="right" vertical="top" wrapText="1" readingOrder="1"/>
    </xf>
    <xf numFmtId="0" fontId="9" fillId="0" borderId="28" xfId="0" applyFont="1" applyBorder="1" applyAlignment="1">
      <alignment horizontal="center" vertical="top" wrapText="1" readingOrder="1"/>
    </xf>
    <xf numFmtId="0" fontId="9" fillId="0" borderId="30" xfId="0" applyFont="1" applyBorder="1" applyAlignment="1">
      <alignment horizontal="center" vertical="top" wrapText="1" readingOrder="1"/>
    </xf>
    <xf numFmtId="0" fontId="9" fillId="0" borderId="28" xfId="0" applyFont="1" applyBorder="1" applyAlignment="1">
      <alignment horizontal="right" vertical="top" wrapText="1" readingOrder="2"/>
    </xf>
    <xf numFmtId="0" fontId="9" fillId="0" borderId="30" xfId="0" applyFont="1" applyBorder="1" applyAlignment="1">
      <alignment horizontal="right" vertical="top" wrapText="1" readingOrder="2"/>
    </xf>
    <xf numFmtId="0" fontId="19" fillId="0" borderId="35" xfId="0" applyFont="1" applyBorder="1" applyAlignment="1">
      <alignment horizontal="center" vertical="top" wrapText="1" readingOrder="2"/>
    </xf>
    <xf numFmtId="0" fontId="19" fillId="0" borderId="53" xfId="0" applyFont="1" applyBorder="1" applyAlignment="1">
      <alignment horizontal="center" vertical="top" wrapText="1" readingOrder="2"/>
    </xf>
    <xf numFmtId="0" fontId="19" fillId="0" borderId="26" xfId="0" applyFont="1" applyBorder="1" applyAlignment="1">
      <alignment horizontal="center" vertical="top" wrapText="1" readingOrder="1"/>
    </xf>
    <xf numFmtId="0" fontId="19" fillId="0" borderId="55" xfId="0" applyFont="1" applyBorder="1" applyAlignment="1">
      <alignment horizontal="center" vertical="top" wrapText="1" readingOrder="1"/>
    </xf>
    <xf numFmtId="0" fontId="19" fillId="0" borderId="55" xfId="0" applyFont="1" applyBorder="1" applyAlignment="1">
      <alignment horizontal="center" vertical="top" wrapText="1" readingOrder="2"/>
    </xf>
    <xf numFmtId="0" fontId="9" fillId="0" borderId="94" xfId="0" applyFont="1" applyBorder="1" applyAlignment="1">
      <alignment horizontal="right" wrapText="1" readingOrder="2"/>
    </xf>
    <xf numFmtId="0" fontId="9" fillId="0" borderId="37" xfId="0" applyFont="1" applyBorder="1" applyAlignment="1">
      <alignment horizontal="right" wrapText="1" readingOrder="2"/>
    </xf>
    <xf numFmtId="0" fontId="9" fillId="0" borderId="95" xfId="0" applyFont="1" applyBorder="1" applyAlignment="1">
      <alignment horizontal="right" wrapText="1" readingOrder="2"/>
    </xf>
    <xf numFmtId="0" fontId="19" fillId="0" borderId="96" xfId="0" applyFont="1" applyBorder="1" applyAlignment="1">
      <alignment horizontal="center" vertical="top" wrapText="1" readingOrder="1"/>
    </xf>
    <xf numFmtId="0" fontId="19" fillId="0" borderId="54" xfId="0" applyFont="1" applyBorder="1" applyAlignment="1">
      <alignment horizontal="center" vertical="top" wrapText="1" readingOrder="1"/>
    </xf>
    <xf numFmtId="0" fontId="19" fillId="0" borderId="54" xfId="0" applyFont="1" applyBorder="1" applyAlignment="1">
      <alignment horizontal="center" vertical="top" wrapText="1" readingOrder="2"/>
    </xf>
    <xf numFmtId="0" fontId="19" fillId="0" borderId="52" xfId="0" applyFont="1" applyBorder="1" applyAlignment="1">
      <alignment horizontal="center" vertical="top" wrapText="1" readingOrder="2"/>
    </xf>
    <xf numFmtId="0" fontId="19" fillId="0" borderId="50" xfId="0" applyFont="1" applyBorder="1" applyAlignment="1">
      <alignment horizontal="center" vertical="top" wrapText="1" readingOrder="2"/>
    </xf>
    <xf numFmtId="0" fontId="19" fillId="0" borderId="51" xfId="0" applyFont="1" applyBorder="1" applyAlignment="1">
      <alignment horizontal="center" vertical="top" wrapText="1" readingOrder="2"/>
    </xf>
    <xf numFmtId="0" fontId="9" fillId="0" borderId="41" xfId="0" applyFont="1" applyBorder="1" applyAlignment="1">
      <alignment horizontal="center" vertical="top" wrapText="1" readingOrder="1"/>
    </xf>
    <xf numFmtId="0" fontId="9" fillId="0" borderId="29" xfId="0" applyFont="1" applyBorder="1" applyAlignment="1">
      <alignment horizontal="center" vertical="top" wrapText="1" readingOrder="1"/>
    </xf>
    <xf numFmtId="0" fontId="52" fillId="0" borderId="96" xfId="0" applyFont="1" applyBorder="1" applyAlignment="1">
      <alignment horizontal="right" vertical="top" wrapText="1" readingOrder="1"/>
    </xf>
    <xf numFmtId="0" fontId="52" fillId="0" borderId="54" xfId="0" applyFont="1" applyBorder="1" applyAlignment="1">
      <alignment horizontal="right" vertical="top" wrapText="1" readingOrder="1"/>
    </xf>
    <xf numFmtId="0" fontId="52" fillId="0" borderId="91" xfId="0" applyFont="1" applyBorder="1" applyAlignment="1">
      <alignment horizontal="right" vertical="top" wrapText="1" readingOrder="1"/>
    </xf>
    <xf numFmtId="0" fontId="9" fillId="0" borderId="97" xfId="0" applyFont="1" applyBorder="1" applyAlignment="1">
      <alignment horizontal="right" vertical="top" wrapText="1" readingOrder="2"/>
    </xf>
    <xf numFmtId="0" fontId="9" fillId="0" borderId="98" xfId="0" applyFont="1" applyBorder="1" applyAlignment="1">
      <alignment horizontal="right" vertical="top" wrapText="1" readingOrder="2"/>
    </xf>
    <xf numFmtId="0" fontId="9" fillId="0" borderId="99" xfId="0" applyFont="1" applyBorder="1" applyAlignment="1">
      <alignment horizontal="right" vertical="top" wrapText="1" readingOrder="2"/>
    </xf>
    <xf numFmtId="0" fontId="9" fillId="0" borderId="36" xfId="0" applyFont="1" applyBorder="1" applyAlignment="1">
      <alignment horizontal="center" vertical="top" wrapText="1" readingOrder="2"/>
    </xf>
    <xf numFmtId="0" fontId="9" fillId="0" borderId="51" xfId="0" applyFont="1" applyBorder="1" applyAlignment="1">
      <alignment horizontal="center" vertical="top" wrapText="1" readingOrder="2"/>
    </xf>
    <xf numFmtId="0" fontId="9" fillId="0" borderId="0" xfId="0" applyFont="1" applyAlignment="1">
      <alignment horizontal="center" vertical="top" wrapText="1" readingOrder="1"/>
    </xf>
    <xf numFmtId="0" fontId="9" fillId="0" borderId="51" xfId="0" applyFont="1" applyBorder="1" applyAlignment="1">
      <alignment horizontal="center" vertical="top" wrapText="1" readingOrder="1"/>
    </xf>
    <xf numFmtId="0" fontId="9" fillId="0" borderId="52" xfId="0" applyFont="1" applyBorder="1" applyAlignment="1">
      <alignment horizontal="center" vertical="top" wrapText="1" readingOrder="1"/>
    </xf>
    <xf numFmtId="0" fontId="9" fillId="0" borderId="83" xfId="0" applyFont="1" applyBorder="1" applyAlignment="1">
      <alignment horizontal="right" vertical="top" wrapText="1" readingOrder="2"/>
    </xf>
    <xf numFmtId="0" fontId="9" fillId="0" borderId="84" xfId="0" applyFont="1" applyBorder="1" applyAlignment="1">
      <alignment horizontal="right" vertical="top" wrapText="1" readingOrder="2"/>
    </xf>
    <xf numFmtId="0" fontId="9" fillId="0" borderId="85" xfId="0" applyFont="1" applyBorder="1" applyAlignment="1">
      <alignment horizontal="right" vertical="top" wrapText="1" readingOrder="2"/>
    </xf>
    <xf numFmtId="0" fontId="9" fillId="0" borderId="35" xfId="0" applyFont="1" applyBorder="1" applyAlignment="1">
      <alignment horizontal="right" vertical="top" wrapText="1" readingOrder="2"/>
    </xf>
    <xf numFmtId="0" fontId="9" fillId="0" borderId="52" xfId="0" applyFont="1" applyBorder="1" applyAlignment="1">
      <alignment horizontal="right" vertical="top" wrapText="1" readingOrder="2"/>
    </xf>
    <xf numFmtId="0" fontId="9" fillId="0" borderId="50" xfId="0" applyFont="1" applyBorder="1" applyAlignment="1">
      <alignment horizontal="right" vertical="top" wrapText="1" readingOrder="2"/>
    </xf>
    <xf numFmtId="0" fontId="9" fillId="0" borderId="41" xfId="0" applyFont="1" applyBorder="1" applyAlignment="1">
      <alignment horizontal="center" wrapText="1" readingOrder="2"/>
    </xf>
    <xf numFmtId="0" fontId="9" fillId="0" borderId="29" xfId="0" applyFont="1" applyBorder="1" applyAlignment="1">
      <alignment horizontal="center" wrapText="1" readingOrder="2"/>
    </xf>
    <xf numFmtId="0" fontId="9" fillId="0" borderId="51" xfId="0" applyFont="1" applyBorder="1" applyAlignment="1">
      <alignment horizontal="center" wrapText="1" readingOrder="2"/>
    </xf>
    <xf numFmtId="0" fontId="9" fillId="0" borderId="52" xfId="0" applyFont="1" applyBorder="1" applyAlignment="1">
      <alignment horizontal="center" wrapText="1" readingOrder="2"/>
    </xf>
    <xf numFmtId="0" fontId="74" fillId="0" borderId="0" xfId="0" applyFont="1" applyAlignment="1" applyProtection="1">
      <alignment horizontal="center" vertical="center" readingOrder="2"/>
      <protection hidden="1"/>
    </xf>
  </cellXfs>
  <cellStyles count="5">
    <cellStyle name="Comma" xfId="1" builtinId="3"/>
    <cellStyle name="Comma_منابع و مصارف1" xfId="2" xr:uid="{00000000-0005-0000-0000-000001000000}"/>
    <cellStyle name="Normal" xfId="0" builtinId="0"/>
    <cellStyle name="Normal_منابع و مصارف1" xfId="3" xr:uid="{00000000-0005-0000-0000-000003000000}"/>
    <cellStyle name="Percent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EEEEE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BFFEB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DBDBD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3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استهلاک هزینه های سرمایه گذاری ثابت</a:t>
            </a:r>
          </a:p>
        </c:rich>
      </c:tx>
      <c:layout>
        <c:manualLayout>
          <c:xMode val="edge"/>
          <c:yMode val="edge"/>
          <c:x val="0.36235620847995198"/>
          <c:y val="1.3422928260882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99366359338963"/>
          <c:y val="0.14541418793298189"/>
          <c:w val="0.83098643502573011"/>
          <c:h val="0.79418518024936258"/>
        </c:manualLayout>
      </c:layout>
      <c:lineChart>
        <c:grouping val="standard"/>
        <c:varyColors val="0"/>
        <c:ser>
          <c:idx val="0"/>
          <c:order val="0"/>
          <c:tx>
            <c:v>سال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استهلاك!$C$18:$M$18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استهلاك!$C$30:$M$30</c:f>
              <c:numCache>
                <c:formatCode>#,##0</c:formatCode>
                <c:ptCount val="11"/>
                <c:pt idx="0">
                  <c:v>237606103.62035227</c:v>
                </c:pt>
                <c:pt idx="1">
                  <c:v>237606103.62035227</c:v>
                </c:pt>
                <c:pt idx="2">
                  <c:v>237606103.62035227</c:v>
                </c:pt>
                <c:pt idx="3">
                  <c:v>237606103.62035227</c:v>
                </c:pt>
                <c:pt idx="4">
                  <c:v>237606103.62035227</c:v>
                </c:pt>
                <c:pt idx="5">
                  <c:v>6215850.0000000009</c:v>
                </c:pt>
                <c:pt idx="6">
                  <c:v>6215850.0000000009</c:v>
                </c:pt>
                <c:pt idx="7">
                  <c:v>6215850.0000000009</c:v>
                </c:pt>
                <c:pt idx="8">
                  <c:v>6215850.0000000009</c:v>
                </c:pt>
                <c:pt idx="9">
                  <c:v>6215850.0000000009</c:v>
                </c:pt>
                <c:pt idx="10">
                  <c:v>5166000.0000000009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A3-4E16-9FFD-419D16350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576088"/>
        <c:axId val="1"/>
      </c:lineChart>
      <c:catAx>
        <c:axId val="282576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07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6.4019903323707791E-3"/>
              <c:y val="0.463088153368137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2576088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35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نمودار نسبتهای مالی</a:t>
            </a:r>
          </a:p>
        </c:rich>
      </c:tx>
      <c:layout>
        <c:manualLayout>
          <c:xMode val="edge"/>
          <c:yMode val="edge"/>
          <c:x val="0.40280204448128193"/>
          <c:y val="6.060538290701827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877408056042031"/>
          <c:y val="0.10545467028251691"/>
          <c:w val="0.78633975481611207"/>
          <c:h val="0.7030311352167794"/>
        </c:manualLayout>
      </c:layout>
      <c:lineChart>
        <c:grouping val="standard"/>
        <c:varyColors val="0"/>
        <c:ser>
          <c:idx val="0"/>
          <c:order val="0"/>
          <c:tx>
            <c:strRef>
              <c:f>'نسبتهای ایجادی'!$B$5</c:f>
              <c:strCache>
                <c:ptCount val="1"/>
                <c:pt idx="0">
                  <c:v> نسبت جاري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ایجادی'!$C$5:$M$5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01-4DAF-AFFB-896F80EED83F}"/>
            </c:ext>
          </c:extLst>
        </c:ser>
        <c:ser>
          <c:idx val="1"/>
          <c:order val="1"/>
          <c:tx>
            <c:strRef>
              <c:f>'نسبتهای ایجادی'!$B$7</c:f>
              <c:strCache>
                <c:ptCount val="1"/>
                <c:pt idx="0">
                  <c:v> نسبت آني 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ایجادی'!$C$7:$M$7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01-4DAF-AFFB-896F80EED83F}"/>
            </c:ext>
          </c:extLst>
        </c:ser>
        <c:ser>
          <c:idx val="2"/>
          <c:order val="2"/>
          <c:tx>
            <c:strRef>
              <c:f>'نسبتهای ایجادی'!$B$9</c:f>
              <c:strCache>
                <c:ptCount val="1"/>
                <c:pt idx="0">
                  <c:v> نسبت دارائيهاي جاري 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ایجادی'!$C$9:$M$9</c:f>
              <c:numCache>
                <c:formatCode>0.000</c:formatCode>
                <c:ptCount val="11"/>
                <c:pt idx="0">
                  <c:v>0.19850661972121678</c:v>
                </c:pt>
                <c:pt idx="1">
                  <c:v>0.54442547176815614</c:v>
                </c:pt>
                <c:pt idx="2">
                  <c:v>0.94453420626973494</c:v>
                </c:pt>
                <c:pt idx="3">
                  <c:v>1.251774520557533</c:v>
                </c:pt>
                <c:pt idx="4">
                  <c:v>1.8198420599884531</c:v>
                </c:pt>
                <c:pt idx="5">
                  <c:v>1.8786526331935611</c:v>
                </c:pt>
                <c:pt idx="6">
                  <c:v>1.9455170614229145</c:v>
                </c:pt>
                <c:pt idx="7">
                  <c:v>2.0222113650544307</c:v>
                </c:pt>
                <c:pt idx="8">
                  <c:v>2.1110751868260409</c:v>
                </c:pt>
                <c:pt idx="9">
                  <c:v>2.2152546418843997</c:v>
                </c:pt>
                <c:pt idx="10">
                  <c:v>2.3354425298048747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01-4DAF-AFFB-896F80EED83F}"/>
            </c:ext>
          </c:extLst>
        </c:ser>
        <c:ser>
          <c:idx val="3"/>
          <c:order val="3"/>
          <c:tx>
            <c:strRef>
              <c:f>'نسبتهای ایجادی'!$B$13</c:f>
              <c:strCache>
                <c:ptCount val="1"/>
                <c:pt idx="0">
                  <c:v> دوره گردش موجوديها  (روز)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ایجادی'!$C$13:$M$13</c:f>
              <c:numCache>
                <c:formatCode>0.000</c:formatCode>
                <c:ptCount val="11"/>
                <c:pt idx="0">
                  <c:v>1.664113783003226</c:v>
                </c:pt>
                <c:pt idx="1">
                  <c:v>3.328227566006452</c:v>
                </c:pt>
                <c:pt idx="2">
                  <c:v>3.328227566006452</c:v>
                </c:pt>
                <c:pt idx="3">
                  <c:v>3.328227566006452</c:v>
                </c:pt>
                <c:pt idx="4">
                  <c:v>3.328227566006452</c:v>
                </c:pt>
                <c:pt idx="5">
                  <c:v>24.800691501296825</c:v>
                </c:pt>
                <c:pt idx="6">
                  <c:v>24.800691501296825</c:v>
                </c:pt>
                <c:pt idx="7">
                  <c:v>24.800691501296825</c:v>
                </c:pt>
                <c:pt idx="8">
                  <c:v>24.800691501296825</c:v>
                </c:pt>
                <c:pt idx="9">
                  <c:v>24.800691501296825</c:v>
                </c:pt>
                <c:pt idx="10">
                  <c:v>25.548546244042807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01-4DAF-AFFB-896F80EED83F}"/>
            </c:ext>
          </c:extLst>
        </c:ser>
        <c:ser>
          <c:idx val="4"/>
          <c:order val="4"/>
          <c:tx>
            <c:strRef>
              <c:f>'نسبتهای ایجادی'!$B$15</c:f>
              <c:strCache>
                <c:ptCount val="1"/>
                <c:pt idx="0">
                  <c:v> دوره وصول مطالبات  (روز)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ایجادی'!$C$15:$M$15</c:f>
              <c:numCache>
                <c:formatCode>0.000</c:formatCode>
                <c:ptCount val="11"/>
                <c:pt idx="0">
                  <c:v>2.8651796310000002</c:v>
                </c:pt>
                <c:pt idx="1">
                  <c:v>3.8202395080000007</c:v>
                </c:pt>
                <c:pt idx="2">
                  <c:v>2.8651796310000002</c:v>
                </c:pt>
                <c:pt idx="3">
                  <c:v>2.0224797395294121</c:v>
                </c:pt>
                <c:pt idx="4">
                  <c:v>143258981.55000004</c:v>
                </c:pt>
                <c:pt idx="5">
                  <c:v>143258981.55000001</c:v>
                </c:pt>
                <c:pt idx="6">
                  <c:v>143258981.55000001</c:v>
                </c:pt>
                <c:pt idx="7">
                  <c:v>143258981.55000001</c:v>
                </c:pt>
                <c:pt idx="8">
                  <c:v>143258981.55000001</c:v>
                </c:pt>
                <c:pt idx="9">
                  <c:v>143258981.55000001</c:v>
                </c:pt>
                <c:pt idx="10">
                  <c:v>143258981.55000001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01-4DAF-AFFB-896F80EED83F}"/>
            </c:ext>
          </c:extLst>
        </c:ser>
        <c:ser>
          <c:idx val="5"/>
          <c:order val="5"/>
          <c:tx>
            <c:strRef>
              <c:f>'نسبتهای ایجادی'!$B$17</c:f>
              <c:strCache>
                <c:ptCount val="1"/>
                <c:pt idx="0">
                  <c:v>گردش سرمایه جاری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ایجادی'!$C$17:$M$17</c:f>
              <c:numCache>
                <c:formatCode>0.000</c:formatCode>
                <c:ptCount val="11"/>
                <c:pt idx="0">
                  <c:v>41.401588625325331</c:v>
                </c:pt>
                <c:pt idx="1">
                  <c:v>62.10238293798799</c:v>
                </c:pt>
                <c:pt idx="2">
                  <c:v>82.803177250650663</c:v>
                </c:pt>
                <c:pt idx="3">
                  <c:v>117.30450110508843</c:v>
                </c:pt>
                <c:pt idx="4">
                  <c:v>1.6560635450130131E-6</c:v>
                </c:pt>
                <c:pt idx="5">
                  <c:v>1.6560635450130133E-6</c:v>
                </c:pt>
                <c:pt idx="6">
                  <c:v>1.6560635450130133E-6</c:v>
                </c:pt>
                <c:pt idx="7">
                  <c:v>1.6560635450130133E-6</c:v>
                </c:pt>
                <c:pt idx="8">
                  <c:v>1.6560635450130133E-6</c:v>
                </c:pt>
                <c:pt idx="9">
                  <c:v>1.6560635450130133E-6</c:v>
                </c:pt>
                <c:pt idx="10">
                  <c:v>1.6560635450130133E-6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01-4DAF-AFFB-896F80EED83F}"/>
            </c:ext>
          </c:extLst>
        </c:ser>
        <c:ser>
          <c:idx val="6"/>
          <c:order val="6"/>
          <c:tx>
            <c:strRef>
              <c:f>'نسبتهای ایجادی'!$B$19</c:f>
              <c:strCache>
                <c:ptCount val="1"/>
                <c:pt idx="0">
                  <c:v> سود ناخالص به فروش (درصد)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ایجادی'!$C$19:$M$19</c:f>
              <c:numCache>
                <c:formatCode>0.000</c:formatCode>
                <c:ptCount val="11"/>
                <c:pt idx="0">
                  <c:v>10.914767959882578</c:v>
                </c:pt>
                <c:pt idx="1">
                  <c:v>40.609845306588383</c:v>
                </c:pt>
                <c:pt idx="2">
                  <c:v>55.457383979941291</c:v>
                </c:pt>
                <c:pt idx="3">
                  <c:v>68.558153397605608</c:v>
                </c:pt>
                <c:pt idx="4">
                  <c:v>-2227130701.0029359</c:v>
                </c:pt>
                <c:pt idx="5">
                  <c:v>-298878587.5</c:v>
                </c:pt>
                <c:pt idx="6">
                  <c:v>-298878587.5</c:v>
                </c:pt>
                <c:pt idx="7">
                  <c:v>-298878587.5</c:v>
                </c:pt>
                <c:pt idx="8">
                  <c:v>-298878587.5</c:v>
                </c:pt>
                <c:pt idx="9">
                  <c:v>-298878587.5</c:v>
                </c:pt>
                <c:pt idx="10">
                  <c:v>-290129837.5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A01-4DAF-AFFB-896F80EED83F}"/>
            </c:ext>
          </c:extLst>
        </c:ser>
        <c:ser>
          <c:idx val="7"/>
          <c:order val="7"/>
          <c:tx>
            <c:strRef>
              <c:f>'نسبتهای ایجادی'!$B$21</c:f>
              <c:strCache>
                <c:ptCount val="1"/>
                <c:pt idx="0">
                  <c:v> بازده فروش (درصد)  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ایجادی'!$C$21:$M$21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12.598341689882576</c:v>
                </c:pt>
                <c:pt idx="3">
                  <c:v>38.30471178109358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01-4DAF-AFFB-896F80EED83F}"/>
            </c:ext>
          </c:extLst>
        </c:ser>
        <c:ser>
          <c:idx val="8"/>
          <c:order val="8"/>
          <c:tx>
            <c:strRef>
              <c:f>'نسبتهای ایجادی'!$B$23</c:f>
              <c:strCache>
                <c:ptCount val="1"/>
                <c:pt idx="0">
                  <c:v> بازده دارئيها (درصد)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ایجادی'!$C$23:$M$23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6.0302354341736777</c:v>
                </c:pt>
                <c:pt idx="3">
                  <c:v>20.618612818200052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01-4DAF-AFFB-896F80EED83F}"/>
            </c:ext>
          </c:extLst>
        </c:ser>
        <c:ser>
          <c:idx val="9"/>
          <c:order val="9"/>
          <c:tx>
            <c:strRef>
              <c:f>'نسبتهای ایجادی'!$B$27</c:f>
              <c:strCache>
                <c:ptCount val="1"/>
                <c:pt idx="0">
                  <c:v> بازده حقوق صاحبان سهام ( درصد) </c:v>
                </c:pt>
              </c:strCache>
            </c:strRef>
          </c:tx>
          <c:spPr>
            <a:ln w="12700">
              <a:solidFill>
                <a:srgbClr val="CC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CCFFFF"/>
              </a:solidFill>
              <a:ln>
                <a:solidFill>
                  <a:srgbClr val="CCFF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ایجادی'!$C$27:$M$27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-35.450032107341592</c:v>
                </c:pt>
                <c:pt idx="3">
                  <c:v>289.77346829636332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01-4DAF-AFFB-896F80EED83F}"/>
            </c:ext>
          </c:extLst>
        </c:ser>
        <c:ser>
          <c:idx val="10"/>
          <c:order val="10"/>
          <c:tx>
            <c:strRef>
              <c:f>'نسبتهای ایجادی'!$B$29</c:f>
              <c:strCache>
                <c:ptCount val="1"/>
                <c:pt idx="0">
                  <c:v> نسبت مالكانه (درصد)</c:v>
                </c:pt>
              </c:strCache>
            </c:strRef>
          </c:tx>
          <c:spPr>
            <a:ln w="12700">
              <a:solidFill>
                <a:srgbClr val="EBFFEB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EBFFEB"/>
              </a:solidFill>
              <a:ln>
                <a:solidFill>
                  <a:srgbClr val="EBFFEB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ایجادی'!$C$29:$M$29</c:f>
              <c:numCache>
                <c:formatCode>0.000</c:formatCode>
                <c:ptCount val="11"/>
                <c:pt idx="0">
                  <c:v>-17.120782933561365</c:v>
                </c:pt>
                <c:pt idx="1">
                  <c:v>-24.519330579327093</c:v>
                </c:pt>
                <c:pt idx="2">
                  <c:v>-17.01052178433665</c:v>
                </c:pt>
                <c:pt idx="3">
                  <c:v>7.1154246589313495</c:v>
                </c:pt>
                <c:pt idx="4">
                  <c:v>-39.068048836666435</c:v>
                </c:pt>
                <c:pt idx="5">
                  <c:v>-47.980194379145424</c:v>
                </c:pt>
                <c:pt idx="6">
                  <c:v>-58.112819917691958</c:v>
                </c:pt>
                <c:pt idx="7">
                  <c:v>-69.735063317009434</c:v>
                </c:pt>
                <c:pt idx="8">
                  <c:v>-83.201473690658347</c:v>
                </c:pt>
                <c:pt idx="9">
                  <c:v>-98.988812861424947</c:v>
                </c:pt>
                <c:pt idx="10">
                  <c:v>-117.41481441801346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01-4DAF-AFFB-896F80EED83F}"/>
            </c:ext>
          </c:extLst>
        </c:ser>
        <c:ser>
          <c:idx val="11"/>
          <c:order val="11"/>
          <c:tx>
            <c:strRef>
              <c:f>'نسبتهای ایجادی'!$B$31</c:f>
              <c:strCache>
                <c:ptCount val="1"/>
                <c:pt idx="0">
                  <c:v> نسبت بدهي (درصد) </c:v>
                </c:pt>
              </c:strCache>
            </c:strRef>
          </c:tx>
          <c:spPr>
            <a:ln w="12700">
              <a:solidFill>
                <a:srgbClr val="FFFF99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99"/>
              </a:solidFill>
              <a:ln>
                <a:solidFill>
                  <a:srgbClr val="FFFF99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ایجادی'!$C$31:$M$31</c:f>
              <c:numCache>
                <c:formatCode>0.000</c:formatCode>
                <c:ptCount val="11"/>
                <c:pt idx="0">
                  <c:v>117.12078293356137</c:v>
                </c:pt>
                <c:pt idx="1">
                  <c:v>124.51933057932709</c:v>
                </c:pt>
                <c:pt idx="2">
                  <c:v>117.01052178433665</c:v>
                </c:pt>
                <c:pt idx="3">
                  <c:v>92.884575341068654</c:v>
                </c:pt>
                <c:pt idx="4">
                  <c:v>139.06804883666643</c:v>
                </c:pt>
                <c:pt idx="5">
                  <c:v>147.98019437914542</c:v>
                </c:pt>
                <c:pt idx="6">
                  <c:v>158.11281991769195</c:v>
                </c:pt>
                <c:pt idx="7">
                  <c:v>169.73506331700943</c:v>
                </c:pt>
                <c:pt idx="8">
                  <c:v>183.20147369065836</c:v>
                </c:pt>
                <c:pt idx="9">
                  <c:v>198.98881286142495</c:v>
                </c:pt>
                <c:pt idx="10">
                  <c:v>217.41481441801346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01-4DAF-AFFB-896F80EED83F}"/>
            </c:ext>
          </c:extLst>
        </c:ser>
        <c:ser>
          <c:idx val="12"/>
          <c:order val="12"/>
          <c:tx>
            <c:strRef>
              <c:f>'نسبتهای ایجادی'!$B$33</c:f>
              <c:strCache>
                <c:ptCount val="1"/>
                <c:pt idx="0">
                  <c:v> نسبت بدهي جاري (درصد) 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99CC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ایجادی'!$C$33:$M$33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01-4DAF-AFFB-896F80EED83F}"/>
            </c:ext>
          </c:extLst>
        </c:ser>
        <c:ser>
          <c:idx val="13"/>
          <c:order val="13"/>
          <c:tx>
            <c:strRef>
              <c:f>'نسبتهای ایجادی'!$B$11</c:f>
              <c:strCache>
                <c:ptCount val="1"/>
                <c:pt idx="0">
                  <c:v>نسبت گردش نقدی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FF99CC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ایجادی'!$C$11:$M$11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A01-4DAF-AFFB-896F80EED83F}"/>
            </c:ext>
          </c:extLst>
        </c:ser>
        <c:ser>
          <c:idx val="14"/>
          <c:order val="14"/>
          <c:tx>
            <c:strRef>
              <c:f>'نسبتهای ایجادی'!$B$25</c:f>
              <c:strCache>
                <c:ptCount val="1"/>
                <c:pt idx="0">
                  <c:v>شاخص سنجش سودمندی وام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ایجادی'!$C$25:$M$25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-5.8787144373243372</c:v>
                </c:pt>
                <c:pt idx="3">
                  <c:v>14.053974961913065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A01-4DAF-AFFB-896F80EED83F}"/>
            </c:ext>
          </c:extLst>
        </c:ser>
        <c:ser>
          <c:idx val="15"/>
          <c:order val="15"/>
          <c:tx>
            <c:strRef>
              <c:f>'نسبتهای ایجادی'!$B$35</c:f>
              <c:strCache>
                <c:ptCount val="1"/>
                <c:pt idx="0">
                  <c:v>نسبت دارائی ثابت به ارزش ویژه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FFCC99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ایجادی'!$C$35:$M$35</c:f>
              <c:numCache>
                <c:formatCode>0.000</c:formatCode>
                <c:ptCount val="11"/>
                <c:pt idx="0">
                  <c:v>-4.6814061213733362</c:v>
                </c:pt>
                <c:pt idx="1">
                  <c:v>-1.8580218850507735</c:v>
                </c:pt>
                <c:pt idx="2">
                  <c:v>-0.32606756237976309</c:v>
                </c:pt>
                <c:pt idx="3">
                  <c:v>-3.5384328079632361</c:v>
                </c:pt>
                <c:pt idx="4">
                  <c:v>2.0984975815301246</c:v>
                </c:pt>
                <c:pt idx="5">
                  <c:v>1.8312819373976261</c:v>
                </c:pt>
                <c:pt idx="6">
                  <c:v>1.6270369649280432</c:v>
                </c:pt>
                <c:pt idx="7">
                  <c:v>1.4658499131312868</c:v>
                </c:pt>
                <c:pt idx="8">
                  <c:v>1.3354032537416338</c:v>
                </c:pt>
                <c:pt idx="9">
                  <c:v>1.2276686695754622</c:v>
                </c:pt>
                <c:pt idx="10">
                  <c:v>1.1373714095825329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01-4DAF-AFFB-896F80EED83F}"/>
            </c:ext>
          </c:extLst>
        </c:ser>
        <c:ser>
          <c:idx val="16"/>
          <c:order val="16"/>
          <c:tx>
            <c:strRef>
              <c:f>'نسبتهای ایجادی'!$B$37</c:f>
              <c:strCache>
                <c:ptCount val="1"/>
                <c:pt idx="0">
                  <c:v>نسبت کل بدهی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3366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ایجادی'!$C$37:$M$37</c:f>
              <c:numCache>
                <c:formatCode>0.000</c:formatCode>
                <c:ptCount val="11"/>
                <c:pt idx="0">
                  <c:v>-5.8408543807872793</c:v>
                </c:pt>
                <c:pt idx="1">
                  <c:v>-4.0784147706019631</c:v>
                </c:pt>
                <c:pt idx="2">
                  <c:v>-5.8787144373243372</c:v>
                </c:pt>
                <c:pt idx="3">
                  <c:v>14.053974961913067</c:v>
                </c:pt>
                <c:pt idx="4">
                  <c:v>-2.5596364030892489</c:v>
                </c:pt>
                <c:pt idx="5">
                  <c:v>-2.0841933071339316</c:v>
                </c:pt>
                <c:pt idx="6">
                  <c:v>-1.720790698879092</c:v>
                </c:pt>
                <c:pt idx="7">
                  <c:v>-1.4339988413778131</c:v>
                </c:pt>
                <c:pt idx="8">
                  <c:v>-1.2019017880836849</c:v>
                </c:pt>
                <c:pt idx="9">
                  <c:v>-1.0102151658287946</c:v>
                </c:pt>
                <c:pt idx="10">
                  <c:v>-0.85168128481628935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A01-4DAF-AFFB-896F80EED83F}"/>
            </c:ext>
          </c:extLst>
        </c:ser>
        <c:ser>
          <c:idx val="17"/>
          <c:order val="17"/>
          <c:tx>
            <c:strRef>
              <c:f>'نسبتهای ایجادی'!$B$39</c:f>
              <c:strCache>
                <c:ptCount val="1"/>
                <c:pt idx="0">
                  <c:v>نسبت بدهی جاری به ارزش ویژه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ایجادی'!$C$39:$M$39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A01-4DAF-AFFB-896F80EED83F}"/>
            </c:ext>
          </c:extLst>
        </c:ser>
        <c:ser>
          <c:idx val="18"/>
          <c:order val="18"/>
          <c:tx>
            <c:strRef>
              <c:f>'نسبتهای ایجادی'!$B$41</c:f>
              <c:strCache>
                <c:ptCount val="1"/>
                <c:pt idx="0">
                  <c:v>نسبت بدهی بلند مدت به سرمایه در گردش</c:v>
                </c:pt>
              </c:strCache>
            </c:strRef>
          </c:tx>
          <c:spPr>
            <a:ln w="12700">
              <a:solidFill>
                <a:srgbClr val="99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ایجادی'!$C$41:$M$41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01-4DAF-AFFB-896F80EED83F}"/>
            </c:ext>
          </c:extLst>
        </c:ser>
        <c:ser>
          <c:idx val="19"/>
          <c:order val="19"/>
          <c:tx>
            <c:strRef>
              <c:f>'نسبتهای ایجادی'!$B$43</c:f>
              <c:strCache>
                <c:ptCount val="1"/>
                <c:pt idx="0">
                  <c:v>نسبت پوشش بهره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ایجادی'!$C$43:$M$43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A01-4DAF-AFFB-896F80EED83F}"/>
            </c:ext>
          </c:extLst>
        </c:ser>
        <c:ser>
          <c:idx val="20"/>
          <c:order val="20"/>
          <c:tx>
            <c:strRef>
              <c:f>'نسبتهای ایجادی'!$B$45</c:f>
              <c:strCache>
                <c:ptCount val="1"/>
                <c:pt idx="0">
                  <c:v>نسبت بار مالی وام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ایجادی'!$C$45:$M$45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A01-4DAF-AFFB-896F80EED83F}"/>
            </c:ext>
          </c:extLst>
        </c:ser>
        <c:ser>
          <c:idx val="21"/>
          <c:order val="21"/>
          <c:tx>
            <c:strRef>
              <c:f>'نسبتهای ایجادی'!$B$47</c:f>
              <c:strCache>
                <c:ptCount val="1"/>
                <c:pt idx="0">
                  <c:v>نسبت گردش نقدی به بدهی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ایجادی'!$C$47:$M$47</c:f>
              <c:numCache>
                <c:formatCode>0.000</c:formatCode>
                <c:ptCount val="11"/>
                <c:pt idx="0">
                  <c:v>0.19272055969621774</c:v>
                </c:pt>
                <c:pt idx="1">
                  <c:v>0.33337914178184963</c:v>
                </c:pt>
                <c:pt idx="2">
                  <c:v>0.43293887221280941</c:v>
                </c:pt>
                <c:pt idx="3">
                  <c:v>0.50199016521401374</c:v>
                </c:pt>
                <c:pt idx="4">
                  <c:v>-5.4331768315845796E-2</c:v>
                </c:pt>
                <c:pt idx="5">
                  <c:v>-5.7813607824356975E-2</c:v>
                </c:pt>
                <c:pt idx="6">
                  <c:v>-6.1772270276277297E-2</c:v>
                </c:pt>
                <c:pt idx="7">
                  <c:v>-6.6312903735683368E-2</c:v>
                </c:pt>
                <c:pt idx="8">
                  <c:v>-7.1574025140546935E-2</c:v>
                </c:pt>
                <c:pt idx="9">
                  <c:v>-7.7741898072719806E-2</c:v>
                </c:pt>
                <c:pt idx="10">
                  <c:v>-8.4940656205407652E-2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01-4DAF-AFFB-896F80EED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889216"/>
        <c:axId val="1"/>
      </c:lineChart>
      <c:catAx>
        <c:axId val="28288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220000" vert="horz"/>
          <a:lstStyle/>
          <a:p>
            <a:pPr>
              <a:defRPr sz="10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95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4.3783211309112672E-3"/>
              <c:y val="0.381818633617543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5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2889216"/>
        <c:crosses val="autoZero"/>
        <c:crossBetween val="between"/>
        <c:majorUnit val="769021824206222.63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2259151816549246E-2"/>
          <c:y val="0.8934630449300347"/>
          <c:w val="0.96672505410507903"/>
          <c:h val="9.20097532187175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35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210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5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میانگین نسبتهای مالی</a:t>
            </a:r>
          </a:p>
        </c:rich>
      </c:tx>
      <c:layout>
        <c:manualLayout>
          <c:xMode val="edge"/>
          <c:yMode val="edge"/>
          <c:x val="0.39979467551108122"/>
          <c:y val="7.587248923261446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94147296410955"/>
          <c:y val="0.14112291350531109"/>
          <c:w val="0.86228203600837661"/>
          <c:h val="0.5265553869499241"/>
        </c:manualLayout>
      </c:layout>
      <c:barChart>
        <c:barDir val="col"/>
        <c:grouping val="clustered"/>
        <c:varyColors val="0"/>
        <c:ser>
          <c:idx val="0"/>
          <c:order val="0"/>
          <c:tx>
            <c:v>نسبتها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0" i="0" u="none" strike="noStrike" baseline="0">
                    <a:solidFill>
                      <a:srgbClr val="333333"/>
                    </a:solidFill>
                    <a:latin typeface="B Lotus"/>
                    <a:ea typeface="B Lotus"/>
                    <a:cs typeface="B Lotu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'نسبتهای ایجادی'!$B$5:$B$47</c:f>
              <c:strCache>
                <c:ptCount val="22"/>
                <c:pt idx="0">
                  <c:v> نسبت جاري </c:v>
                </c:pt>
                <c:pt idx="1">
                  <c:v> نسبت آني </c:v>
                </c:pt>
                <c:pt idx="2">
                  <c:v> نسبت دارائيهاي جاري </c:v>
                </c:pt>
                <c:pt idx="3">
                  <c:v>نسبت گردش نقدی</c:v>
                </c:pt>
                <c:pt idx="4">
                  <c:v> دوره گردش موجوديها  (روز)</c:v>
                </c:pt>
                <c:pt idx="5">
                  <c:v> دوره وصول مطالبات  (روز)</c:v>
                </c:pt>
                <c:pt idx="6">
                  <c:v>گردش سرمایه جاری</c:v>
                </c:pt>
                <c:pt idx="7">
                  <c:v> سود ناخالص به فروش (درصد)</c:v>
                </c:pt>
                <c:pt idx="8">
                  <c:v> بازده فروش (درصد)  </c:v>
                </c:pt>
                <c:pt idx="9">
                  <c:v> بازده دارئيها (درصد)</c:v>
                </c:pt>
                <c:pt idx="10">
                  <c:v>شاخص سنجش سودمندی وام</c:v>
                </c:pt>
                <c:pt idx="11">
                  <c:v> بازده حقوق صاحبان سهام ( درصد) </c:v>
                </c:pt>
                <c:pt idx="12">
                  <c:v> نسبت مالكانه (درصد)</c:v>
                </c:pt>
                <c:pt idx="13">
                  <c:v> نسبت بدهي (درصد) </c:v>
                </c:pt>
                <c:pt idx="14">
                  <c:v> نسبت بدهي جاري (درصد) </c:v>
                </c:pt>
                <c:pt idx="15">
                  <c:v>نسبت دارائی ثابت به ارزش ویژه</c:v>
                </c:pt>
                <c:pt idx="16">
                  <c:v>نسبت کل بدهی</c:v>
                </c:pt>
                <c:pt idx="17">
                  <c:v>نسبت بدهی جاری به ارزش ویژه</c:v>
                </c:pt>
                <c:pt idx="18">
                  <c:v>نسبت بدهی بلند مدت به سرمایه در گردش</c:v>
                </c:pt>
                <c:pt idx="19">
                  <c:v>نسبت پوشش بهره</c:v>
                </c:pt>
                <c:pt idx="20">
                  <c:v>نسبت بار مالی وام</c:v>
                </c:pt>
                <c:pt idx="21">
                  <c:v>نسبت گردش نقدی به بدهی</c:v>
                </c:pt>
              </c:strCache>
            </c:strRef>
          </c:cat>
          <c:val>
            <c:numRef>
              <c:f>'نسبتهای ایجادی'!$N$5:$N$47</c:f>
              <c:numCache>
                <c:formatCode>0.000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1.5697487542264832</c:v>
                </c:pt>
                <c:pt idx="3">
                  <c:v>0</c:v>
                </c:pt>
                <c:pt idx="4">
                  <c:v>14.95718434523236</c:v>
                </c:pt>
                <c:pt idx="5">
                  <c:v>91164807.493007138</c:v>
                </c:pt>
                <c:pt idx="6">
                  <c:v>27.60106013740884</c:v>
                </c:pt>
                <c:pt idx="7">
                  <c:v>-364695754.5875259</c:v>
                </c:pt>
                <c:pt idx="8">
                  <c:v>25.451526735488077</c:v>
                </c:pt>
                <c:pt idx="9">
                  <c:v>13.324424126186866</c:v>
                </c:pt>
                <c:pt idx="10">
                  <c:v>0</c:v>
                </c:pt>
                <c:pt idx="11">
                  <c:v>127.16171809451086</c:v>
                </c:pt>
                <c:pt idx="12">
                  <c:v>-51.457858005354886</c:v>
                </c:pt>
                <c:pt idx="13">
                  <c:v>151.45785800535489</c:v>
                </c:pt>
                <c:pt idx="14">
                  <c:v>0</c:v>
                </c:pt>
                <c:pt idx="15">
                  <c:v>2.9016486647236439E-2</c:v>
                </c:pt>
                <c:pt idx="16">
                  <c:v>-1.1460387378190333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8.9685600848550248E-2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52-4A91-8311-C3A01995A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192536"/>
        <c:axId val="1"/>
      </c:barChart>
      <c:catAx>
        <c:axId val="283192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22000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25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درصد</a:t>
                </a:r>
              </a:p>
            </c:rich>
          </c:tx>
          <c:layout>
            <c:manualLayout>
              <c:xMode val="edge"/>
              <c:yMode val="edge"/>
              <c:x val="5.1387345891753229E-3"/>
              <c:y val="0.350531087174933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3192536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75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درصد فروش در نقطه سربسر</a:t>
            </a:r>
          </a:p>
        </c:rich>
      </c:tx>
      <c:layout>
        <c:manualLayout>
          <c:xMode val="edge"/>
          <c:yMode val="edge"/>
          <c:x val="0.37406508000803534"/>
          <c:y val="9.7465214108510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6640324628081"/>
          <c:y val="9.7466072478969601E-2"/>
          <c:w val="0.85660900033181231"/>
          <c:h val="0.74659011518890717"/>
        </c:manualLayout>
      </c:layout>
      <c:lineChart>
        <c:grouping val="standard"/>
        <c:varyColors val="0"/>
        <c:ser>
          <c:idx val="0"/>
          <c:order val="0"/>
          <c:tx>
            <c:strRef>
              <c:f>'شاخص هاي اقتصادي'!$B$3</c:f>
              <c:strCache>
                <c:ptCount val="1"/>
                <c:pt idx="0">
                  <c:v>درصد فروش در نقطه سربسر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'شاخص هاي اقتصادي'!$C$2:$M$2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'شاخص هاي اقتصادي'!$C$3:$M$3</c:f>
              <c:numCache>
                <c:formatCode>0%</c:formatCode>
                <c:ptCount val="11"/>
                <c:pt idx="0">
                  <c:v>1.779925662280482</c:v>
                </c:pt>
                <c:pt idx="1">
                  <c:v>1.1699895534515268</c:v>
                </c:pt>
                <c:pt idx="2">
                  <c:v>0.87138697976732971</c:v>
                </c:pt>
                <c:pt idx="3">
                  <c:v>0.61134365026786497</c:v>
                </c:pt>
                <c:pt idx="4">
                  <c:v>-41.747899816586973</c:v>
                </c:pt>
                <c:pt idx="5">
                  <c:v>-4.1778619368415919</c:v>
                </c:pt>
                <c:pt idx="6">
                  <c:v>-4.1778619368415919</c:v>
                </c:pt>
                <c:pt idx="7">
                  <c:v>-4.1778619368415919</c:v>
                </c:pt>
                <c:pt idx="8">
                  <c:v>-4.1778619368415919</c:v>
                </c:pt>
                <c:pt idx="9">
                  <c:v>-4.1778619368415919</c:v>
                </c:pt>
                <c:pt idx="10">
                  <c:v>-4.0922821654026214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B99-451E-9C2F-2BBA9BDD7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887576"/>
        <c:axId val="1"/>
      </c:lineChart>
      <c:catAx>
        <c:axId val="282887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40000" vert="horz"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6.2344026319169328E-3"/>
              <c:y val="0.39181369452106157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2887576"/>
        <c:crosses val="autoZero"/>
        <c:crossBetween val="between"/>
        <c:maj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635937916794278"/>
          <c:y val="0.94347165508421049"/>
          <c:w val="0.15461352776323289"/>
          <c:h val="3.118911505924770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35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نمودار جریان نقدینگی</a:t>
            </a:r>
          </a:p>
        </c:rich>
      </c:tx>
      <c:layout>
        <c:manualLayout>
          <c:xMode val="edge"/>
          <c:yMode val="edge"/>
          <c:x val="0.41132643286058085"/>
          <c:y val="1.23455839413716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840536512667661"/>
          <c:y val="0.16049421415464446"/>
          <c:w val="0.75409836065573765"/>
          <c:h val="0.72839681808646339"/>
        </c:manualLayout>
      </c:layout>
      <c:lineChart>
        <c:grouping val="standard"/>
        <c:varyColors val="0"/>
        <c:ser>
          <c:idx val="0"/>
          <c:order val="0"/>
          <c:tx>
            <c:strRef>
              <c:f>'جریان نقدینگی'!$A$20</c:f>
              <c:strCache>
                <c:ptCount val="1"/>
                <c:pt idx="0">
                  <c:v>مازاد (کمبود) نقدینگی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'جریان نقدینگی'!$C$2:$N$2</c:f>
              <c:strCache>
                <c:ptCount val="12"/>
                <c:pt idx="0">
                  <c:v>سال جاری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  <c:pt idx="11">
                  <c:v>ارزش اسقاط</c:v>
                </c:pt>
              </c:strCache>
            </c:strRef>
          </c:cat>
          <c:val>
            <c:numRef>
              <c:f>'جریان نقدینگی'!$C$20:$N$20</c:f>
              <c:numCache>
                <c:formatCode>#,##0</c:formatCode>
                <c:ptCount val="12"/>
                <c:pt idx="0">
                  <c:v>241351144.40702483</c:v>
                </c:pt>
                <c:pt idx="1">
                  <c:v>392696407.38</c:v>
                </c:pt>
                <c:pt idx="2">
                  <c:v>542696407.38</c:v>
                </c:pt>
                <c:pt idx="3">
                  <c:v>792696407.38</c:v>
                </c:pt>
                <c:pt idx="4">
                  <c:v>-57303580.619999997</c:v>
                </c:pt>
                <c:pt idx="5">
                  <c:v>-57303580.619999997</c:v>
                </c:pt>
                <c:pt idx="6">
                  <c:v>-57303580.619999997</c:v>
                </c:pt>
                <c:pt idx="7">
                  <c:v>-57303580.619999997</c:v>
                </c:pt>
                <c:pt idx="8">
                  <c:v>-57303580.619999997</c:v>
                </c:pt>
                <c:pt idx="9">
                  <c:v>-57303580.619999997</c:v>
                </c:pt>
                <c:pt idx="10">
                  <c:v>-57303580.619999997</c:v>
                </c:pt>
                <c:pt idx="11">
                  <c:v>137916640.90019572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2-4FF0-8EAA-1E431DA9F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667712"/>
        <c:axId val="1"/>
      </c:lineChart>
      <c:catAx>
        <c:axId val="28266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220000" vert="horz"/>
          <a:lstStyle/>
          <a:p>
            <a:pPr>
              <a:defRPr sz="97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7.451575971401201E-3"/>
              <c:y val="0.444445385647087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2667712"/>
        <c:crosses val="autoZero"/>
        <c:crossBetween val="between"/>
        <c:majorUnit val="12584754.413714437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387485688917962"/>
          <c:y val="0.90123686861880659"/>
          <c:w val="0.21609539163687624"/>
          <c:h val="8.14816240879425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20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25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نمودار تامین سرمایه گذاری طرح</a:t>
            </a:r>
          </a:p>
        </c:rich>
      </c:tx>
      <c:layout>
        <c:manualLayout>
          <c:xMode val="edge"/>
          <c:yMode val="edge"/>
          <c:x val="0.38702725884754602"/>
          <c:y val="9.6898067382295769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4"/>
      <c:depthPercent val="100"/>
      <c:rAngAx val="0"/>
    </c:view3D>
    <c:floor>
      <c:thickness val="0"/>
      <c:spPr>
        <a:solidFill>
          <a:srgbClr val="EEEEEE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CDCDCD" mc:Ignorable="a14" a14:legacySpreadsheetColorIndex="22">
                <a:gamma/>
                <a:shade val="86275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EEEEEE" mc:Ignorable="a14" a14:legacySpreadsheetColorIndex="22"/>
            </a:gs>
          </a:gsLst>
          <a:lin ang="18900000" scaled="1"/>
        </a:gradFill>
        <a:ln w="12700">
          <a:solidFill>
            <a:srgbClr val="80808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CDCDCD" mc:Ignorable="a14" a14:legacySpreadsheetColorIndex="22">
                <a:gamma/>
                <a:shade val="86275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EEEEEE" mc:Ignorable="a14" a14:legacySpreadsheetColorIndex="22"/>
            </a:gs>
          </a:gsLst>
          <a:lin ang="18900000" scaled="1"/>
        </a:gra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162167526482013"/>
          <c:y val="8.7209467374991245E-2"/>
          <c:w val="0.86810856635798472"/>
          <c:h val="0.68023384552493171"/>
        </c:manualLayout>
      </c:layout>
      <c:bar3DChart>
        <c:barDir val="col"/>
        <c:grouping val="standard"/>
        <c:varyColors val="0"/>
        <c:ser>
          <c:idx val="0"/>
          <c:order val="0"/>
          <c:tx>
            <c:v>سهم صندوق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'منابع تامين سرمايه گذاري'!$B$4:$B$14</c:f>
              <c:strCache>
                <c:ptCount val="11"/>
                <c:pt idx="0">
                  <c:v>زمين </c:v>
                </c:pt>
                <c:pt idx="1">
                  <c:v>محوطه سازي</c:v>
                </c:pt>
                <c:pt idx="2">
                  <c:v>ساختمان توليدي و اداري</c:v>
                </c:pt>
                <c:pt idx="3">
                  <c:v>تاسيسات و تجهيزات عمومي</c:v>
                </c:pt>
                <c:pt idx="4">
                  <c:v>ماشين آلات و تجهيزات </c:v>
                </c:pt>
                <c:pt idx="5">
                  <c:v>اثاثيه و تجهيزات اداري</c:v>
                </c:pt>
                <c:pt idx="6">
                  <c:v>وسائط نقليه</c:v>
                </c:pt>
                <c:pt idx="7">
                  <c:v>ساير هزينه هاي بخش ثابت</c:v>
                </c:pt>
                <c:pt idx="8">
                  <c:v>هزينه‌هاي پيش‌بيني‌نشده‌</c:v>
                </c:pt>
                <c:pt idx="9">
                  <c:v>هزينه هاي قبل از بهره برداري</c:v>
                </c:pt>
                <c:pt idx="10">
                  <c:v>سرمايه در گردش</c:v>
                </c:pt>
              </c:strCache>
            </c:strRef>
          </c:cat>
          <c:val>
            <c:numRef>
              <c:f>'منابع تامين سرمايه گذاري'!$G$4:$G$14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1345262.9729751665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2-42D3-A756-269D2A834090}"/>
            </c:ext>
          </c:extLst>
        </c:ser>
        <c:ser>
          <c:idx val="1"/>
          <c:order val="1"/>
          <c:tx>
            <c:v>سهم متقاضی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'منابع تامين سرمايه گذاري'!$B$4:$B$14</c:f>
              <c:strCache>
                <c:ptCount val="11"/>
                <c:pt idx="0">
                  <c:v>زمين </c:v>
                </c:pt>
                <c:pt idx="1">
                  <c:v>محوطه سازي</c:v>
                </c:pt>
                <c:pt idx="2">
                  <c:v>ساختمان توليدي و اداري</c:v>
                </c:pt>
                <c:pt idx="3">
                  <c:v>تاسيسات و تجهيزات عمومي</c:v>
                </c:pt>
                <c:pt idx="4">
                  <c:v>ماشين آلات و تجهيزات </c:v>
                </c:pt>
                <c:pt idx="5">
                  <c:v>اثاثيه و تجهيزات اداري</c:v>
                </c:pt>
                <c:pt idx="6">
                  <c:v>وسائط نقليه</c:v>
                </c:pt>
                <c:pt idx="7">
                  <c:v>ساير هزينه هاي بخش ثابت</c:v>
                </c:pt>
                <c:pt idx="8">
                  <c:v>هزينه‌هاي پيش‌بيني‌نشده‌</c:v>
                </c:pt>
                <c:pt idx="9">
                  <c:v>هزينه هاي قبل از بهره برداري</c:v>
                </c:pt>
                <c:pt idx="10">
                  <c:v>سرمايه در گردش</c:v>
                </c:pt>
              </c:strCache>
            </c:strRef>
          </c:cat>
          <c:val>
            <c:numRef>
              <c:f>'منابع تامين سرمايه گذاري'!$E$4:$E$14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25000000</c:v>
                </c:pt>
                <c:pt idx="3">
                  <c:v>0</c:v>
                </c:pt>
                <c:pt idx="4">
                  <c:v>0</c:v>
                </c:pt>
                <c:pt idx="5">
                  <c:v>2100000</c:v>
                </c:pt>
                <c:pt idx="6">
                  <c:v>0</c:v>
                </c:pt>
                <c:pt idx="7">
                  <c:v>91200000</c:v>
                </c:pt>
                <c:pt idx="8">
                  <c:v>4665000</c:v>
                </c:pt>
                <c:pt idx="9">
                  <c:v>1275001409.0019569</c:v>
                </c:pt>
                <c:pt idx="10">
                  <c:v>5900835.7870248333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2-42D3-A756-269D2A834090}"/>
            </c:ext>
          </c:extLst>
        </c:ser>
        <c:ser>
          <c:idx val="2"/>
          <c:order val="2"/>
          <c:tx>
            <c:v>جمع مورد نیاز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'منابع تامين سرمايه گذاري'!$B$4:$B$14</c:f>
              <c:strCache>
                <c:ptCount val="11"/>
                <c:pt idx="0">
                  <c:v>زمين </c:v>
                </c:pt>
                <c:pt idx="1">
                  <c:v>محوطه سازي</c:v>
                </c:pt>
                <c:pt idx="2">
                  <c:v>ساختمان توليدي و اداري</c:v>
                </c:pt>
                <c:pt idx="3">
                  <c:v>تاسيسات و تجهيزات عمومي</c:v>
                </c:pt>
                <c:pt idx="4">
                  <c:v>ماشين آلات و تجهيزات </c:v>
                </c:pt>
                <c:pt idx="5">
                  <c:v>اثاثيه و تجهيزات اداري</c:v>
                </c:pt>
                <c:pt idx="6">
                  <c:v>وسائط نقليه</c:v>
                </c:pt>
                <c:pt idx="7">
                  <c:v>ساير هزينه هاي بخش ثابت</c:v>
                </c:pt>
                <c:pt idx="8">
                  <c:v>هزينه‌هاي پيش‌بيني‌نشده‌</c:v>
                </c:pt>
                <c:pt idx="9">
                  <c:v>هزينه هاي قبل از بهره برداري</c:v>
                </c:pt>
                <c:pt idx="10">
                  <c:v>سرمايه در گردش</c:v>
                </c:pt>
              </c:strCache>
            </c:strRef>
          </c:cat>
          <c:val>
            <c:numRef>
              <c:f>'منابع تامين سرمايه گذاري'!$H$4:$H$14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25000000</c:v>
                </c:pt>
                <c:pt idx="3">
                  <c:v>0</c:v>
                </c:pt>
                <c:pt idx="4">
                  <c:v>0</c:v>
                </c:pt>
                <c:pt idx="5">
                  <c:v>2100000</c:v>
                </c:pt>
                <c:pt idx="6">
                  <c:v>0</c:v>
                </c:pt>
                <c:pt idx="7">
                  <c:v>91200000</c:v>
                </c:pt>
                <c:pt idx="8">
                  <c:v>4665000</c:v>
                </c:pt>
                <c:pt idx="9">
                  <c:v>1275001409.0019569</c:v>
                </c:pt>
                <c:pt idx="10">
                  <c:v>7246098.7599999998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2-42D3-A756-269D2A834090}"/>
            </c:ext>
          </c:extLst>
        </c:ser>
        <c:ser>
          <c:idx val="3"/>
          <c:order val="3"/>
          <c:tx>
            <c:v>کل سرمایه گذاری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'منابع تامين سرمايه گذاري'!$B$4:$B$14</c:f>
              <c:strCache>
                <c:ptCount val="11"/>
                <c:pt idx="0">
                  <c:v>زمين </c:v>
                </c:pt>
                <c:pt idx="1">
                  <c:v>محوطه سازي</c:v>
                </c:pt>
                <c:pt idx="2">
                  <c:v>ساختمان توليدي و اداري</c:v>
                </c:pt>
                <c:pt idx="3">
                  <c:v>تاسيسات و تجهيزات عمومي</c:v>
                </c:pt>
                <c:pt idx="4">
                  <c:v>ماشين آلات و تجهيزات </c:v>
                </c:pt>
                <c:pt idx="5">
                  <c:v>اثاثيه و تجهيزات اداري</c:v>
                </c:pt>
                <c:pt idx="6">
                  <c:v>وسائط نقليه</c:v>
                </c:pt>
                <c:pt idx="7">
                  <c:v>ساير هزينه هاي بخش ثابت</c:v>
                </c:pt>
                <c:pt idx="8">
                  <c:v>هزينه‌هاي پيش‌بيني‌نشده‌</c:v>
                </c:pt>
                <c:pt idx="9">
                  <c:v>هزينه هاي قبل از بهره برداري</c:v>
                </c:pt>
                <c:pt idx="10">
                  <c:v>سرمايه در گردش</c:v>
                </c:pt>
              </c:strCache>
            </c:strRef>
          </c:cat>
          <c:val>
            <c:numRef>
              <c:f>'منابع تامين سرمايه گذاري'!$I$4:$I$14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82000000</c:v>
                </c:pt>
                <c:pt idx="3">
                  <c:v>0</c:v>
                </c:pt>
                <c:pt idx="4">
                  <c:v>0</c:v>
                </c:pt>
                <c:pt idx="5">
                  <c:v>10500000</c:v>
                </c:pt>
                <c:pt idx="6">
                  <c:v>7000000</c:v>
                </c:pt>
                <c:pt idx="7">
                  <c:v>91680000</c:v>
                </c:pt>
                <c:pt idx="8">
                  <c:v>4665000</c:v>
                </c:pt>
                <c:pt idx="9">
                  <c:v>1275001409.0019569</c:v>
                </c:pt>
                <c:pt idx="10">
                  <c:v>7246098.7599999998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A2-42D3-A756-269D2A834090}"/>
            </c:ext>
          </c:extLst>
        </c:ser>
        <c:ser>
          <c:idx val="4"/>
          <c:order val="4"/>
          <c:tx>
            <c:v>انجام شده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'منابع تامين سرمايه گذاري'!$B$4:$B$14</c:f>
              <c:strCache>
                <c:ptCount val="11"/>
                <c:pt idx="0">
                  <c:v>زمين </c:v>
                </c:pt>
                <c:pt idx="1">
                  <c:v>محوطه سازي</c:v>
                </c:pt>
                <c:pt idx="2">
                  <c:v>ساختمان توليدي و اداري</c:v>
                </c:pt>
                <c:pt idx="3">
                  <c:v>تاسيسات و تجهيزات عمومي</c:v>
                </c:pt>
                <c:pt idx="4">
                  <c:v>ماشين آلات و تجهيزات </c:v>
                </c:pt>
                <c:pt idx="5">
                  <c:v>اثاثيه و تجهيزات اداري</c:v>
                </c:pt>
                <c:pt idx="6">
                  <c:v>وسائط نقليه</c:v>
                </c:pt>
                <c:pt idx="7">
                  <c:v>ساير هزينه هاي بخش ثابت</c:v>
                </c:pt>
                <c:pt idx="8">
                  <c:v>هزينه‌هاي پيش‌بيني‌نشده‌</c:v>
                </c:pt>
                <c:pt idx="9">
                  <c:v>هزينه هاي قبل از بهره برداري</c:v>
                </c:pt>
                <c:pt idx="10">
                  <c:v>سرمايه در گردش</c:v>
                </c:pt>
              </c:strCache>
            </c:strRef>
          </c:cat>
          <c:val>
            <c:numRef>
              <c:f>'منابع تامين سرمايه گذاري'!$C$4:$C$14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57000000</c:v>
                </c:pt>
                <c:pt idx="3">
                  <c:v>0</c:v>
                </c:pt>
                <c:pt idx="4">
                  <c:v>0</c:v>
                </c:pt>
                <c:pt idx="5">
                  <c:v>8400000</c:v>
                </c:pt>
                <c:pt idx="6">
                  <c:v>7000000</c:v>
                </c:pt>
                <c:pt idx="7">
                  <c:v>480000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A2-42D3-A756-269D2A834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3431792"/>
        <c:axId val="1"/>
        <c:axId val="2"/>
      </c:bar3DChart>
      <c:catAx>
        <c:axId val="28343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10000"/>
                    </a:solidFill>
                    <a:latin typeface="B Lotus"/>
                    <a:ea typeface="B Lotus"/>
                    <a:cs typeface="B Lotus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0.13189199389292025"/>
              <c:y val="0.3042641226732886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B Roya"/>
                <a:ea typeface="B Roya"/>
                <a:cs typeface="B Roya"/>
              </a:defRPr>
            </a:pPr>
            <a:endParaRPr lang="en-US"/>
          </a:p>
        </c:txPr>
        <c:crossAx val="283431792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108154781305933"/>
          <c:y val="0.34302397829013886"/>
          <c:w val="0.13081090353901836"/>
          <c:h val="0.21317868200606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0" scaled="1"/>
    </a:gradFill>
    <a:ln w="3175">
      <a:solidFill>
        <a:srgbClr val="000000"/>
      </a:solidFill>
      <a:prstDash val="solid"/>
    </a:ln>
  </c:spPr>
  <c:txPr>
    <a:bodyPr/>
    <a:lstStyle/>
    <a:p>
      <a:pPr>
        <a:defRPr sz="185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0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هزینه های ثابت</a:t>
            </a:r>
          </a:p>
        </c:rich>
      </c:tx>
      <c:layout>
        <c:manualLayout>
          <c:xMode val="edge"/>
          <c:yMode val="edge"/>
          <c:x val="0.43842935141128747"/>
          <c:y val="6.8400136423625016E-3"/>
        </c:manualLayout>
      </c:layout>
      <c:overlay val="0"/>
      <c:spPr>
        <a:noFill/>
        <a:ln w="25400">
          <a:noFill/>
        </a:ln>
      </c:spPr>
    </c:title>
    <c:autoTitleDeleted val="0"/>
    <c:view3D>
      <c:rotX val="14"/>
      <c:hPercent val="100"/>
      <c:rotY val="12"/>
      <c:depthPercent val="100"/>
      <c:rAngAx val="0"/>
    </c:view3D>
    <c:floor>
      <c:thickness val="0"/>
      <c:spPr>
        <a:solidFill>
          <a:srgbClr val="EEEEEE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7324900192513635E-2"/>
          <c:y val="6.7031463748290013E-2"/>
          <c:w val="0.80573331937255277"/>
          <c:h val="0.66347469220246236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'هزينه هاي ثابت و متغير'!$J$2:$J$3</c:f>
              <c:strCache>
                <c:ptCount val="2"/>
                <c:pt idx="0">
                  <c:v>سال بهره برداری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متغير'!$J$4:$J$17</c:f>
              <c:numCache>
                <c:formatCode>#,##0</c:formatCode>
                <c:ptCount val="14"/>
                <c:pt idx="0">
                  <c:v>0</c:v>
                </c:pt>
                <c:pt idx="1">
                  <c:v>3519600</c:v>
                </c:pt>
                <c:pt idx="2">
                  <c:v>10558800</c:v>
                </c:pt>
                <c:pt idx="3">
                  <c:v>0</c:v>
                </c:pt>
                <c:pt idx="4">
                  <c:v>780900</c:v>
                </c:pt>
                <c:pt idx="5">
                  <c:v>237606103.62035227</c:v>
                </c:pt>
                <c:pt idx="6">
                  <c:v>1175070</c:v>
                </c:pt>
                <c:pt idx="7">
                  <c:v>1347708.75</c:v>
                </c:pt>
                <c:pt idx="8">
                  <c:v>27654000</c:v>
                </c:pt>
                <c:pt idx="9">
                  <c:v>7.1999999999999995E-2</c:v>
                </c:pt>
                <c:pt idx="10">
                  <c:v>229500253.62035227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A-4203-B75E-108BC838DE21}"/>
            </c:ext>
          </c:extLst>
        </c:ser>
        <c:ser>
          <c:idx val="1"/>
          <c:order val="1"/>
          <c:tx>
            <c:strRef>
              <c:f>'هزينه هاي ثابت و متغير'!$K$2:$K$3</c:f>
              <c:strCache>
                <c:ptCount val="2"/>
                <c:pt idx="0">
                  <c:v>سال اول 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متغير'!$K$4:$K$17</c:f>
              <c:numCache>
                <c:formatCode>#,##0</c:formatCode>
                <c:ptCount val="14"/>
                <c:pt idx="0">
                  <c:v>0</c:v>
                </c:pt>
                <c:pt idx="1">
                  <c:v>3519600</c:v>
                </c:pt>
                <c:pt idx="2">
                  <c:v>10558800</c:v>
                </c:pt>
                <c:pt idx="3">
                  <c:v>0</c:v>
                </c:pt>
                <c:pt idx="4">
                  <c:v>780900</c:v>
                </c:pt>
                <c:pt idx="5">
                  <c:v>237606103.62035227</c:v>
                </c:pt>
                <c:pt idx="6">
                  <c:v>1175070</c:v>
                </c:pt>
                <c:pt idx="7">
                  <c:v>1347708.75</c:v>
                </c:pt>
                <c:pt idx="8">
                  <c:v>27654000</c:v>
                </c:pt>
                <c:pt idx="9">
                  <c:v>7.1999999999999995E-2</c:v>
                </c:pt>
                <c:pt idx="10">
                  <c:v>229500253.62035227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1A-4203-B75E-108BC838DE21}"/>
            </c:ext>
          </c:extLst>
        </c:ser>
        <c:ser>
          <c:idx val="2"/>
          <c:order val="2"/>
          <c:tx>
            <c:strRef>
              <c:f>'هزينه هاي ثابت و متغير'!$L$2:$L$3</c:f>
              <c:strCache>
                <c:ptCount val="2"/>
                <c:pt idx="0">
                  <c:v>سال دوم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متغير'!$L$4:$L$17</c:f>
              <c:numCache>
                <c:formatCode>#,##0</c:formatCode>
                <c:ptCount val="14"/>
                <c:pt idx="0">
                  <c:v>0</c:v>
                </c:pt>
                <c:pt idx="1">
                  <c:v>3519600</c:v>
                </c:pt>
                <c:pt idx="2">
                  <c:v>10558800</c:v>
                </c:pt>
                <c:pt idx="3">
                  <c:v>0</c:v>
                </c:pt>
                <c:pt idx="4">
                  <c:v>780900</c:v>
                </c:pt>
                <c:pt idx="5">
                  <c:v>237606103.62035227</c:v>
                </c:pt>
                <c:pt idx="6">
                  <c:v>1175070</c:v>
                </c:pt>
                <c:pt idx="7">
                  <c:v>1347708.75</c:v>
                </c:pt>
                <c:pt idx="8">
                  <c:v>27654000</c:v>
                </c:pt>
                <c:pt idx="9">
                  <c:v>7.1999999999999995E-2</c:v>
                </c:pt>
                <c:pt idx="10">
                  <c:v>229500253.62035227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1A-4203-B75E-108BC838DE21}"/>
            </c:ext>
          </c:extLst>
        </c:ser>
        <c:ser>
          <c:idx val="3"/>
          <c:order val="3"/>
          <c:tx>
            <c:strRef>
              <c:f>'هزينه هاي ثابت و متغير'!$M$2:$M$3</c:f>
              <c:strCache>
                <c:ptCount val="2"/>
                <c:pt idx="0">
                  <c:v>سال سوم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متغير'!$M$4:$M$17</c:f>
              <c:numCache>
                <c:formatCode>#,##0</c:formatCode>
                <c:ptCount val="14"/>
                <c:pt idx="0">
                  <c:v>0</c:v>
                </c:pt>
                <c:pt idx="1">
                  <c:v>3519600</c:v>
                </c:pt>
                <c:pt idx="2">
                  <c:v>10558800</c:v>
                </c:pt>
                <c:pt idx="3">
                  <c:v>0</c:v>
                </c:pt>
                <c:pt idx="4">
                  <c:v>780900</c:v>
                </c:pt>
                <c:pt idx="5">
                  <c:v>237606103.62035227</c:v>
                </c:pt>
                <c:pt idx="6">
                  <c:v>1175070</c:v>
                </c:pt>
                <c:pt idx="7">
                  <c:v>1347708.75</c:v>
                </c:pt>
                <c:pt idx="8">
                  <c:v>27654000</c:v>
                </c:pt>
                <c:pt idx="9">
                  <c:v>7.1999999999999995E-2</c:v>
                </c:pt>
                <c:pt idx="10">
                  <c:v>229500253.62035227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1A-4203-B75E-108BC838DE21}"/>
            </c:ext>
          </c:extLst>
        </c:ser>
        <c:ser>
          <c:idx val="4"/>
          <c:order val="4"/>
          <c:tx>
            <c:strRef>
              <c:f>'هزينه هاي ثابت و متغير'!$N$2:$N$3</c:f>
              <c:strCache>
                <c:ptCount val="2"/>
                <c:pt idx="0">
                  <c:v>سال چهارم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متغير'!$N$4:$N$17</c:f>
              <c:numCache>
                <c:formatCode>#,##0</c:formatCode>
                <c:ptCount val="14"/>
                <c:pt idx="0">
                  <c:v>0</c:v>
                </c:pt>
                <c:pt idx="1">
                  <c:v>3519600</c:v>
                </c:pt>
                <c:pt idx="2">
                  <c:v>10558800</c:v>
                </c:pt>
                <c:pt idx="3">
                  <c:v>0</c:v>
                </c:pt>
                <c:pt idx="4">
                  <c:v>780900</c:v>
                </c:pt>
                <c:pt idx="5">
                  <c:v>237606103.62035227</c:v>
                </c:pt>
                <c:pt idx="6">
                  <c:v>1175070</c:v>
                </c:pt>
                <c:pt idx="7">
                  <c:v>1347708.75</c:v>
                </c:pt>
                <c:pt idx="8">
                  <c:v>27654000</c:v>
                </c:pt>
                <c:pt idx="9">
                  <c:v>7.1999999999999995E-2</c:v>
                </c:pt>
                <c:pt idx="10">
                  <c:v>229500253.62035227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1A-4203-B75E-108BC838DE21}"/>
            </c:ext>
          </c:extLst>
        </c:ser>
        <c:ser>
          <c:idx val="5"/>
          <c:order val="5"/>
          <c:tx>
            <c:strRef>
              <c:f>'هزينه هاي ثابت و متغير'!$O$2:$O$3</c:f>
              <c:strCache>
                <c:ptCount val="2"/>
                <c:pt idx="0">
                  <c:v>سال پنجم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متغير'!$O$4:$O$17</c:f>
              <c:numCache>
                <c:formatCode>#,##0</c:formatCode>
                <c:ptCount val="14"/>
                <c:pt idx="0">
                  <c:v>0</c:v>
                </c:pt>
                <c:pt idx="1">
                  <c:v>3519600</c:v>
                </c:pt>
                <c:pt idx="2">
                  <c:v>10558800</c:v>
                </c:pt>
                <c:pt idx="3">
                  <c:v>0</c:v>
                </c:pt>
                <c:pt idx="4">
                  <c:v>780900</c:v>
                </c:pt>
                <c:pt idx="5">
                  <c:v>6215850.0000000009</c:v>
                </c:pt>
                <c:pt idx="6">
                  <c:v>1175070</c:v>
                </c:pt>
                <c:pt idx="7">
                  <c:v>1347708.75</c:v>
                </c:pt>
                <c:pt idx="8">
                  <c:v>27654000</c:v>
                </c:pt>
                <c:pt idx="9">
                  <c:v>7.1999999999999995E-2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1A-4203-B75E-108BC838DE21}"/>
            </c:ext>
          </c:extLst>
        </c:ser>
        <c:ser>
          <c:idx val="6"/>
          <c:order val="6"/>
          <c:tx>
            <c:strRef>
              <c:f>'هزينه هاي ثابت و متغير'!$P$2:$P$3</c:f>
              <c:strCache>
                <c:ptCount val="2"/>
                <c:pt idx="0">
                  <c:v>سال ششم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متغير'!$P$4:$P$17</c:f>
              <c:numCache>
                <c:formatCode>#,##0</c:formatCode>
                <c:ptCount val="14"/>
                <c:pt idx="0">
                  <c:v>0</c:v>
                </c:pt>
                <c:pt idx="1">
                  <c:v>3519600</c:v>
                </c:pt>
                <c:pt idx="2">
                  <c:v>10558800</c:v>
                </c:pt>
                <c:pt idx="3">
                  <c:v>0</c:v>
                </c:pt>
                <c:pt idx="4">
                  <c:v>780900</c:v>
                </c:pt>
                <c:pt idx="5">
                  <c:v>6215850.0000000009</c:v>
                </c:pt>
                <c:pt idx="6">
                  <c:v>1175070</c:v>
                </c:pt>
                <c:pt idx="7">
                  <c:v>1347708.75</c:v>
                </c:pt>
                <c:pt idx="8">
                  <c:v>27654000</c:v>
                </c:pt>
                <c:pt idx="9">
                  <c:v>7.1999999999999995E-2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1A-4203-B75E-108BC838DE21}"/>
            </c:ext>
          </c:extLst>
        </c:ser>
        <c:ser>
          <c:idx val="7"/>
          <c:order val="7"/>
          <c:tx>
            <c:strRef>
              <c:f>'هزينه هاي ثابت و متغير'!$Q$2:$Q$3</c:f>
              <c:strCache>
                <c:ptCount val="2"/>
                <c:pt idx="0">
                  <c:v>سال هفتم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متغير'!$Q$4:$Q$17</c:f>
              <c:numCache>
                <c:formatCode>#,##0</c:formatCode>
                <c:ptCount val="14"/>
                <c:pt idx="0">
                  <c:v>0</c:v>
                </c:pt>
                <c:pt idx="1">
                  <c:v>3519600</c:v>
                </c:pt>
                <c:pt idx="2">
                  <c:v>10558800</c:v>
                </c:pt>
                <c:pt idx="3">
                  <c:v>0</c:v>
                </c:pt>
                <c:pt idx="4">
                  <c:v>780900</c:v>
                </c:pt>
                <c:pt idx="5">
                  <c:v>6215850.0000000009</c:v>
                </c:pt>
                <c:pt idx="6">
                  <c:v>1175070</c:v>
                </c:pt>
                <c:pt idx="7">
                  <c:v>1347708.75</c:v>
                </c:pt>
                <c:pt idx="8">
                  <c:v>27654000</c:v>
                </c:pt>
                <c:pt idx="9">
                  <c:v>7.1999999999999995E-2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B1A-4203-B75E-108BC838DE21}"/>
            </c:ext>
          </c:extLst>
        </c:ser>
        <c:ser>
          <c:idx val="8"/>
          <c:order val="8"/>
          <c:tx>
            <c:strRef>
              <c:f>'هزينه هاي ثابت و متغير'!$R$2:$R$3</c:f>
              <c:strCache>
                <c:ptCount val="2"/>
                <c:pt idx="0">
                  <c:v>سال هشتم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متغير'!$R$4:$R$17</c:f>
              <c:numCache>
                <c:formatCode>#,##0</c:formatCode>
                <c:ptCount val="14"/>
                <c:pt idx="0">
                  <c:v>0</c:v>
                </c:pt>
                <c:pt idx="1">
                  <c:v>3519600</c:v>
                </c:pt>
                <c:pt idx="2">
                  <c:v>10558800</c:v>
                </c:pt>
                <c:pt idx="3">
                  <c:v>0</c:v>
                </c:pt>
                <c:pt idx="4">
                  <c:v>780900</c:v>
                </c:pt>
                <c:pt idx="5">
                  <c:v>6215850.0000000009</c:v>
                </c:pt>
                <c:pt idx="6">
                  <c:v>1175070</c:v>
                </c:pt>
                <c:pt idx="7">
                  <c:v>1347708.75</c:v>
                </c:pt>
                <c:pt idx="8">
                  <c:v>27654000</c:v>
                </c:pt>
                <c:pt idx="9">
                  <c:v>7.1999999999999995E-2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1A-4203-B75E-108BC838DE21}"/>
            </c:ext>
          </c:extLst>
        </c:ser>
        <c:ser>
          <c:idx val="9"/>
          <c:order val="9"/>
          <c:tx>
            <c:strRef>
              <c:f>'هزينه هاي ثابت و متغير'!$S$2:$S$3</c:f>
              <c:strCache>
                <c:ptCount val="2"/>
                <c:pt idx="0">
                  <c:v>سال نهم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'هزينه هاي ثابت و متغير'!$S$4:$S$17</c:f>
              <c:numCache>
                <c:formatCode>#,##0</c:formatCode>
                <c:ptCount val="14"/>
                <c:pt idx="0">
                  <c:v>0</c:v>
                </c:pt>
                <c:pt idx="1">
                  <c:v>3519600</c:v>
                </c:pt>
                <c:pt idx="2">
                  <c:v>10558800</c:v>
                </c:pt>
                <c:pt idx="3">
                  <c:v>0</c:v>
                </c:pt>
                <c:pt idx="4">
                  <c:v>780900</c:v>
                </c:pt>
                <c:pt idx="5">
                  <c:v>6215850.0000000009</c:v>
                </c:pt>
                <c:pt idx="6">
                  <c:v>1175070</c:v>
                </c:pt>
                <c:pt idx="7">
                  <c:v>1347708.75</c:v>
                </c:pt>
                <c:pt idx="8">
                  <c:v>27654000</c:v>
                </c:pt>
                <c:pt idx="9">
                  <c:v>7.1999999999999995E-2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B1A-4203-B75E-108BC838DE21}"/>
            </c:ext>
          </c:extLst>
        </c:ser>
        <c:ser>
          <c:idx val="10"/>
          <c:order val="10"/>
          <c:tx>
            <c:strRef>
              <c:f>'هزينه هاي ثابت و متغير'!$T$2:$T$3</c:f>
              <c:strCache>
                <c:ptCount val="2"/>
                <c:pt idx="0">
                  <c:v>سال دهم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'هزينه هاي ثابت و متغير'!$T$4:$T$17</c:f>
              <c:numCache>
                <c:formatCode>#,##0</c:formatCode>
                <c:ptCount val="14"/>
                <c:pt idx="0">
                  <c:v>0</c:v>
                </c:pt>
                <c:pt idx="1">
                  <c:v>3519600</c:v>
                </c:pt>
                <c:pt idx="2">
                  <c:v>10558800</c:v>
                </c:pt>
                <c:pt idx="3">
                  <c:v>0</c:v>
                </c:pt>
                <c:pt idx="4">
                  <c:v>780900</c:v>
                </c:pt>
                <c:pt idx="5">
                  <c:v>5166000.0000000009</c:v>
                </c:pt>
                <c:pt idx="6">
                  <c:v>1175070</c:v>
                </c:pt>
                <c:pt idx="7">
                  <c:v>1347708.75</c:v>
                </c:pt>
                <c:pt idx="8">
                  <c:v>27654000</c:v>
                </c:pt>
                <c:pt idx="9">
                  <c:v>7.1999999999999995E-2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B1A-4203-B75E-108BC838D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3504544"/>
        <c:axId val="1"/>
        <c:axId val="2"/>
      </c:bar3DChart>
      <c:catAx>
        <c:axId val="28350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282000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0.10828032057490139"/>
              <c:y val="0.3898769221643904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3504544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low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39792552668885"/>
          <c:y val="0.47606017468155465"/>
          <c:w val="9.2356786952433101E-2"/>
          <c:h val="0.29822159941871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95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0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هزینه های متغیر</a:t>
            </a:r>
          </a:p>
        </c:rich>
      </c:tx>
      <c:layout>
        <c:manualLayout>
          <c:xMode val="edge"/>
          <c:yMode val="edge"/>
          <c:x val="0.43418294103611377"/>
          <c:y val="6.8400136423625016E-3"/>
        </c:manualLayout>
      </c:layout>
      <c:overlay val="0"/>
      <c:spPr>
        <a:noFill/>
        <a:ln w="25400">
          <a:noFill/>
        </a:ln>
      </c:spPr>
    </c:title>
    <c:autoTitleDeleted val="0"/>
    <c:view3D>
      <c:rotX val="14"/>
      <c:hPercent val="100"/>
      <c:rotY val="12"/>
      <c:depthPercent val="100"/>
      <c:rAngAx val="0"/>
    </c:view3D>
    <c:floor>
      <c:thickness val="0"/>
      <c:spPr>
        <a:solidFill>
          <a:srgbClr val="EEEEEE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2017039063577186E-2"/>
          <c:y val="6.7031463748290013E-2"/>
          <c:w val="0.81953375830778752"/>
          <c:h val="0.65253077975376195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'هزينه هاي ثابت و متغير'!$J$2:$J$3</c:f>
              <c:strCache>
                <c:ptCount val="2"/>
                <c:pt idx="0">
                  <c:v>سال بهره برداری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متغير'!$W$4:$W$17</c:f>
              <c:numCache>
                <c:formatCode>#,##0</c:formatCode>
                <c:ptCount val="14"/>
                <c:pt idx="0">
                  <c:v>0</c:v>
                </c:pt>
                <c:pt idx="1">
                  <c:v>1508400.0000000002</c:v>
                </c:pt>
                <c:pt idx="2">
                  <c:v>4525200.0000000009</c:v>
                </c:pt>
                <c:pt idx="3">
                  <c:v>0</c:v>
                </c:pt>
                <c:pt idx="4">
                  <c:v>3123600</c:v>
                </c:pt>
                <c:pt idx="5">
                  <c:v>0</c:v>
                </c:pt>
                <c:pt idx="6">
                  <c:v>1762605</c:v>
                </c:pt>
                <c:pt idx="7">
                  <c:v>1347708.75</c:v>
                </c:pt>
                <c:pt idx="8">
                  <c:v>0</c:v>
                </c:pt>
                <c:pt idx="9">
                  <c:v>4.8000000000000001E-2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5-4F48-B2E0-D6EE8FFA29B9}"/>
            </c:ext>
          </c:extLst>
        </c:ser>
        <c:ser>
          <c:idx val="1"/>
          <c:order val="1"/>
          <c:tx>
            <c:strRef>
              <c:f>'هزينه هاي ثابت و متغير'!$K$2:$K$3</c:f>
              <c:strCache>
                <c:ptCount val="2"/>
                <c:pt idx="0">
                  <c:v>سال اول 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متغير'!$X$4:$X$17</c:f>
              <c:numCache>
                <c:formatCode>#,##0</c:formatCode>
                <c:ptCount val="14"/>
                <c:pt idx="0">
                  <c:v>0</c:v>
                </c:pt>
                <c:pt idx="1">
                  <c:v>1508400.0000000002</c:v>
                </c:pt>
                <c:pt idx="2">
                  <c:v>4525200.0000000009</c:v>
                </c:pt>
                <c:pt idx="3">
                  <c:v>0</c:v>
                </c:pt>
                <c:pt idx="4">
                  <c:v>3123600</c:v>
                </c:pt>
                <c:pt idx="5">
                  <c:v>0</c:v>
                </c:pt>
                <c:pt idx="6">
                  <c:v>1762605</c:v>
                </c:pt>
                <c:pt idx="7">
                  <c:v>1347708.75</c:v>
                </c:pt>
                <c:pt idx="8">
                  <c:v>0</c:v>
                </c:pt>
                <c:pt idx="9">
                  <c:v>4.8000000000000001E-2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5-4F48-B2E0-D6EE8FFA29B9}"/>
            </c:ext>
          </c:extLst>
        </c:ser>
        <c:ser>
          <c:idx val="2"/>
          <c:order val="2"/>
          <c:tx>
            <c:strRef>
              <c:f>'هزينه هاي ثابت و متغير'!$L$2:$L$3</c:f>
              <c:strCache>
                <c:ptCount val="2"/>
                <c:pt idx="0">
                  <c:v>سال دوم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متغير'!$Y$4:$Y$17</c:f>
              <c:numCache>
                <c:formatCode>#,##0</c:formatCode>
                <c:ptCount val="14"/>
                <c:pt idx="0">
                  <c:v>0</c:v>
                </c:pt>
                <c:pt idx="1">
                  <c:v>1508400.0000000002</c:v>
                </c:pt>
                <c:pt idx="2">
                  <c:v>4525200.0000000009</c:v>
                </c:pt>
                <c:pt idx="3">
                  <c:v>0</c:v>
                </c:pt>
                <c:pt idx="4">
                  <c:v>3123600</c:v>
                </c:pt>
                <c:pt idx="5">
                  <c:v>0</c:v>
                </c:pt>
                <c:pt idx="6">
                  <c:v>1762605</c:v>
                </c:pt>
                <c:pt idx="7">
                  <c:v>1347708.75</c:v>
                </c:pt>
                <c:pt idx="8">
                  <c:v>0</c:v>
                </c:pt>
                <c:pt idx="9">
                  <c:v>4.8000000000000001E-2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55-4F48-B2E0-D6EE8FFA29B9}"/>
            </c:ext>
          </c:extLst>
        </c:ser>
        <c:ser>
          <c:idx val="3"/>
          <c:order val="3"/>
          <c:tx>
            <c:strRef>
              <c:f>'هزينه هاي ثابت و متغير'!$M$2:$M$3</c:f>
              <c:strCache>
                <c:ptCount val="2"/>
                <c:pt idx="0">
                  <c:v>سال سوم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متغير'!$Z$4:$Z$17</c:f>
              <c:numCache>
                <c:formatCode>#,##0</c:formatCode>
                <c:ptCount val="14"/>
                <c:pt idx="0">
                  <c:v>0</c:v>
                </c:pt>
                <c:pt idx="1">
                  <c:v>1508400.0000000002</c:v>
                </c:pt>
                <c:pt idx="2">
                  <c:v>4525200.0000000009</c:v>
                </c:pt>
                <c:pt idx="3">
                  <c:v>0</c:v>
                </c:pt>
                <c:pt idx="4">
                  <c:v>3123600</c:v>
                </c:pt>
                <c:pt idx="5">
                  <c:v>0</c:v>
                </c:pt>
                <c:pt idx="6">
                  <c:v>1762605</c:v>
                </c:pt>
                <c:pt idx="7">
                  <c:v>1347708.75</c:v>
                </c:pt>
                <c:pt idx="8">
                  <c:v>0</c:v>
                </c:pt>
                <c:pt idx="9">
                  <c:v>4.8000000000000001E-2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55-4F48-B2E0-D6EE8FFA29B9}"/>
            </c:ext>
          </c:extLst>
        </c:ser>
        <c:ser>
          <c:idx val="4"/>
          <c:order val="4"/>
          <c:tx>
            <c:strRef>
              <c:f>'هزينه هاي ثابت و متغير'!$N$2:$N$3</c:f>
              <c:strCache>
                <c:ptCount val="2"/>
                <c:pt idx="0">
                  <c:v>سال چهارم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متغير'!$AA$4:$AA$17</c:f>
              <c:numCache>
                <c:formatCode>#,##0</c:formatCode>
                <c:ptCount val="14"/>
                <c:pt idx="0">
                  <c:v>0</c:v>
                </c:pt>
                <c:pt idx="1">
                  <c:v>1508400.0000000002</c:v>
                </c:pt>
                <c:pt idx="2">
                  <c:v>4525200.0000000009</c:v>
                </c:pt>
                <c:pt idx="3">
                  <c:v>0</c:v>
                </c:pt>
                <c:pt idx="4">
                  <c:v>3123600</c:v>
                </c:pt>
                <c:pt idx="5">
                  <c:v>0</c:v>
                </c:pt>
                <c:pt idx="6">
                  <c:v>1762605</c:v>
                </c:pt>
                <c:pt idx="7">
                  <c:v>1347708.75</c:v>
                </c:pt>
                <c:pt idx="8">
                  <c:v>0</c:v>
                </c:pt>
                <c:pt idx="9">
                  <c:v>4.8000000000000001E-2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55-4F48-B2E0-D6EE8FFA29B9}"/>
            </c:ext>
          </c:extLst>
        </c:ser>
        <c:ser>
          <c:idx val="5"/>
          <c:order val="5"/>
          <c:tx>
            <c:strRef>
              <c:f>'هزينه هاي ثابت و متغير'!$O$2:$O$3</c:f>
              <c:strCache>
                <c:ptCount val="2"/>
                <c:pt idx="0">
                  <c:v>سال پنجم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متغير'!$AB$4:$AB$17</c:f>
              <c:numCache>
                <c:formatCode>#,##0</c:formatCode>
                <c:ptCount val="14"/>
                <c:pt idx="0">
                  <c:v>0</c:v>
                </c:pt>
                <c:pt idx="1">
                  <c:v>1508400.0000000002</c:v>
                </c:pt>
                <c:pt idx="2">
                  <c:v>4525200.0000000009</c:v>
                </c:pt>
                <c:pt idx="3">
                  <c:v>0</c:v>
                </c:pt>
                <c:pt idx="4">
                  <c:v>3123600</c:v>
                </c:pt>
                <c:pt idx="5">
                  <c:v>0</c:v>
                </c:pt>
                <c:pt idx="6">
                  <c:v>1762605</c:v>
                </c:pt>
                <c:pt idx="7">
                  <c:v>1347708.75</c:v>
                </c:pt>
                <c:pt idx="8">
                  <c:v>0</c:v>
                </c:pt>
                <c:pt idx="9">
                  <c:v>4.8000000000000001E-2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55-4F48-B2E0-D6EE8FFA29B9}"/>
            </c:ext>
          </c:extLst>
        </c:ser>
        <c:ser>
          <c:idx val="6"/>
          <c:order val="6"/>
          <c:tx>
            <c:strRef>
              <c:f>'هزينه هاي ثابت و متغير'!$P$2:$P$3</c:f>
              <c:strCache>
                <c:ptCount val="2"/>
                <c:pt idx="0">
                  <c:v>سال ششم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متغير'!$AC$4:$AC$17</c:f>
              <c:numCache>
                <c:formatCode>#,##0</c:formatCode>
                <c:ptCount val="14"/>
                <c:pt idx="0">
                  <c:v>0</c:v>
                </c:pt>
                <c:pt idx="1">
                  <c:v>1508400.0000000002</c:v>
                </c:pt>
                <c:pt idx="2">
                  <c:v>4525200.0000000009</c:v>
                </c:pt>
                <c:pt idx="3">
                  <c:v>0</c:v>
                </c:pt>
                <c:pt idx="4">
                  <c:v>3123600</c:v>
                </c:pt>
                <c:pt idx="5">
                  <c:v>0</c:v>
                </c:pt>
                <c:pt idx="6">
                  <c:v>1762605</c:v>
                </c:pt>
                <c:pt idx="7">
                  <c:v>1347708.75</c:v>
                </c:pt>
                <c:pt idx="8">
                  <c:v>0</c:v>
                </c:pt>
                <c:pt idx="9">
                  <c:v>4.8000000000000001E-2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55-4F48-B2E0-D6EE8FFA29B9}"/>
            </c:ext>
          </c:extLst>
        </c:ser>
        <c:ser>
          <c:idx val="7"/>
          <c:order val="7"/>
          <c:tx>
            <c:strRef>
              <c:f>'هزينه هاي ثابت و متغير'!$Q$2:$Q$3</c:f>
              <c:strCache>
                <c:ptCount val="2"/>
                <c:pt idx="0">
                  <c:v>سال هفتم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متغير'!$AD$4:$AD$17</c:f>
              <c:numCache>
                <c:formatCode>#,##0</c:formatCode>
                <c:ptCount val="14"/>
                <c:pt idx="0">
                  <c:v>0</c:v>
                </c:pt>
                <c:pt idx="1">
                  <c:v>1508400.0000000002</c:v>
                </c:pt>
                <c:pt idx="2">
                  <c:v>4525200.0000000009</c:v>
                </c:pt>
                <c:pt idx="3">
                  <c:v>0</c:v>
                </c:pt>
                <c:pt idx="4">
                  <c:v>3123600</c:v>
                </c:pt>
                <c:pt idx="5">
                  <c:v>0</c:v>
                </c:pt>
                <c:pt idx="6">
                  <c:v>1762605</c:v>
                </c:pt>
                <c:pt idx="7">
                  <c:v>1347708.75</c:v>
                </c:pt>
                <c:pt idx="8">
                  <c:v>0</c:v>
                </c:pt>
                <c:pt idx="9">
                  <c:v>4.8000000000000001E-2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555-4F48-B2E0-D6EE8FFA29B9}"/>
            </c:ext>
          </c:extLst>
        </c:ser>
        <c:ser>
          <c:idx val="8"/>
          <c:order val="8"/>
          <c:tx>
            <c:strRef>
              <c:f>'هزينه هاي ثابت و متغير'!$R$2:$R$3</c:f>
              <c:strCache>
                <c:ptCount val="2"/>
                <c:pt idx="0">
                  <c:v>سال هشتم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متغير'!$AE$4:$AE$17</c:f>
              <c:numCache>
                <c:formatCode>#,##0</c:formatCode>
                <c:ptCount val="14"/>
                <c:pt idx="0">
                  <c:v>0</c:v>
                </c:pt>
                <c:pt idx="1">
                  <c:v>1508400.0000000002</c:v>
                </c:pt>
                <c:pt idx="2">
                  <c:v>4525200.0000000009</c:v>
                </c:pt>
                <c:pt idx="3">
                  <c:v>0</c:v>
                </c:pt>
                <c:pt idx="4">
                  <c:v>3123600</c:v>
                </c:pt>
                <c:pt idx="5">
                  <c:v>0</c:v>
                </c:pt>
                <c:pt idx="6">
                  <c:v>1762605</c:v>
                </c:pt>
                <c:pt idx="7">
                  <c:v>1347708.75</c:v>
                </c:pt>
                <c:pt idx="8">
                  <c:v>0</c:v>
                </c:pt>
                <c:pt idx="9">
                  <c:v>4.8000000000000001E-2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555-4F48-B2E0-D6EE8FFA29B9}"/>
            </c:ext>
          </c:extLst>
        </c:ser>
        <c:ser>
          <c:idx val="9"/>
          <c:order val="9"/>
          <c:tx>
            <c:strRef>
              <c:f>'هزينه هاي ثابت و متغير'!$S$2:$S$3</c:f>
              <c:strCache>
                <c:ptCount val="2"/>
                <c:pt idx="0">
                  <c:v>سال نهم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'هزينه هاي ثابت و متغير'!$AF$4:$AF$17</c:f>
              <c:numCache>
                <c:formatCode>#,##0</c:formatCode>
                <c:ptCount val="14"/>
                <c:pt idx="0">
                  <c:v>0</c:v>
                </c:pt>
                <c:pt idx="1">
                  <c:v>1508400.0000000002</c:v>
                </c:pt>
                <c:pt idx="2">
                  <c:v>4525200.0000000009</c:v>
                </c:pt>
                <c:pt idx="3">
                  <c:v>0</c:v>
                </c:pt>
                <c:pt idx="4">
                  <c:v>3123600</c:v>
                </c:pt>
                <c:pt idx="5">
                  <c:v>0</c:v>
                </c:pt>
                <c:pt idx="6">
                  <c:v>1762605</c:v>
                </c:pt>
                <c:pt idx="7">
                  <c:v>1347708.75</c:v>
                </c:pt>
                <c:pt idx="8">
                  <c:v>0</c:v>
                </c:pt>
                <c:pt idx="9">
                  <c:v>4.8000000000000001E-2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555-4F48-B2E0-D6EE8FFA29B9}"/>
            </c:ext>
          </c:extLst>
        </c:ser>
        <c:ser>
          <c:idx val="10"/>
          <c:order val="10"/>
          <c:tx>
            <c:strRef>
              <c:f>'هزينه هاي ثابت و متغير'!$T$2:$T$3</c:f>
              <c:strCache>
                <c:ptCount val="2"/>
                <c:pt idx="0">
                  <c:v>سال دهم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'هزينه هاي ثابت و متغير'!$AG$4:$AG$17</c:f>
              <c:numCache>
                <c:formatCode>#,##0</c:formatCode>
                <c:ptCount val="14"/>
                <c:pt idx="0">
                  <c:v>0</c:v>
                </c:pt>
                <c:pt idx="1">
                  <c:v>1508400.0000000002</c:v>
                </c:pt>
                <c:pt idx="2">
                  <c:v>4525200.0000000009</c:v>
                </c:pt>
                <c:pt idx="3">
                  <c:v>0</c:v>
                </c:pt>
                <c:pt idx="4">
                  <c:v>3123600</c:v>
                </c:pt>
                <c:pt idx="5">
                  <c:v>0</c:v>
                </c:pt>
                <c:pt idx="6">
                  <c:v>1762605</c:v>
                </c:pt>
                <c:pt idx="7">
                  <c:v>1347708.75</c:v>
                </c:pt>
                <c:pt idx="8">
                  <c:v>0</c:v>
                </c:pt>
                <c:pt idx="9">
                  <c:v>4.8000000000000001E-2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55-4F48-B2E0-D6EE8FFA2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3506512"/>
        <c:axId val="1"/>
        <c:axId val="2"/>
      </c:bar3DChart>
      <c:catAx>
        <c:axId val="28350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300000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0.12208076129521242"/>
              <c:y val="0.3830369085220279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3506512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low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39792552668885"/>
          <c:y val="0.47606017468155465"/>
          <c:w val="9.2356786952433101E-2"/>
          <c:h val="0.29822159941871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95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10000"/>
                </a:solidFill>
                <a:latin typeface="B Lotus"/>
                <a:ea typeface="B Lotus"/>
                <a:cs typeface="B Lotus"/>
              </a:defRPr>
            </a:pPr>
            <a:r>
              <a:rPr lang="fa-IR"/>
              <a:t>هزینه های ثابت و متغیر</a:t>
            </a:r>
          </a:p>
        </c:rich>
      </c:tx>
      <c:layout>
        <c:manualLayout>
          <c:xMode val="edge"/>
          <c:yMode val="edge"/>
          <c:x val="0.40190735773412939"/>
          <c:y val="6.830662387229805E-3"/>
        </c:manualLayout>
      </c:layout>
      <c:overlay val="0"/>
      <c:spPr>
        <a:noFill/>
        <a:ln w="25400">
          <a:noFill/>
        </a:ln>
      </c:spPr>
    </c:title>
    <c:autoTitleDeleted val="0"/>
    <c:view3D>
      <c:rotX val="14"/>
      <c:hPercent val="100"/>
      <c:rotY val="12"/>
      <c:depthPercent val="100"/>
      <c:rAngAx val="0"/>
    </c:view3D>
    <c:floor>
      <c:thickness val="0"/>
      <c:spPr>
        <a:solidFill>
          <a:srgbClr val="EEEEEE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9482288828337874E-2"/>
          <c:y val="5.7377125727253203E-2"/>
          <c:w val="0.74931880108991822"/>
          <c:h val="0.680328776480288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'هزينه هاي ثابت و متغير'!$J$2:$J$3</c:f>
              <c:strCache>
                <c:ptCount val="2"/>
                <c:pt idx="0">
                  <c:v>سال بهره برداری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متغير'!$AJ$4:$AJ$17</c:f>
              <c:numCache>
                <c:formatCode>#,##0</c:formatCode>
                <c:ptCount val="14"/>
                <c:pt idx="0">
                  <c:v>0</c:v>
                </c:pt>
                <c:pt idx="1">
                  <c:v>5028000</c:v>
                </c:pt>
                <c:pt idx="2">
                  <c:v>15084000</c:v>
                </c:pt>
                <c:pt idx="3">
                  <c:v>0</c:v>
                </c:pt>
                <c:pt idx="4">
                  <c:v>3904500</c:v>
                </c:pt>
                <c:pt idx="5">
                  <c:v>237606103.62035227</c:v>
                </c:pt>
                <c:pt idx="6">
                  <c:v>2937675</c:v>
                </c:pt>
                <c:pt idx="7">
                  <c:v>2695417.5</c:v>
                </c:pt>
                <c:pt idx="8">
                  <c:v>27654000</c:v>
                </c:pt>
                <c:pt idx="9">
                  <c:v>0.12</c:v>
                </c:pt>
                <c:pt idx="10">
                  <c:v>229500253.62035227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78-49DA-B24E-FB9719051745}"/>
            </c:ext>
          </c:extLst>
        </c:ser>
        <c:ser>
          <c:idx val="1"/>
          <c:order val="1"/>
          <c:tx>
            <c:strRef>
              <c:f>'هزينه هاي ثابت و متغير'!$K$2:$K$3</c:f>
              <c:strCache>
                <c:ptCount val="2"/>
                <c:pt idx="0">
                  <c:v>سال اول 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متغير'!$AK$4:$AK$17</c:f>
              <c:numCache>
                <c:formatCode>#,##0</c:formatCode>
                <c:ptCount val="14"/>
                <c:pt idx="0">
                  <c:v>0</c:v>
                </c:pt>
                <c:pt idx="1">
                  <c:v>5028000</c:v>
                </c:pt>
                <c:pt idx="2">
                  <c:v>15084000</c:v>
                </c:pt>
                <c:pt idx="3">
                  <c:v>0</c:v>
                </c:pt>
                <c:pt idx="4">
                  <c:v>3904500</c:v>
                </c:pt>
                <c:pt idx="5">
                  <c:v>237606103.62035227</c:v>
                </c:pt>
                <c:pt idx="6">
                  <c:v>2937675</c:v>
                </c:pt>
                <c:pt idx="7">
                  <c:v>2695417.5</c:v>
                </c:pt>
                <c:pt idx="8">
                  <c:v>27654000</c:v>
                </c:pt>
                <c:pt idx="9">
                  <c:v>0.12</c:v>
                </c:pt>
                <c:pt idx="10">
                  <c:v>229500253.62035227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78-49DA-B24E-FB9719051745}"/>
            </c:ext>
          </c:extLst>
        </c:ser>
        <c:ser>
          <c:idx val="2"/>
          <c:order val="2"/>
          <c:tx>
            <c:strRef>
              <c:f>'هزينه هاي ثابت و متغير'!$L$2:$L$3</c:f>
              <c:strCache>
                <c:ptCount val="2"/>
                <c:pt idx="0">
                  <c:v>سال دوم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متغير'!$AL$4:$AL$17</c:f>
              <c:numCache>
                <c:formatCode>#,##0</c:formatCode>
                <c:ptCount val="14"/>
                <c:pt idx="0">
                  <c:v>0</c:v>
                </c:pt>
                <c:pt idx="1">
                  <c:v>5028000</c:v>
                </c:pt>
                <c:pt idx="2">
                  <c:v>15084000</c:v>
                </c:pt>
                <c:pt idx="3">
                  <c:v>0</c:v>
                </c:pt>
                <c:pt idx="4">
                  <c:v>3904500</c:v>
                </c:pt>
                <c:pt idx="5">
                  <c:v>237606103.62035227</c:v>
                </c:pt>
                <c:pt idx="6">
                  <c:v>2937675</c:v>
                </c:pt>
                <c:pt idx="7">
                  <c:v>2695417.5</c:v>
                </c:pt>
                <c:pt idx="8">
                  <c:v>27654000</c:v>
                </c:pt>
                <c:pt idx="9">
                  <c:v>0.12</c:v>
                </c:pt>
                <c:pt idx="10">
                  <c:v>229500253.62035227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78-49DA-B24E-FB9719051745}"/>
            </c:ext>
          </c:extLst>
        </c:ser>
        <c:ser>
          <c:idx val="3"/>
          <c:order val="3"/>
          <c:tx>
            <c:strRef>
              <c:f>'هزينه هاي ثابت و متغير'!$M$2:$M$3</c:f>
              <c:strCache>
                <c:ptCount val="2"/>
                <c:pt idx="0">
                  <c:v>سال سوم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متغير'!$AM$4:$AM$17</c:f>
              <c:numCache>
                <c:formatCode>#,##0</c:formatCode>
                <c:ptCount val="14"/>
                <c:pt idx="0">
                  <c:v>0</c:v>
                </c:pt>
                <c:pt idx="1">
                  <c:v>5028000</c:v>
                </c:pt>
                <c:pt idx="2">
                  <c:v>15084000</c:v>
                </c:pt>
                <c:pt idx="3">
                  <c:v>0</c:v>
                </c:pt>
                <c:pt idx="4">
                  <c:v>3904500</c:v>
                </c:pt>
                <c:pt idx="5">
                  <c:v>237606103.62035227</c:v>
                </c:pt>
                <c:pt idx="6">
                  <c:v>2937675</c:v>
                </c:pt>
                <c:pt idx="7">
                  <c:v>2695417.5</c:v>
                </c:pt>
                <c:pt idx="8">
                  <c:v>27654000</c:v>
                </c:pt>
                <c:pt idx="9">
                  <c:v>0.12</c:v>
                </c:pt>
                <c:pt idx="10">
                  <c:v>229500253.62035227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78-49DA-B24E-FB9719051745}"/>
            </c:ext>
          </c:extLst>
        </c:ser>
        <c:ser>
          <c:idx val="4"/>
          <c:order val="4"/>
          <c:tx>
            <c:strRef>
              <c:f>'هزينه هاي ثابت و متغير'!$N$2:$N$3</c:f>
              <c:strCache>
                <c:ptCount val="2"/>
                <c:pt idx="0">
                  <c:v>سال چهارم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متغير'!$AN$4:$AN$17</c:f>
              <c:numCache>
                <c:formatCode>#,##0</c:formatCode>
                <c:ptCount val="14"/>
                <c:pt idx="0">
                  <c:v>0</c:v>
                </c:pt>
                <c:pt idx="1">
                  <c:v>5028000</c:v>
                </c:pt>
                <c:pt idx="2">
                  <c:v>15084000</c:v>
                </c:pt>
                <c:pt idx="3">
                  <c:v>0</c:v>
                </c:pt>
                <c:pt idx="4">
                  <c:v>3904500</c:v>
                </c:pt>
                <c:pt idx="5">
                  <c:v>237606103.62035227</c:v>
                </c:pt>
                <c:pt idx="6">
                  <c:v>2937675</c:v>
                </c:pt>
                <c:pt idx="7">
                  <c:v>2695417.5</c:v>
                </c:pt>
                <c:pt idx="8">
                  <c:v>27654000</c:v>
                </c:pt>
                <c:pt idx="9">
                  <c:v>0.12</c:v>
                </c:pt>
                <c:pt idx="10">
                  <c:v>229500253.62035227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78-49DA-B24E-FB9719051745}"/>
            </c:ext>
          </c:extLst>
        </c:ser>
        <c:ser>
          <c:idx val="5"/>
          <c:order val="5"/>
          <c:tx>
            <c:strRef>
              <c:f>'هزينه هاي ثابت و متغير'!$O$2:$O$3</c:f>
              <c:strCache>
                <c:ptCount val="2"/>
                <c:pt idx="0">
                  <c:v>سال پنجم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متغير'!$AO$4:$AO$17</c:f>
              <c:numCache>
                <c:formatCode>#,##0</c:formatCode>
                <c:ptCount val="14"/>
                <c:pt idx="0">
                  <c:v>0</c:v>
                </c:pt>
                <c:pt idx="1">
                  <c:v>5028000</c:v>
                </c:pt>
                <c:pt idx="2">
                  <c:v>15084000</c:v>
                </c:pt>
                <c:pt idx="3">
                  <c:v>0</c:v>
                </c:pt>
                <c:pt idx="4">
                  <c:v>3904500</c:v>
                </c:pt>
                <c:pt idx="5">
                  <c:v>6215850.0000000009</c:v>
                </c:pt>
                <c:pt idx="6">
                  <c:v>2937675</c:v>
                </c:pt>
                <c:pt idx="7">
                  <c:v>2695417.5</c:v>
                </c:pt>
                <c:pt idx="8">
                  <c:v>27654000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78-49DA-B24E-FB9719051745}"/>
            </c:ext>
          </c:extLst>
        </c:ser>
        <c:ser>
          <c:idx val="6"/>
          <c:order val="6"/>
          <c:tx>
            <c:strRef>
              <c:f>'هزينه هاي ثابت و متغير'!$P$2:$P$3</c:f>
              <c:strCache>
                <c:ptCount val="2"/>
                <c:pt idx="0">
                  <c:v>سال ششم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متغير'!$AP$4:$AP$17</c:f>
              <c:numCache>
                <c:formatCode>#,##0</c:formatCode>
                <c:ptCount val="14"/>
                <c:pt idx="0">
                  <c:v>0</c:v>
                </c:pt>
                <c:pt idx="1">
                  <c:v>5028000</c:v>
                </c:pt>
                <c:pt idx="2">
                  <c:v>15084000</c:v>
                </c:pt>
                <c:pt idx="3">
                  <c:v>0</c:v>
                </c:pt>
                <c:pt idx="4">
                  <c:v>3904500</c:v>
                </c:pt>
                <c:pt idx="5">
                  <c:v>6215850.0000000009</c:v>
                </c:pt>
                <c:pt idx="6">
                  <c:v>2937675</c:v>
                </c:pt>
                <c:pt idx="7">
                  <c:v>2695417.5</c:v>
                </c:pt>
                <c:pt idx="8">
                  <c:v>27654000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78-49DA-B24E-FB9719051745}"/>
            </c:ext>
          </c:extLst>
        </c:ser>
        <c:ser>
          <c:idx val="7"/>
          <c:order val="7"/>
          <c:tx>
            <c:strRef>
              <c:f>'هزينه هاي ثابت و متغير'!$Q$2:$Q$3</c:f>
              <c:strCache>
                <c:ptCount val="2"/>
                <c:pt idx="0">
                  <c:v>سال هفتم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متغير'!$AQ$4:$AQ$17</c:f>
              <c:numCache>
                <c:formatCode>#,##0</c:formatCode>
                <c:ptCount val="14"/>
                <c:pt idx="0">
                  <c:v>0</c:v>
                </c:pt>
                <c:pt idx="1">
                  <c:v>5028000</c:v>
                </c:pt>
                <c:pt idx="2">
                  <c:v>15084000</c:v>
                </c:pt>
                <c:pt idx="3">
                  <c:v>0</c:v>
                </c:pt>
                <c:pt idx="4">
                  <c:v>3904500</c:v>
                </c:pt>
                <c:pt idx="5">
                  <c:v>6215850.0000000009</c:v>
                </c:pt>
                <c:pt idx="6">
                  <c:v>2937675</c:v>
                </c:pt>
                <c:pt idx="7">
                  <c:v>2695417.5</c:v>
                </c:pt>
                <c:pt idx="8">
                  <c:v>27654000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978-49DA-B24E-FB9719051745}"/>
            </c:ext>
          </c:extLst>
        </c:ser>
        <c:ser>
          <c:idx val="8"/>
          <c:order val="8"/>
          <c:tx>
            <c:strRef>
              <c:f>'هزينه هاي ثابت و متغير'!$R$2:$R$3</c:f>
              <c:strCache>
                <c:ptCount val="2"/>
                <c:pt idx="0">
                  <c:v>سال هشتم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متغير'!$AR$4:$AR$17</c:f>
              <c:numCache>
                <c:formatCode>#,##0</c:formatCode>
                <c:ptCount val="14"/>
                <c:pt idx="0">
                  <c:v>0</c:v>
                </c:pt>
                <c:pt idx="1">
                  <c:v>5028000</c:v>
                </c:pt>
                <c:pt idx="2">
                  <c:v>15084000</c:v>
                </c:pt>
                <c:pt idx="3">
                  <c:v>0</c:v>
                </c:pt>
                <c:pt idx="4">
                  <c:v>3904500</c:v>
                </c:pt>
                <c:pt idx="5">
                  <c:v>6215850.0000000009</c:v>
                </c:pt>
                <c:pt idx="6">
                  <c:v>2937675</c:v>
                </c:pt>
                <c:pt idx="7">
                  <c:v>2695417.5</c:v>
                </c:pt>
                <c:pt idx="8">
                  <c:v>27654000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78-49DA-B24E-FB9719051745}"/>
            </c:ext>
          </c:extLst>
        </c:ser>
        <c:ser>
          <c:idx val="9"/>
          <c:order val="9"/>
          <c:tx>
            <c:strRef>
              <c:f>'هزينه هاي ثابت و متغير'!$S$2:$S$3</c:f>
              <c:strCache>
                <c:ptCount val="2"/>
                <c:pt idx="0">
                  <c:v>سال نهم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'هزينه هاي ثابت و متغير'!$AS$4:$AS$17</c:f>
              <c:numCache>
                <c:formatCode>#,##0</c:formatCode>
                <c:ptCount val="14"/>
                <c:pt idx="0">
                  <c:v>0</c:v>
                </c:pt>
                <c:pt idx="1">
                  <c:v>5028000</c:v>
                </c:pt>
                <c:pt idx="2">
                  <c:v>15084000</c:v>
                </c:pt>
                <c:pt idx="3">
                  <c:v>0</c:v>
                </c:pt>
                <c:pt idx="4">
                  <c:v>3904500</c:v>
                </c:pt>
                <c:pt idx="5">
                  <c:v>6215850.0000000009</c:v>
                </c:pt>
                <c:pt idx="6">
                  <c:v>2937675</c:v>
                </c:pt>
                <c:pt idx="7">
                  <c:v>2695417.5</c:v>
                </c:pt>
                <c:pt idx="8">
                  <c:v>27654000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978-49DA-B24E-FB9719051745}"/>
            </c:ext>
          </c:extLst>
        </c:ser>
        <c:ser>
          <c:idx val="10"/>
          <c:order val="10"/>
          <c:tx>
            <c:strRef>
              <c:f>'هزينه هاي ثابت و متغير'!$T$2:$T$3</c:f>
              <c:strCache>
                <c:ptCount val="2"/>
                <c:pt idx="0">
                  <c:v>سال دهم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'هزينه هاي ثابت و متغير'!$AT$4:$AT$17</c:f>
              <c:numCache>
                <c:formatCode>#,##0</c:formatCode>
                <c:ptCount val="14"/>
                <c:pt idx="0">
                  <c:v>0</c:v>
                </c:pt>
                <c:pt idx="1">
                  <c:v>5028000</c:v>
                </c:pt>
                <c:pt idx="2">
                  <c:v>15084000</c:v>
                </c:pt>
                <c:pt idx="3">
                  <c:v>0</c:v>
                </c:pt>
                <c:pt idx="4">
                  <c:v>3904500</c:v>
                </c:pt>
                <c:pt idx="5">
                  <c:v>5166000.0000000009</c:v>
                </c:pt>
                <c:pt idx="6">
                  <c:v>2937675</c:v>
                </c:pt>
                <c:pt idx="7">
                  <c:v>2695417.5</c:v>
                </c:pt>
                <c:pt idx="8">
                  <c:v>27654000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78-49DA-B24E-FB9719051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3921288"/>
        <c:axId val="1"/>
        <c:axId val="2"/>
      </c:bar3DChart>
      <c:catAx>
        <c:axId val="283921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6.81203311124571E-3"/>
              <c:y val="0.392077118709949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3921288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low"/>
        <c:spPr>
          <a:ln w="3175">
            <a:solidFill>
              <a:srgbClr val="333333"/>
            </a:solidFill>
            <a:prstDash val="solid"/>
          </a:ln>
        </c:spPr>
        <c:txPr>
          <a:bodyPr rot="2700000" vert="horz"/>
          <a:lstStyle/>
          <a:p>
            <a:pPr>
              <a:defRPr sz="475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419615817253616"/>
          <c:y val="0.48907166575969252"/>
          <c:w val="0.10899180871621816"/>
          <c:h val="0.28415342299419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52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درصد فروش در نقطه سربسر</a:t>
            </a:r>
          </a:p>
        </c:rich>
      </c:tx>
      <c:layout>
        <c:manualLayout>
          <c:xMode val="edge"/>
          <c:yMode val="edge"/>
          <c:x val="0.36488816714201888"/>
          <c:y val="1.2106561679790026E-2"/>
        </c:manualLayout>
      </c:layout>
      <c:overlay val="0"/>
      <c:spPr>
        <a:noFill/>
        <a:ln w="25400">
          <a:noFill/>
        </a:ln>
      </c:spPr>
    </c:title>
    <c:autoTitleDeleted val="0"/>
    <c:view3D>
      <c:rotX val="10"/>
      <c:hPercent val="100"/>
      <c:rotY val="15"/>
      <c:depthPercent val="100"/>
      <c:rAngAx val="0"/>
    </c:view3D>
    <c:floor>
      <c:thickness val="0"/>
      <c:spPr>
        <a:solidFill>
          <a:srgbClr val="EEEEEE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843373493975904"/>
          <c:y val="5.0847457627118647E-2"/>
          <c:w val="0.67297762478485368"/>
          <c:h val="0.66343825665859568"/>
        </c:manualLayout>
      </c:layout>
      <c:line3DChart>
        <c:grouping val="standard"/>
        <c:varyColors val="0"/>
        <c:ser>
          <c:idx val="0"/>
          <c:order val="0"/>
          <c:tx>
            <c:strRef>
              <c:f>'شاخص هاي اقتصادي'!$B$3</c:f>
              <c:strCache>
                <c:ptCount val="1"/>
                <c:pt idx="0">
                  <c:v>درصد فروش در نقطه سربسر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'شاخص هاي اقتصادي'!$C$2:$M$2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'شاخص هاي اقتصادي'!$C$3:$M$3</c:f>
              <c:numCache>
                <c:formatCode>0%</c:formatCode>
                <c:ptCount val="11"/>
                <c:pt idx="0">
                  <c:v>1.779925662280482</c:v>
                </c:pt>
                <c:pt idx="1">
                  <c:v>1.1699895534515268</c:v>
                </c:pt>
                <c:pt idx="2">
                  <c:v>0.87138697976732971</c:v>
                </c:pt>
                <c:pt idx="3">
                  <c:v>0.61134365026786497</c:v>
                </c:pt>
                <c:pt idx="4">
                  <c:v>-41.747899816586973</c:v>
                </c:pt>
                <c:pt idx="5">
                  <c:v>-4.1778619368415919</c:v>
                </c:pt>
                <c:pt idx="6">
                  <c:v>-4.1778619368415919</c:v>
                </c:pt>
                <c:pt idx="7">
                  <c:v>-4.1778619368415919</c:v>
                </c:pt>
                <c:pt idx="8">
                  <c:v>-4.1778619368415919</c:v>
                </c:pt>
                <c:pt idx="9">
                  <c:v>-4.1778619368415919</c:v>
                </c:pt>
                <c:pt idx="10">
                  <c:v>-4.0922821654026214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1B-497F-9144-F221E0F7E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923256"/>
        <c:axId val="1"/>
        <c:axId val="2"/>
      </c:line3DChart>
      <c:catAx>
        <c:axId val="283923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97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8.606012636635324E-3"/>
              <c:y val="0.309927296587926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3923256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tickLblSkip val="2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2685025723604303"/>
          <c:y val="0.94430997375328085"/>
          <c:w val="0.14457839217238228"/>
          <c:h val="3.87409448818897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00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25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نمودار درآمد ها، هزینه ها و سود ویژه</a:t>
            </a:r>
          </a:p>
        </c:rich>
      </c:tx>
      <c:layout>
        <c:manualLayout>
          <c:xMode val="edge"/>
          <c:yMode val="edge"/>
          <c:x val="0.33976881128200942"/>
          <c:y val="1.23203879176119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344936887840963"/>
          <c:y val="0.12320340894848979"/>
          <c:w val="0.74260067592789269"/>
          <c:h val="0.76591452562977813"/>
        </c:manualLayout>
      </c:layout>
      <c:lineChart>
        <c:grouping val="standard"/>
        <c:varyColors val="0"/>
        <c:ser>
          <c:idx val="0"/>
          <c:order val="0"/>
          <c:tx>
            <c:v>هزینه ها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استهلاك!$C$18:$M$18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'هزينه هاي ثابت و متغير'!$AJ$18:$AT$18</c:f>
              <c:numCache>
                <c:formatCode>#,##0</c:formatCode>
                <c:ptCount val="11"/>
                <c:pt idx="0">
                  <c:v>524409949.86070454</c:v>
                </c:pt>
                <c:pt idx="1">
                  <c:v>524409949.86070454</c:v>
                </c:pt>
                <c:pt idx="2">
                  <c:v>524409949.86070454</c:v>
                </c:pt>
                <c:pt idx="3">
                  <c:v>524409949.86070454</c:v>
                </c:pt>
                <c:pt idx="4">
                  <c:v>524409949.86070454</c:v>
                </c:pt>
                <c:pt idx="5">
                  <c:v>63519442.619999997</c:v>
                </c:pt>
                <c:pt idx="6">
                  <c:v>63519442.619999997</c:v>
                </c:pt>
                <c:pt idx="7">
                  <c:v>63519442.619999997</c:v>
                </c:pt>
                <c:pt idx="8">
                  <c:v>63519442.619999997</c:v>
                </c:pt>
                <c:pt idx="9">
                  <c:v>63519442.619999997</c:v>
                </c:pt>
                <c:pt idx="10">
                  <c:v>62469592.619999997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4C-454C-908B-A92BD0B5B033}"/>
            </c:ext>
          </c:extLst>
        </c:ser>
        <c:ser>
          <c:idx val="1"/>
          <c:order val="1"/>
          <c:tx>
            <c:v>درآمدها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val>
            <c:numRef>
              <c:f>'برآورد فروش'!$B$34:$L$34</c:f>
              <c:numCache>
                <c:formatCode>#,##0</c:formatCode>
                <c:ptCount val="11"/>
                <c:pt idx="0">
                  <c:v>300000000</c:v>
                </c:pt>
                <c:pt idx="1">
                  <c:v>450000000</c:v>
                </c:pt>
                <c:pt idx="2">
                  <c:v>600000000</c:v>
                </c:pt>
                <c:pt idx="3">
                  <c:v>850000000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12</c:v>
                </c:pt>
                <c:pt idx="8">
                  <c:v>12</c:v>
                </c:pt>
                <c:pt idx="9">
                  <c:v>12</c:v>
                </c:pt>
                <c:pt idx="10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4C-454C-908B-A92BD0B5B033}"/>
            </c:ext>
          </c:extLst>
        </c:ser>
        <c:ser>
          <c:idx val="2"/>
          <c:order val="2"/>
          <c:tx>
            <c:v>هزینه های ثابت</c:v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Ref>
              <c:f>'هزينه هاي ثابت و متغير'!$J$18:$T$18</c:f>
              <c:numCache>
                <c:formatCode>#,##0</c:formatCode>
                <c:ptCount val="11"/>
                <c:pt idx="0">
                  <c:v>512142436.06270456</c:v>
                </c:pt>
                <c:pt idx="1">
                  <c:v>512142436.06270456</c:v>
                </c:pt>
                <c:pt idx="2">
                  <c:v>512142436.06270456</c:v>
                </c:pt>
                <c:pt idx="3">
                  <c:v>512142436.06270456</c:v>
                </c:pt>
                <c:pt idx="4">
                  <c:v>512142436.06270456</c:v>
                </c:pt>
                <c:pt idx="5">
                  <c:v>51251928.821999997</c:v>
                </c:pt>
                <c:pt idx="6">
                  <c:v>51251928.821999997</c:v>
                </c:pt>
                <c:pt idx="7">
                  <c:v>51251928.821999997</c:v>
                </c:pt>
                <c:pt idx="8">
                  <c:v>51251928.821999997</c:v>
                </c:pt>
                <c:pt idx="9">
                  <c:v>51251928.821999997</c:v>
                </c:pt>
                <c:pt idx="10">
                  <c:v>50202078.821999997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4C-454C-908B-A92BD0B5B033}"/>
            </c:ext>
          </c:extLst>
        </c:ser>
        <c:ser>
          <c:idx val="3"/>
          <c:order val="3"/>
          <c:tx>
            <c:v>هزینه های متغیر</c:v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'هزينه هاي ثابت و متغير'!$W$18:$AG$18</c:f>
              <c:numCache>
                <c:formatCode>#,##0</c:formatCode>
                <c:ptCount val="11"/>
                <c:pt idx="0">
                  <c:v>12267513.798</c:v>
                </c:pt>
                <c:pt idx="1">
                  <c:v>12267513.798</c:v>
                </c:pt>
                <c:pt idx="2">
                  <c:v>12267513.798</c:v>
                </c:pt>
                <c:pt idx="3">
                  <c:v>12267513.798</c:v>
                </c:pt>
                <c:pt idx="4">
                  <c:v>12267513.798</c:v>
                </c:pt>
                <c:pt idx="5">
                  <c:v>12267513.798</c:v>
                </c:pt>
                <c:pt idx="6">
                  <c:v>12267513.798</c:v>
                </c:pt>
                <c:pt idx="7">
                  <c:v>12267513.798</c:v>
                </c:pt>
                <c:pt idx="8">
                  <c:v>12267513.798</c:v>
                </c:pt>
                <c:pt idx="9">
                  <c:v>12267513.798</c:v>
                </c:pt>
                <c:pt idx="10">
                  <c:v>12267513.798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4C-454C-908B-A92BD0B5B033}"/>
            </c:ext>
          </c:extLst>
        </c:ser>
        <c:ser>
          <c:idx val="4"/>
          <c:order val="4"/>
          <c:tx>
            <c:strRef>
              <c:f>'پيش بيني عملكرد سود و زيان'!$A$28:$B$28</c:f>
              <c:strCache>
                <c:ptCount val="2"/>
                <c:pt idx="0">
                  <c:v>سود ويژه پس از ماليات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'پيش بيني عملكرد سود و زيان'!$C$28:$M$28</c:f>
              <c:numCache>
                <c:formatCode>#,##0</c:formatCode>
                <c:ptCount val="11"/>
                <c:pt idx="0">
                  <c:v>-224409949.86070454</c:v>
                </c:pt>
                <c:pt idx="1">
                  <c:v>-74409949.860704541</c:v>
                </c:pt>
                <c:pt idx="2">
                  <c:v>75590050.139295459</c:v>
                </c:pt>
                <c:pt idx="3">
                  <c:v>325590050.13929546</c:v>
                </c:pt>
                <c:pt idx="4">
                  <c:v>-524409937.86070454</c:v>
                </c:pt>
                <c:pt idx="5">
                  <c:v>-63519430.620000005</c:v>
                </c:pt>
                <c:pt idx="6">
                  <c:v>-63519430.620000005</c:v>
                </c:pt>
                <c:pt idx="7">
                  <c:v>-63519430.620000005</c:v>
                </c:pt>
                <c:pt idx="8">
                  <c:v>-63519430.620000005</c:v>
                </c:pt>
                <c:pt idx="9">
                  <c:v>-63519430.620000005</c:v>
                </c:pt>
                <c:pt idx="10">
                  <c:v>-62469580.620000005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4C-454C-908B-A92BD0B5B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4043152"/>
        <c:axId val="1"/>
      </c:lineChart>
      <c:catAx>
        <c:axId val="28404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220000" vert="horz"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6.4350699685855337E-3"/>
              <c:y val="0.425051826148850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4043152"/>
        <c:crosses val="autoZero"/>
        <c:crossBetween val="between"/>
        <c:majorUnit val="26967767.399999999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344933567241918"/>
          <c:y val="0.92197228524400554"/>
          <c:w val="0.72072158078685755"/>
          <c:h val="6.570843898749945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استهلاک هزینه های قبل از بهره برداری</a:t>
            </a:r>
          </a:p>
        </c:rich>
      </c:tx>
      <c:layout>
        <c:manualLayout>
          <c:xMode val="edge"/>
          <c:yMode val="edge"/>
          <c:x val="0.37669423259265367"/>
          <c:y val="1.35499906013074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851074021682885E-2"/>
          <c:y val="0.12737161080308584"/>
          <c:w val="0.87398489634264953"/>
          <c:h val="0.64227812256024142"/>
        </c:manualLayout>
      </c:layout>
      <c:lineChart>
        <c:grouping val="standard"/>
        <c:varyColors val="0"/>
        <c:ser>
          <c:idx val="0"/>
          <c:order val="0"/>
          <c:tx>
            <c:v>سال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استهلاك!$C$18:$M$18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استهلاك!$C$29:$M$29</c:f>
              <c:numCache>
                <c:formatCode>#,##0</c:formatCode>
                <c:ptCount val="11"/>
                <c:pt idx="0">
                  <c:v>229500253.62035227</c:v>
                </c:pt>
                <c:pt idx="1">
                  <c:v>229500253.62035227</c:v>
                </c:pt>
                <c:pt idx="2">
                  <c:v>229500253.62035227</c:v>
                </c:pt>
                <c:pt idx="3">
                  <c:v>229500253.62035227</c:v>
                </c:pt>
                <c:pt idx="4">
                  <c:v>229500253.62035227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1A-4048-A70A-D4EACDFB3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577728"/>
        <c:axId val="1"/>
      </c:lineChart>
      <c:catAx>
        <c:axId val="28257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6.7750065273254455E-3"/>
              <c:y val="0.371274532328021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2577728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نمودار سرمایه در گردش</a:t>
            </a:r>
          </a:p>
        </c:rich>
      </c:tx>
      <c:layout>
        <c:manualLayout>
          <c:xMode val="edge"/>
          <c:yMode val="edge"/>
          <c:x val="0.41081927726615219"/>
          <c:y val="1.5503985484664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11714483556178"/>
          <c:y val="0.14211922167520005"/>
          <c:w val="0.79824675371030029"/>
          <c:h val="0.58656478764128017"/>
        </c:manualLayout>
      </c:layout>
      <c:lineChart>
        <c:grouping val="standard"/>
        <c:varyColors val="0"/>
        <c:ser>
          <c:idx val="0"/>
          <c:order val="0"/>
          <c:tx>
            <c:strRef>
              <c:f>'سرمايه در گردش'!$B$20</c:f>
              <c:strCache>
                <c:ptCount val="1"/>
                <c:pt idx="0">
                  <c:v>سرمایه در گردش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'سرمايه در گردش'!$C$13:$M$13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'سرمايه در گردش'!$C$20:$M$20</c:f>
              <c:numCache>
                <c:formatCode>#,##0</c:formatCode>
                <c:ptCount val="11"/>
                <c:pt idx="0">
                  <c:v>7246098.7600000007</c:v>
                </c:pt>
                <c:pt idx="1">
                  <c:v>7246098.7600000007</c:v>
                </c:pt>
                <c:pt idx="2">
                  <c:v>7246098.7600000007</c:v>
                </c:pt>
                <c:pt idx="3">
                  <c:v>7246098.7600000007</c:v>
                </c:pt>
                <c:pt idx="4">
                  <c:v>7246098.7600000007</c:v>
                </c:pt>
                <c:pt idx="5">
                  <c:v>7246098.7599999998</c:v>
                </c:pt>
                <c:pt idx="6">
                  <c:v>7246098.7599999998</c:v>
                </c:pt>
                <c:pt idx="7">
                  <c:v>7246098.7599999998</c:v>
                </c:pt>
                <c:pt idx="8">
                  <c:v>7246098.7599999998</c:v>
                </c:pt>
                <c:pt idx="9">
                  <c:v>7246098.7599999998</c:v>
                </c:pt>
                <c:pt idx="10">
                  <c:v>7246098.7599999998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0-44C5-8EC1-165556A35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885936"/>
        <c:axId val="1"/>
      </c:lineChart>
      <c:catAx>
        <c:axId val="28288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580000" vert="horz"/>
          <a:lstStyle/>
          <a:p>
            <a:pPr>
              <a:defRPr sz="95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7.3099403721666959E-3"/>
              <c:y val="0.364341858323118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2885936"/>
        <c:crosses val="autoZero"/>
        <c:crossBetween val="between"/>
        <c:majorUnit val="7721509.3144345637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844751637965452"/>
          <c:y val="0.94832291082348219"/>
          <c:w val="9.9378980370595782E-2"/>
          <c:h val="3.61758737941398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65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هزینه های ثابت و متغیر</a:t>
            </a:r>
          </a:p>
        </c:rich>
      </c:tx>
      <c:layout>
        <c:manualLayout>
          <c:xMode val="edge"/>
          <c:yMode val="edge"/>
          <c:x val="0.41170101563391531"/>
          <c:y val="9.578649996994649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590465872156019E-2"/>
          <c:y val="0.14367842971449524"/>
          <c:w val="0.86348862405200433"/>
          <c:h val="0.75479068410014838"/>
        </c:manualLayout>
      </c:layout>
      <c:lineChart>
        <c:grouping val="standard"/>
        <c:varyColors val="0"/>
        <c:ser>
          <c:idx val="0"/>
          <c:order val="0"/>
          <c:tx>
            <c:v>هزینه های ثابت و متغیر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استهلاك!$C$18:$M$18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'هزينه هاي ثابت و متغير'!$AJ$18:$AT$18</c:f>
              <c:numCache>
                <c:formatCode>#,##0</c:formatCode>
                <c:ptCount val="11"/>
                <c:pt idx="0">
                  <c:v>524409949.86070454</c:v>
                </c:pt>
                <c:pt idx="1">
                  <c:v>524409949.86070454</c:v>
                </c:pt>
                <c:pt idx="2">
                  <c:v>524409949.86070454</c:v>
                </c:pt>
                <c:pt idx="3">
                  <c:v>524409949.86070454</c:v>
                </c:pt>
                <c:pt idx="4">
                  <c:v>524409949.86070454</c:v>
                </c:pt>
                <c:pt idx="5">
                  <c:v>63519442.619999997</c:v>
                </c:pt>
                <c:pt idx="6">
                  <c:v>63519442.619999997</c:v>
                </c:pt>
                <c:pt idx="7">
                  <c:v>63519442.619999997</c:v>
                </c:pt>
                <c:pt idx="8">
                  <c:v>63519442.619999997</c:v>
                </c:pt>
                <c:pt idx="9">
                  <c:v>63519442.619999997</c:v>
                </c:pt>
                <c:pt idx="10">
                  <c:v>62469592.619999997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93-414C-BD8F-A90EC103F3CA}"/>
            </c:ext>
          </c:extLst>
        </c:ser>
        <c:ser>
          <c:idx val="1"/>
          <c:order val="1"/>
          <c:tx>
            <c:v>هزینه های ثابت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'هزينه هاي ثابت و متغير'!$J$18:$T$18</c:f>
              <c:numCache>
                <c:formatCode>#,##0</c:formatCode>
                <c:ptCount val="11"/>
                <c:pt idx="0">
                  <c:v>512142436.06270456</c:v>
                </c:pt>
                <c:pt idx="1">
                  <c:v>512142436.06270456</c:v>
                </c:pt>
                <c:pt idx="2">
                  <c:v>512142436.06270456</c:v>
                </c:pt>
                <c:pt idx="3">
                  <c:v>512142436.06270456</c:v>
                </c:pt>
                <c:pt idx="4">
                  <c:v>512142436.06270456</c:v>
                </c:pt>
                <c:pt idx="5">
                  <c:v>51251928.821999997</c:v>
                </c:pt>
                <c:pt idx="6">
                  <c:v>51251928.821999997</c:v>
                </c:pt>
                <c:pt idx="7">
                  <c:v>51251928.821999997</c:v>
                </c:pt>
                <c:pt idx="8">
                  <c:v>51251928.821999997</c:v>
                </c:pt>
                <c:pt idx="9">
                  <c:v>51251928.821999997</c:v>
                </c:pt>
                <c:pt idx="10">
                  <c:v>50202078.821999997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93-414C-BD8F-A90EC103F3CA}"/>
            </c:ext>
          </c:extLst>
        </c:ser>
        <c:ser>
          <c:idx val="2"/>
          <c:order val="2"/>
          <c:tx>
            <c:v>هزینه های متغیر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'هزينه هاي ثابت و متغير'!$W$18:$AG$18</c:f>
              <c:numCache>
                <c:formatCode>#,##0</c:formatCode>
                <c:ptCount val="11"/>
                <c:pt idx="0">
                  <c:v>12267513.798</c:v>
                </c:pt>
                <c:pt idx="1">
                  <c:v>12267513.798</c:v>
                </c:pt>
                <c:pt idx="2">
                  <c:v>12267513.798</c:v>
                </c:pt>
                <c:pt idx="3">
                  <c:v>12267513.798</c:v>
                </c:pt>
                <c:pt idx="4">
                  <c:v>12267513.798</c:v>
                </c:pt>
                <c:pt idx="5">
                  <c:v>12267513.798</c:v>
                </c:pt>
                <c:pt idx="6">
                  <c:v>12267513.798</c:v>
                </c:pt>
                <c:pt idx="7">
                  <c:v>12267513.798</c:v>
                </c:pt>
                <c:pt idx="8">
                  <c:v>12267513.798</c:v>
                </c:pt>
                <c:pt idx="9">
                  <c:v>12267513.798</c:v>
                </c:pt>
                <c:pt idx="10">
                  <c:v>12267513.798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93-414C-BD8F-A90EC103F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044792"/>
        <c:axId val="1"/>
      </c:lineChart>
      <c:catAx>
        <c:axId val="284044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580000" vert="horz"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5.4170946023051466E-3"/>
              <c:y val="0.444445112299893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4044792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852653200958575"/>
          <c:y val="0.94636192422512067"/>
          <c:w val="0.34236186237589866"/>
          <c:h val="4.214561920217985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37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استهلاک هزینه های سرمایه گذاری ثابت</a:t>
            </a:r>
          </a:p>
        </c:rich>
      </c:tx>
      <c:layout>
        <c:manualLayout>
          <c:xMode val="edge"/>
          <c:yMode val="edge"/>
          <c:x val="0.35751984106346019"/>
          <c:y val="1.34228107850155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86015831134564"/>
          <c:y val="0.13870276387453656"/>
          <c:w val="0.82585751978891819"/>
          <c:h val="0.80089660430780796"/>
        </c:manualLayout>
      </c:layout>
      <c:lineChart>
        <c:grouping val="standard"/>
        <c:varyColors val="0"/>
        <c:ser>
          <c:idx val="0"/>
          <c:order val="0"/>
          <c:tx>
            <c:v>سال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استهلاك!$C$18:$M$18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استهلاك!$C$30:$M$30</c:f>
              <c:numCache>
                <c:formatCode>#,##0</c:formatCode>
                <c:ptCount val="11"/>
                <c:pt idx="0">
                  <c:v>237606103.62035227</c:v>
                </c:pt>
                <c:pt idx="1">
                  <c:v>237606103.62035227</c:v>
                </c:pt>
                <c:pt idx="2">
                  <c:v>237606103.62035227</c:v>
                </c:pt>
                <c:pt idx="3">
                  <c:v>237606103.62035227</c:v>
                </c:pt>
                <c:pt idx="4">
                  <c:v>237606103.62035227</c:v>
                </c:pt>
                <c:pt idx="5">
                  <c:v>6215850.0000000009</c:v>
                </c:pt>
                <c:pt idx="6">
                  <c:v>6215850.0000000009</c:v>
                </c:pt>
                <c:pt idx="7">
                  <c:v>6215850.0000000009</c:v>
                </c:pt>
                <c:pt idx="8">
                  <c:v>6215850.0000000009</c:v>
                </c:pt>
                <c:pt idx="9">
                  <c:v>6215850.0000000009</c:v>
                </c:pt>
                <c:pt idx="10">
                  <c:v>5166000.0000000009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FA-4B83-AF21-C17874EBF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827600"/>
        <c:axId val="1"/>
      </c:lineChart>
      <c:catAx>
        <c:axId val="28082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07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6.5962824660127529E-3"/>
              <c:y val="0.460851109520400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0827600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استهلاک هزینه های قبل از بهره برداری</a:t>
            </a:r>
          </a:p>
        </c:rich>
      </c:tx>
      <c:layout>
        <c:manualLayout>
          <c:xMode val="edge"/>
          <c:yMode val="edge"/>
          <c:x val="0.37342685105538276"/>
          <c:y val="1.35502483677143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08399535893477"/>
          <c:y val="0.13550171362030408"/>
          <c:w val="0.84755302635559604"/>
          <c:h val="0.63414801974302315"/>
        </c:manualLayout>
      </c:layout>
      <c:lineChart>
        <c:grouping val="standard"/>
        <c:varyColors val="0"/>
        <c:ser>
          <c:idx val="0"/>
          <c:order val="0"/>
          <c:tx>
            <c:v>سال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استهلاك!$C$18:$M$18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استهلاك!$C$29:$M$29</c:f>
              <c:numCache>
                <c:formatCode>#,##0</c:formatCode>
                <c:ptCount val="11"/>
                <c:pt idx="0">
                  <c:v>229500253.62035227</c:v>
                </c:pt>
                <c:pt idx="1">
                  <c:v>229500253.62035227</c:v>
                </c:pt>
                <c:pt idx="2">
                  <c:v>229500253.62035227</c:v>
                </c:pt>
                <c:pt idx="3">
                  <c:v>229500253.62035227</c:v>
                </c:pt>
                <c:pt idx="4">
                  <c:v>229500253.62035227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19-4508-80FA-6F7D86C82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829240"/>
        <c:axId val="1"/>
      </c:lineChart>
      <c:catAx>
        <c:axId val="280829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6.9930964511788962E-3"/>
              <c:y val="0.376694937926147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0829240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10000"/>
                </a:solidFill>
                <a:latin typeface="B Titr"/>
                <a:ea typeface="B Titr"/>
                <a:cs typeface="B Titr"/>
              </a:defRPr>
            </a:pPr>
            <a:r>
              <a:rPr lang="fa-IR"/>
              <a:t>آنالیز حساسیت نرخ بازده داخلی</a:t>
            </a:r>
          </a:p>
        </c:rich>
      </c:tx>
      <c:layout>
        <c:manualLayout>
          <c:xMode val="edge"/>
          <c:yMode val="edge"/>
          <c:x val="0.37027031267830651"/>
          <c:y val="3.1175169442885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297297297297303E-2"/>
          <c:y val="0.15827375195254412"/>
          <c:w val="0.73783783783783785"/>
          <c:h val="0.69304718658007947"/>
        </c:manualLayout>
      </c:layout>
      <c:lineChart>
        <c:grouping val="standard"/>
        <c:varyColors val="0"/>
        <c:ser>
          <c:idx val="0"/>
          <c:order val="0"/>
          <c:tx>
            <c:strRef>
              <c:f>'آنالیز حساسیت'!$J$3</c:f>
              <c:strCache>
                <c:ptCount val="1"/>
                <c:pt idx="0">
                  <c:v>هزینه های تولید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'آنالیز حساسیت'!$H$4:$H$12</c:f>
              <c:numCache>
                <c:formatCode>0%</c:formatCode>
                <c:ptCount val="9"/>
                <c:pt idx="0">
                  <c:v>-0.2</c:v>
                </c:pt>
                <c:pt idx="1">
                  <c:v>-0.15</c:v>
                </c:pt>
                <c:pt idx="2">
                  <c:v>-0.1</c:v>
                </c:pt>
                <c:pt idx="3">
                  <c:v>-0.05</c:v>
                </c:pt>
                <c:pt idx="4">
                  <c:v>0</c:v>
                </c:pt>
                <c:pt idx="5">
                  <c:v>0.05</c:v>
                </c:pt>
                <c:pt idx="6">
                  <c:v>0.1</c:v>
                </c:pt>
                <c:pt idx="7">
                  <c:v>0.15</c:v>
                </c:pt>
                <c:pt idx="8">
                  <c:v>0.2</c:v>
                </c:pt>
              </c:numCache>
            </c:numRef>
          </c:cat>
          <c:val>
            <c:numRef>
              <c:f>'آنالیز حساسیت'!$J$4:$J$12</c:f>
              <c:numCache>
                <c:formatCode>0.0%</c:formatCode>
                <c:ptCount val="9"/>
                <c:pt idx="0">
                  <c:v>0.53100000000000003</c:v>
                </c:pt>
                <c:pt idx="1">
                  <c:v>0.52</c:v>
                </c:pt>
                <c:pt idx="2">
                  <c:v>0.50900000000000001</c:v>
                </c:pt>
                <c:pt idx="3">
                  <c:v>0.497</c:v>
                </c:pt>
                <c:pt idx="4">
                  <c:v>0</c:v>
                </c:pt>
                <c:pt idx="5">
                  <c:v>0.47399999999999998</c:v>
                </c:pt>
                <c:pt idx="6">
                  <c:v>0.46300000000000002</c:v>
                </c:pt>
                <c:pt idx="7">
                  <c:v>0.45100000000000001</c:v>
                </c:pt>
                <c:pt idx="8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A-4D23-87DB-5EBA24D3F95F}"/>
            </c:ext>
          </c:extLst>
        </c:ser>
        <c:ser>
          <c:idx val="1"/>
          <c:order val="1"/>
          <c:tx>
            <c:strRef>
              <c:f>'آنالیز حساسیت'!$L$3</c:f>
              <c:strCache>
                <c:ptCount val="1"/>
                <c:pt idx="0">
                  <c:v>سرمایه گذاری ثابت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'آنالیز حساسیت'!$H$4:$H$12</c:f>
              <c:numCache>
                <c:formatCode>0%</c:formatCode>
                <c:ptCount val="9"/>
                <c:pt idx="0">
                  <c:v>-0.2</c:v>
                </c:pt>
                <c:pt idx="1">
                  <c:v>-0.15</c:v>
                </c:pt>
                <c:pt idx="2">
                  <c:v>-0.1</c:v>
                </c:pt>
                <c:pt idx="3">
                  <c:v>-0.05</c:v>
                </c:pt>
                <c:pt idx="4">
                  <c:v>0</c:v>
                </c:pt>
                <c:pt idx="5">
                  <c:v>0.05</c:v>
                </c:pt>
                <c:pt idx="6">
                  <c:v>0.1</c:v>
                </c:pt>
                <c:pt idx="7">
                  <c:v>0.15</c:v>
                </c:pt>
                <c:pt idx="8">
                  <c:v>0.2</c:v>
                </c:pt>
              </c:numCache>
            </c:numRef>
          </c:cat>
          <c:val>
            <c:numRef>
              <c:f>'آنالیز حساسیت'!$L$4:$L$12</c:f>
              <c:numCache>
                <c:formatCode>0.0%</c:formatCode>
                <c:ptCount val="9"/>
                <c:pt idx="0">
                  <c:v>0.59199999999999997</c:v>
                </c:pt>
                <c:pt idx="1">
                  <c:v>0.56100000000000005</c:v>
                </c:pt>
                <c:pt idx="2">
                  <c:v>0.53300000000000003</c:v>
                </c:pt>
                <c:pt idx="3">
                  <c:v>0.50700000000000001</c:v>
                </c:pt>
                <c:pt idx="4">
                  <c:v>0</c:v>
                </c:pt>
                <c:pt idx="5">
                  <c:v>0.46300000000000002</c:v>
                </c:pt>
                <c:pt idx="6">
                  <c:v>0.443</c:v>
                </c:pt>
                <c:pt idx="7">
                  <c:v>0.42499999999999999</c:v>
                </c:pt>
                <c:pt idx="8">
                  <c:v>0.40799999999999997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9A-4D23-87DB-5EBA24D3F95F}"/>
            </c:ext>
          </c:extLst>
        </c:ser>
        <c:ser>
          <c:idx val="2"/>
          <c:order val="2"/>
          <c:tx>
            <c:strRef>
              <c:f>'آنالیز حساسیت'!$N$3</c:f>
              <c:strCache>
                <c:ptCount val="1"/>
                <c:pt idx="0">
                  <c:v>فروش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'آنالیز حساسیت'!$H$4:$H$12</c:f>
              <c:numCache>
                <c:formatCode>0%</c:formatCode>
                <c:ptCount val="9"/>
                <c:pt idx="0">
                  <c:v>-0.2</c:v>
                </c:pt>
                <c:pt idx="1">
                  <c:v>-0.15</c:v>
                </c:pt>
                <c:pt idx="2">
                  <c:v>-0.1</c:v>
                </c:pt>
                <c:pt idx="3">
                  <c:v>-0.05</c:v>
                </c:pt>
                <c:pt idx="4">
                  <c:v>0</c:v>
                </c:pt>
                <c:pt idx="5">
                  <c:v>0.05</c:v>
                </c:pt>
                <c:pt idx="6">
                  <c:v>0.1</c:v>
                </c:pt>
                <c:pt idx="7">
                  <c:v>0.15</c:v>
                </c:pt>
                <c:pt idx="8">
                  <c:v>0.2</c:v>
                </c:pt>
              </c:numCache>
            </c:numRef>
          </c:cat>
          <c:val>
            <c:numRef>
              <c:f>'آنالیز حساسیت'!$N$4:$N$12</c:f>
              <c:numCache>
                <c:formatCode>0.0%</c:formatCode>
                <c:ptCount val="9"/>
                <c:pt idx="0">
                  <c:v>0.34100000000000003</c:v>
                </c:pt>
                <c:pt idx="1">
                  <c:v>0.378</c:v>
                </c:pt>
                <c:pt idx="2">
                  <c:v>0.41399999999999998</c:v>
                </c:pt>
                <c:pt idx="3">
                  <c:v>0.44900000000000001</c:v>
                </c:pt>
                <c:pt idx="4">
                  <c:v>0</c:v>
                </c:pt>
                <c:pt idx="5">
                  <c:v>0.51800000000000002</c:v>
                </c:pt>
                <c:pt idx="6">
                  <c:v>0.55100000000000005</c:v>
                </c:pt>
                <c:pt idx="7">
                  <c:v>0.58399999999999996</c:v>
                </c:pt>
                <c:pt idx="8">
                  <c:v>0.61699999999999999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9A-4D23-87DB-5EBA24D3F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666072"/>
        <c:axId val="1"/>
      </c:lineChart>
      <c:catAx>
        <c:axId val="282666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10000"/>
                    </a:solidFill>
                    <a:latin typeface="B Mitra"/>
                    <a:ea typeface="B Mitra"/>
                    <a:cs typeface="B Mitra"/>
                  </a:defRPr>
                </a:pPr>
                <a:r>
                  <a:rPr lang="fa-IR"/>
                  <a:t>درصد تغییرات</a:t>
                </a:r>
              </a:p>
            </c:rich>
          </c:tx>
          <c:layout>
            <c:manualLayout>
              <c:xMode val="edge"/>
              <c:yMode val="edge"/>
              <c:x val="0.39054048271140018"/>
              <c:y val="0.9040786240786241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10000"/>
                    </a:solidFill>
                    <a:latin typeface="B Mitra"/>
                    <a:ea typeface="B Mitra"/>
                    <a:cs typeface="B Mitra"/>
                  </a:defRPr>
                </a:pPr>
                <a:r>
                  <a:rPr lang="fa-IR"/>
                  <a:t>نرخ بازده داخلی</a:t>
                </a:r>
              </a:p>
            </c:rich>
          </c:tx>
          <c:layout>
            <c:manualLayout>
              <c:xMode val="edge"/>
              <c:yMode val="edge"/>
              <c:x val="6.7566757959602874E-3"/>
              <c:y val="0.4220634951343612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2666072"/>
        <c:crosses val="autoZero"/>
        <c:crossBetween val="between"/>
      </c:valAx>
      <c:spPr>
        <a:solidFill>
          <a:srgbClr val="EEEEEE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918920461029323"/>
          <c:y val="0.41726711679467582"/>
          <c:w val="0.1554053976948534"/>
          <c:h val="0.206235498204002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B Lotus"/>
              <a:ea typeface="B Lotus"/>
              <a:cs typeface="B Lotus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189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35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نمودار نسبتهای مالی</a:t>
            </a:r>
          </a:p>
        </c:rich>
      </c:tx>
      <c:layout>
        <c:manualLayout>
          <c:xMode val="edge"/>
          <c:yMode val="edge"/>
          <c:x val="0.40280207305375171"/>
          <c:y val="6.06067623899953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84063047285464"/>
          <c:y val="0.10909103822329336"/>
          <c:w val="0.77495621716287211"/>
          <c:h val="0.70181901256985391"/>
        </c:manualLayout>
      </c:layout>
      <c:lineChart>
        <c:grouping val="standard"/>
        <c:varyColors val="0"/>
        <c:ser>
          <c:idx val="0"/>
          <c:order val="0"/>
          <c:tx>
            <c:strRef>
              <c:f>'نسبتهای ایجادی'!$B$5</c:f>
              <c:strCache>
                <c:ptCount val="1"/>
                <c:pt idx="0">
                  <c:v> نسبت جاري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ایجادی'!$C$5:$M$5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4B-40FB-AC9D-A7B18FC26179}"/>
            </c:ext>
          </c:extLst>
        </c:ser>
        <c:ser>
          <c:idx val="1"/>
          <c:order val="1"/>
          <c:tx>
            <c:strRef>
              <c:f>'نسبتهای ایجادی'!$B$7</c:f>
              <c:strCache>
                <c:ptCount val="1"/>
                <c:pt idx="0">
                  <c:v> نسبت آني 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ایجادی'!$C$7:$M$7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4B-40FB-AC9D-A7B18FC26179}"/>
            </c:ext>
          </c:extLst>
        </c:ser>
        <c:ser>
          <c:idx val="2"/>
          <c:order val="2"/>
          <c:tx>
            <c:strRef>
              <c:f>'نسبتهای ایجادی'!$B$9</c:f>
              <c:strCache>
                <c:ptCount val="1"/>
                <c:pt idx="0">
                  <c:v> نسبت دارائيهاي جاري 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ایجادی'!$C$9:$M$9</c:f>
              <c:numCache>
                <c:formatCode>0.000</c:formatCode>
                <c:ptCount val="11"/>
                <c:pt idx="0">
                  <c:v>0.19850661972121678</c:v>
                </c:pt>
                <c:pt idx="1">
                  <c:v>0.54442547176815614</c:v>
                </c:pt>
                <c:pt idx="2">
                  <c:v>0.94453420626973494</c:v>
                </c:pt>
                <c:pt idx="3">
                  <c:v>1.251774520557533</c:v>
                </c:pt>
                <c:pt idx="4">
                  <c:v>1.8198420599884531</c:v>
                </c:pt>
                <c:pt idx="5">
                  <c:v>1.8786526331935611</c:v>
                </c:pt>
                <c:pt idx="6">
                  <c:v>1.9455170614229145</c:v>
                </c:pt>
                <c:pt idx="7">
                  <c:v>2.0222113650544307</c:v>
                </c:pt>
                <c:pt idx="8">
                  <c:v>2.1110751868260409</c:v>
                </c:pt>
                <c:pt idx="9">
                  <c:v>2.2152546418843997</c:v>
                </c:pt>
                <c:pt idx="10">
                  <c:v>2.3354425298048747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4B-40FB-AC9D-A7B18FC26179}"/>
            </c:ext>
          </c:extLst>
        </c:ser>
        <c:ser>
          <c:idx val="3"/>
          <c:order val="3"/>
          <c:tx>
            <c:strRef>
              <c:f>'نسبتهای ایجادی'!$B$13</c:f>
              <c:strCache>
                <c:ptCount val="1"/>
                <c:pt idx="0">
                  <c:v> دوره گردش موجوديها  (روز)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ایجادی'!$C$13:$M$13</c:f>
              <c:numCache>
                <c:formatCode>0.000</c:formatCode>
                <c:ptCount val="11"/>
                <c:pt idx="0">
                  <c:v>1.664113783003226</c:v>
                </c:pt>
                <c:pt idx="1">
                  <c:v>3.328227566006452</c:v>
                </c:pt>
                <c:pt idx="2">
                  <c:v>3.328227566006452</c:v>
                </c:pt>
                <c:pt idx="3">
                  <c:v>3.328227566006452</c:v>
                </c:pt>
                <c:pt idx="4">
                  <c:v>3.328227566006452</c:v>
                </c:pt>
                <c:pt idx="5">
                  <c:v>24.800691501296825</c:v>
                </c:pt>
                <c:pt idx="6">
                  <c:v>24.800691501296825</c:v>
                </c:pt>
                <c:pt idx="7">
                  <c:v>24.800691501296825</c:v>
                </c:pt>
                <c:pt idx="8">
                  <c:v>24.800691501296825</c:v>
                </c:pt>
                <c:pt idx="9">
                  <c:v>24.800691501296825</c:v>
                </c:pt>
                <c:pt idx="10">
                  <c:v>25.548546244042807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4B-40FB-AC9D-A7B18FC26179}"/>
            </c:ext>
          </c:extLst>
        </c:ser>
        <c:ser>
          <c:idx val="4"/>
          <c:order val="4"/>
          <c:tx>
            <c:strRef>
              <c:f>'نسبتهای ایجادی'!$B$15</c:f>
              <c:strCache>
                <c:ptCount val="1"/>
                <c:pt idx="0">
                  <c:v> دوره وصول مطالبات  (روز)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ایجادی'!$C$15:$M$15</c:f>
              <c:numCache>
                <c:formatCode>0.000</c:formatCode>
                <c:ptCount val="11"/>
                <c:pt idx="0">
                  <c:v>2.8651796310000002</c:v>
                </c:pt>
                <c:pt idx="1">
                  <c:v>3.8202395080000007</c:v>
                </c:pt>
                <c:pt idx="2">
                  <c:v>2.8651796310000002</c:v>
                </c:pt>
                <c:pt idx="3">
                  <c:v>2.0224797395294121</c:v>
                </c:pt>
                <c:pt idx="4">
                  <c:v>143258981.55000004</c:v>
                </c:pt>
                <c:pt idx="5">
                  <c:v>143258981.55000001</c:v>
                </c:pt>
                <c:pt idx="6">
                  <c:v>143258981.55000001</c:v>
                </c:pt>
                <c:pt idx="7">
                  <c:v>143258981.55000001</c:v>
                </c:pt>
                <c:pt idx="8">
                  <c:v>143258981.55000001</c:v>
                </c:pt>
                <c:pt idx="9">
                  <c:v>143258981.55000001</c:v>
                </c:pt>
                <c:pt idx="10">
                  <c:v>143258981.55000001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4B-40FB-AC9D-A7B18FC26179}"/>
            </c:ext>
          </c:extLst>
        </c:ser>
        <c:ser>
          <c:idx val="5"/>
          <c:order val="5"/>
          <c:tx>
            <c:strRef>
              <c:f>'نسبتهای ایجادی'!$B$17</c:f>
              <c:strCache>
                <c:ptCount val="1"/>
                <c:pt idx="0">
                  <c:v>گردش سرمایه جاری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ایجادی'!$C$17:$M$17</c:f>
              <c:numCache>
                <c:formatCode>0.000</c:formatCode>
                <c:ptCount val="11"/>
                <c:pt idx="0">
                  <c:v>41.401588625325331</c:v>
                </c:pt>
                <c:pt idx="1">
                  <c:v>62.10238293798799</c:v>
                </c:pt>
                <c:pt idx="2">
                  <c:v>82.803177250650663</c:v>
                </c:pt>
                <c:pt idx="3">
                  <c:v>117.30450110508843</c:v>
                </c:pt>
                <c:pt idx="4">
                  <c:v>1.6560635450130131E-6</c:v>
                </c:pt>
                <c:pt idx="5">
                  <c:v>1.6560635450130133E-6</c:v>
                </c:pt>
                <c:pt idx="6">
                  <c:v>1.6560635450130133E-6</c:v>
                </c:pt>
                <c:pt idx="7">
                  <c:v>1.6560635450130133E-6</c:v>
                </c:pt>
                <c:pt idx="8">
                  <c:v>1.6560635450130133E-6</c:v>
                </c:pt>
                <c:pt idx="9">
                  <c:v>1.6560635450130133E-6</c:v>
                </c:pt>
                <c:pt idx="10">
                  <c:v>1.6560635450130133E-6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4B-40FB-AC9D-A7B18FC26179}"/>
            </c:ext>
          </c:extLst>
        </c:ser>
        <c:ser>
          <c:idx val="6"/>
          <c:order val="6"/>
          <c:tx>
            <c:strRef>
              <c:f>'نسبتهای ایجادی'!$B$19</c:f>
              <c:strCache>
                <c:ptCount val="1"/>
                <c:pt idx="0">
                  <c:v> سود ناخالص به فروش (درصد)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ایجادی'!$C$19:$M$19</c:f>
              <c:numCache>
                <c:formatCode>0.000</c:formatCode>
                <c:ptCount val="11"/>
                <c:pt idx="0">
                  <c:v>10.914767959882578</c:v>
                </c:pt>
                <c:pt idx="1">
                  <c:v>40.609845306588383</c:v>
                </c:pt>
                <c:pt idx="2">
                  <c:v>55.457383979941291</c:v>
                </c:pt>
                <c:pt idx="3">
                  <c:v>68.558153397605608</c:v>
                </c:pt>
                <c:pt idx="4">
                  <c:v>-2227130701.0029359</c:v>
                </c:pt>
                <c:pt idx="5">
                  <c:v>-298878587.5</c:v>
                </c:pt>
                <c:pt idx="6">
                  <c:v>-298878587.5</c:v>
                </c:pt>
                <c:pt idx="7">
                  <c:v>-298878587.5</c:v>
                </c:pt>
                <c:pt idx="8">
                  <c:v>-298878587.5</c:v>
                </c:pt>
                <c:pt idx="9">
                  <c:v>-298878587.5</c:v>
                </c:pt>
                <c:pt idx="10">
                  <c:v>-290129837.5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4B-40FB-AC9D-A7B18FC26179}"/>
            </c:ext>
          </c:extLst>
        </c:ser>
        <c:ser>
          <c:idx val="7"/>
          <c:order val="7"/>
          <c:tx>
            <c:strRef>
              <c:f>'نسبتهای ایجادی'!$B$21</c:f>
              <c:strCache>
                <c:ptCount val="1"/>
                <c:pt idx="0">
                  <c:v> بازده فروش (درصد)  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ایجادی'!$C$21:$M$21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12.598341689882576</c:v>
                </c:pt>
                <c:pt idx="3">
                  <c:v>38.30471178109358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4B-40FB-AC9D-A7B18FC26179}"/>
            </c:ext>
          </c:extLst>
        </c:ser>
        <c:ser>
          <c:idx val="8"/>
          <c:order val="8"/>
          <c:tx>
            <c:strRef>
              <c:f>'نسبتهای ایجادی'!$B$23</c:f>
              <c:strCache>
                <c:ptCount val="1"/>
                <c:pt idx="0">
                  <c:v> بازده دارئيها (درصد)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ایجادی'!$C$23:$M$23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6.0302354341736777</c:v>
                </c:pt>
                <c:pt idx="3">
                  <c:v>20.618612818200052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4B-40FB-AC9D-A7B18FC26179}"/>
            </c:ext>
          </c:extLst>
        </c:ser>
        <c:ser>
          <c:idx val="9"/>
          <c:order val="9"/>
          <c:tx>
            <c:strRef>
              <c:f>'نسبتهای ایجادی'!$B$27</c:f>
              <c:strCache>
                <c:ptCount val="1"/>
                <c:pt idx="0">
                  <c:v> بازده حقوق صاحبان سهام ( درصد) </c:v>
                </c:pt>
              </c:strCache>
            </c:strRef>
          </c:tx>
          <c:spPr>
            <a:ln w="12700">
              <a:solidFill>
                <a:srgbClr val="CC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CCFFFF"/>
              </a:solidFill>
              <a:ln>
                <a:solidFill>
                  <a:srgbClr val="CCFF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ایجادی'!$C$27:$M$27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-35.450032107341592</c:v>
                </c:pt>
                <c:pt idx="3">
                  <c:v>289.77346829636332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4B-40FB-AC9D-A7B18FC26179}"/>
            </c:ext>
          </c:extLst>
        </c:ser>
        <c:ser>
          <c:idx val="10"/>
          <c:order val="10"/>
          <c:tx>
            <c:strRef>
              <c:f>'نسبتهای ایجادی'!$B$29</c:f>
              <c:strCache>
                <c:ptCount val="1"/>
                <c:pt idx="0">
                  <c:v> نسبت مالكانه (درصد)</c:v>
                </c:pt>
              </c:strCache>
            </c:strRef>
          </c:tx>
          <c:spPr>
            <a:ln w="12700">
              <a:solidFill>
                <a:srgbClr val="EBFFEB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EBFFEB"/>
              </a:solidFill>
              <a:ln>
                <a:solidFill>
                  <a:srgbClr val="EBFFEB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ایجادی'!$C$29:$M$29</c:f>
              <c:numCache>
                <c:formatCode>0.000</c:formatCode>
                <c:ptCount val="11"/>
                <c:pt idx="0">
                  <c:v>-17.120782933561365</c:v>
                </c:pt>
                <c:pt idx="1">
                  <c:v>-24.519330579327093</c:v>
                </c:pt>
                <c:pt idx="2">
                  <c:v>-17.01052178433665</c:v>
                </c:pt>
                <c:pt idx="3">
                  <c:v>7.1154246589313495</c:v>
                </c:pt>
                <c:pt idx="4">
                  <c:v>-39.068048836666435</c:v>
                </c:pt>
                <c:pt idx="5">
                  <c:v>-47.980194379145424</c:v>
                </c:pt>
                <c:pt idx="6">
                  <c:v>-58.112819917691958</c:v>
                </c:pt>
                <c:pt idx="7">
                  <c:v>-69.735063317009434</c:v>
                </c:pt>
                <c:pt idx="8">
                  <c:v>-83.201473690658347</c:v>
                </c:pt>
                <c:pt idx="9">
                  <c:v>-98.988812861424947</c:v>
                </c:pt>
                <c:pt idx="10">
                  <c:v>-117.41481441801346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4B-40FB-AC9D-A7B18FC26179}"/>
            </c:ext>
          </c:extLst>
        </c:ser>
        <c:ser>
          <c:idx val="11"/>
          <c:order val="11"/>
          <c:tx>
            <c:strRef>
              <c:f>'نسبتهای ایجادی'!$B$31</c:f>
              <c:strCache>
                <c:ptCount val="1"/>
                <c:pt idx="0">
                  <c:v> نسبت بدهي (درصد) </c:v>
                </c:pt>
              </c:strCache>
            </c:strRef>
          </c:tx>
          <c:spPr>
            <a:ln w="12700">
              <a:solidFill>
                <a:srgbClr val="FFFF99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99"/>
              </a:solidFill>
              <a:ln>
                <a:solidFill>
                  <a:srgbClr val="FFFF99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ایجادی'!$C$31:$M$31</c:f>
              <c:numCache>
                <c:formatCode>0.000</c:formatCode>
                <c:ptCount val="11"/>
                <c:pt idx="0">
                  <c:v>117.12078293356137</c:v>
                </c:pt>
                <c:pt idx="1">
                  <c:v>124.51933057932709</c:v>
                </c:pt>
                <c:pt idx="2">
                  <c:v>117.01052178433665</c:v>
                </c:pt>
                <c:pt idx="3">
                  <c:v>92.884575341068654</c:v>
                </c:pt>
                <c:pt idx="4">
                  <c:v>139.06804883666643</c:v>
                </c:pt>
                <c:pt idx="5">
                  <c:v>147.98019437914542</c:v>
                </c:pt>
                <c:pt idx="6">
                  <c:v>158.11281991769195</c:v>
                </c:pt>
                <c:pt idx="7">
                  <c:v>169.73506331700943</c:v>
                </c:pt>
                <c:pt idx="8">
                  <c:v>183.20147369065836</c:v>
                </c:pt>
                <c:pt idx="9">
                  <c:v>198.98881286142495</c:v>
                </c:pt>
                <c:pt idx="10">
                  <c:v>217.41481441801346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4B-40FB-AC9D-A7B18FC26179}"/>
            </c:ext>
          </c:extLst>
        </c:ser>
        <c:ser>
          <c:idx val="12"/>
          <c:order val="12"/>
          <c:tx>
            <c:strRef>
              <c:f>'نسبتهای ایجادی'!$B$33</c:f>
              <c:strCache>
                <c:ptCount val="1"/>
                <c:pt idx="0">
                  <c:v> نسبت بدهي جاري (درصد) 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99CC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ایجادی'!$C$33:$M$33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4B-40FB-AC9D-A7B18FC26179}"/>
            </c:ext>
          </c:extLst>
        </c:ser>
        <c:ser>
          <c:idx val="13"/>
          <c:order val="13"/>
          <c:tx>
            <c:strRef>
              <c:f>'نسبتهای ایجادی'!$B$11</c:f>
              <c:strCache>
                <c:ptCount val="1"/>
                <c:pt idx="0">
                  <c:v>نسبت گردش نقدی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FF99CC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ایجادی'!$C$11:$M$11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F4B-40FB-AC9D-A7B18FC26179}"/>
            </c:ext>
          </c:extLst>
        </c:ser>
        <c:ser>
          <c:idx val="14"/>
          <c:order val="14"/>
          <c:tx>
            <c:strRef>
              <c:f>'نسبتهای ایجادی'!$B$25</c:f>
              <c:strCache>
                <c:ptCount val="1"/>
                <c:pt idx="0">
                  <c:v>شاخص سنجش سودمندی وام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ایجادی'!$C$25:$M$25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-5.8787144373243372</c:v>
                </c:pt>
                <c:pt idx="3">
                  <c:v>14.053974961913065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F4B-40FB-AC9D-A7B18FC26179}"/>
            </c:ext>
          </c:extLst>
        </c:ser>
        <c:ser>
          <c:idx val="15"/>
          <c:order val="15"/>
          <c:tx>
            <c:strRef>
              <c:f>'نسبتهای ایجادی'!$B$35</c:f>
              <c:strCache>
                <c:ptCount val="1"/>
                <c:pt idx="0">
                  <c:v>نسبت دارائی ثابت به ارزش ویژه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FFCC99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ایجادی'!$C$35:$M$35</c:f>
              <c:numCache>
                <c:formatCode>0.000</c:formatCode>
                <c:ptCount val="11"/>
                <c:pt idx="0">
                  <c:v>-4.6814061213733362</c:v>
                </c:pt>
                <c:pt idx="1">
                  <c:v>-1.8580218850507735</c:v>
                </c:pt>
                <c:pt idx="2">
                  <c:v>-0.32606756237976309</c:v>
                </c:pt>
                <c:pt idx="3">
                  <c:v>-3.5384328079632361</c:v>
                </c:pt>
                <c:pt idx="4">
                  <c:v>2.0984975815301246</c:v>
                </c:pt>
                <c:pt idx="5">
                  <c:v>1.8312819373976261</c:v>
                </c:pt>
                <c:pt idx="6">
                  <c:v>1.6270369649280432</c:v>
                </c:pt>
                <c:pt idx="7">
                  <c:v>1.4658499131312868</c:v>
                </c:pt>
                <c:pt idx="8">
                  <c:v>1.3354032537416338</c:v>
                </c:pt>
                <c:pt idx="9">
                  <c:v>1.2276686695754622</c:v>
                </c:pt>
                <c:pt idx="10">
                  <c:v>1.1373714095825329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4B-40FB-AC9D-A7B18FC26179}"/>
            </c:ext>
          </c:extLst>
        </c:ser>
        <c:ser>
          <c:idx val="16"/>
          <c:order val="16"/>
          <c:tx>
            <c:strRef>
              <c:f>'نسبتهای ایجادی'!$B$37</c:f>
              <c:strCache>
                <c:ptCount val="1"/>
                <c:pt idx="0">
                  <c:v>نسبت کل بدهی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3366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ایجادی'!$C$37:$M$37</c:f>
              <c:numCache>
                <c:formatCode>0.000</c:formatCode>
                <c:ptCount val="11"/>
                <c:pt idx="0">
                  <c:v>-5.8408543807872793</c:v>
                </c:pt>
                <c:pt idx="1">
                  <c:v>-4.0784147706019631</c:v>
                </c:pt>
                <c:pt idx="2">
                  <c:v>-5.8787144373243372</c:v>
                </c:pt>
                <c:pt idx="3">
                  <c:v>14.053974961913067</c:v>
                </c:pt>
                <c:pt idx="4">
                  <c:v>-2.5596364030892489</c:v>
                </c:pt>
                <c:pt idx="5">
                  <c:v>-2.0841933071339316</c:v>
                </c:pt>
                <c:pt idx="6">
                  <c:v>-1.720790698879092</c:v>
                </c:pt>
                <c:pt idx="7">
                  <c:v>-1.4339988413778131</c:v>
                </c:pt>
                <c:pt idx="8">
                  <c:v>-1.2019017880836849</c:v>
                </c:pt>
                <c:pt idx="9">
                  <c:v>-1.0102151658287946</c:v>
                </c:pt>
                <c:pt idx="10">
                  <c:v>-0.85168128481628935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F4B-40FB-AC9D-A7B18FC26179}"/>
            </c:ext>
          </c:extLst>
        </c:ser>
        <c:ser>
          <c:idx val="17"/>
          <c:order val="17"/>
          <c:tx>
            <c:strRef>
              <c:f>'نسبتهای ایجادی'!$B$39</c:f>
              <c:strCache>
                <c:ptCount val="1"/>
                <c:pt idx="0">
                  <c:v>نسبت بدهی جاری به ارزش ویژه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ایجادی'!$C$39:$M$39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4B-40FB-AC9D-A7B18FC26179}"/>
            </c:ext>
          </c:extLst>
        </c:ser>
        <c:ser>
          <c:idx val="18"/>
          <c:order val="18"/>
          <c:tx>
            <c:strRef>
              <c:f>'نسبتهای ایجادی'!$B$41</c:f>
              <c:strCache>
                <c:ptCount val="1"/>
                <c:pt idx="0">
                  <c:v>نسبت بدهی بلند مدت به سرمایه در گردش</c:v>
                </c:pt>
              </c:strCache>
            </c:strRef>
          </c:tx>
          <c:spPr>
            <a:ln w="12700">
              <a:solidFill>
                <a:srgbClr val="99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ایجادی'!$C$41:$M$41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4B-40FB-AC9D-A7B18FC26179}"/>
            </c:ext>
          </c:extLst>
        </c:ser>
        <c:ser>
          <c:idx val="19"/>
          <c:order val="19"/>
          <c:tx>
            <c:strRef>
              <c:f>'نسبتهای ایجادی'!$B$43</c:f>
              <c:strCache>
                <c:ptCount val="1"/>
                <c:pt idx="0">
                  <c:v>نسبت پوشش بهره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ایجادی'!$C$43:$M$43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F4B-40FB-AC9D-A7B18FC26179}"/>
            </c:ext>
          </c:extLst>
        </c:ser>
        <c:ser>
          <c:idx val="20"/>
          <c:order val="20"/>
          <c:tx>
            <c:strRef>
              <c:f>'نسبتهای ایجادی'!$B$45</c:f>
              <c:strCache>
                <c:ptCount val="1"/>
                <c:pt idx="0">
                  <c:v>نسبت بار مالی وام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ایجادی'!$C$45:$M$45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F4B-40FB-AC9D-A7B18FC26179}"/>
            </c:ext>
          </c:extLst>
        </c:ser>
        <c:ser>
          <c:idx val="21"/>
          <c:order val="21"/>
          <c:tx>
            <c:strRef>
              <c:f>'نسبتهای ایجادی'!$B$47</c:f>
              <c:strCache>
                <c:ptCount val="1"/>
                <c:pt idx="0">
                  <c:v>نسبت گردش نقدی به بدهی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ایجادی'!$C$47:$M$47</c:f>
              <c:numCache>
                <c:formatCode>0.000</c:formatCode>
                <c:ptCount val="11"/>
                <c:pt idx="0">
                  <c:v>0.19272055969621774</c:v>
                </c:pt>
                <c:pt idx="1">
                  <c:v>0.33337914178184963</c:v>
                </c:pt>
                <c:pt idx="2">
                  <c:v>0.43293887221280941</c:v>
                </c:pt>
                <c:pt idx="3">
                  <c:v>0.50199016521401374</c:v>
                </c:pt>
                <c:pt idx="4">
                  <c:v>-5.4331768315845796E-2</c:v>
                </c:pt>
                <c:pt idx="5">
                  <c:v>-5.7813607824356975E-2</c:v>
                </c:pt>
                <c:pt idx="6">
                  <c:v>-6.1772270276277297E-2</c:v>
                </c:pt>
                <c:pt idx="7">
                  <c:v>-6.6312903735683368E-2</c:v>
                </c:pt>
                <c:pt idx="8">
                  <c:v>-7.1574025140546935E-2</c:v>
                </c:pt>
                <c:pt idx="9">
                  <c:v>-7.7741898072719806E-2</c:v>
                </c:pt>
                <c:pt idx="10">
                  <c:v>-8.4940656205407652E-2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4B-40FB-AC9D-A7B18FC26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194176"/>
        <c:axId val="1"/>
      </c:lineChart>
      <c:catAx>
        <c:axId val="28319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220000" vert="horz"/>
          <a:lstStyle/>
          <a:p>
            <a:pPr>
              <a:defRPr sz="10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95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4.3782563989317284E-3"/>
              <c:y val="0.384242962276774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5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3194176"/>
        <c:crosses val="autoZero"/>
        <c:crossBetween val="between"/>
        <c:majorUnit val="769021824206222.63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3134861209833435E-2"/>
          <c:y val="0.89441742576295602"/>
          <c:w val="0.96584936085443318"/>
          <c:h val="9.223302969481750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35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210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5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میانگین نسبتهای مالی</a:t>
            </a:r>
          </a:p>
        </c:rich>
      </c:tx>
      <c:layout>
        <c:manualLayout>
          <c:xMode val="edge"/>
          <c:yMode val="edge"/>
          <c:x val="0.39979466595452545"/>
          <c:y val="7.587234111073539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27446990344271"/>
          <c:y val="0.13960546282245828"/>
          <c:w val="0.8499490390690434"/>
          <c:h val="0.5280728376327769"/>
        </c:manualLayout>
      </c:layout>
      <c:barChart>
        <c:barDir val="col"/>
        <c:grouping val="clustered"/>
        <c:varyColors val="0"/>
        <c:ser>
          <c:idx val="0"/>
          <c:order val="0"/>
          <c:tx>
            <c:v>نسبتها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0" i="0" u="none" strike="noStrike" baseline="0">
                    <a:solidFill>
                      <a:srgbClr val="333333"/>
                    </a:solidFill>
                    <a:latin typeface="B Lotus"/>
                    <a:ea typeface="B Lotus"/>
                    <a:cs typeface="B Lotu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'نسبتهای ایجادی'!$B$5:$B$47</c:f>
              <c:strCache>
                <c:ptCount val="22"/>
                <c:pt idx="0">
                  <c:v> نسبت جاري </c:v>
                </c:pt>
                <c:pt idx="1">
                  <c:v> نسبت آني </c:v>
                </c:pt>
                <c:pt idx="2">
                  <c:v> نسبت دارائيهاي جاري </c:v>
                </c:pt>
                <c:pt idx="3">
                  <c:v>نسبت گردش نقدی</c:v>
                </c:pt>
                <c:pt idx="4">
                  <c:v> دوره گردش موجوديها  (روز)</c:v>
                </c:pt>
                <c:pt idx="5">
                  <c:v> دوره وصول مطالبات  (روز)</c:v>
                </c:pt>
                <c:pt idx="6">
                  <c:v>گردش سرمایه جاری</c:v>
                </c:pt>
                <c:pt idx="7">
                  <c:v> سود ناخالص به فروش (درصد)</c:v>
                </c:pt>
                <c:pt idx="8">
                  <c:v> بازده فروش (درصد)  </c:v>
                </c:pt>
                <c:pt idx="9">
                  <c:v> بازده دارئيها (درصد)</c:v>
                </c:pt>
                <c:pt idx="10">
                  <c:v>شاخص سنجش سودمندی وام</c:v>
                </c:pt>
                <c:pt idx="11">
                  <c:v> بازده حقوق صاحبان سهام ( درصد) </c:v>
                </c:pt>
                <c:pt idx="12">
                  <c:v> نسبت مالكانه (درصد)</c:v>
                </c:pt>
                <c:pt idx="13">
                  <c:v> نسبت بدهي (درصد) </c:v>
                </c:pt>
                <c:pt idx="14">
                  <c:v> نسبت بدهي جاري (درصد) </c:v>
                </c:pt>
                <c:pt idx="15">
                  <c:v>نسبت دارائی ثابت به ارزش ویژه</c:v>
                </c:pt>
                <c:pt idx="16">
                  <c:v>نسبت کل بدهی</c:v>
                </c:pt>
                <c:pt idx="17">
                  <c:v>نسبت بدهی جاری به ارزش ویژه</c:v>
                </c:pt>
                <c:pt idx="18">
                  <c:v>نسبت بدهی بلند مدت به سرمایه در گردش</c:v>
                </c:pt>
                <c:pt idx="19">
                  <c:v>نسبت پوشش بهره</c:v>
                </c:pt>
                <c:pt idx="20">
                  <c:v>نسبت بار مالی وام</c:v>
                </c:pt>
                <c:pt idx="21">
                  <c:v>نسبت گردش نقدی به بدهی</c:v>
                </c:pt>
              </c:strCache>
            </c:strRef>
          </c:cat>
          <c:val>
            <c:numRef>
              <c:f>'نسبتهای ایجادی'!$N$5:$N$47</c:f>
              <c:numCache>
                <c:formatCode>0.000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1.5697487542264832</c:v>
                </c:pt>
                <c:pt idx="3">
                  <c:v>0</c:v>
                </c:pt>
                <c:pt idx="4">
                  <c:v>14.95718434523236</c:v>
                </c:pt>
                <c:pt idx="5">
                  <c:v>91164807.493007138</c:v>
                </c:pt>
                <c:pt idx="6">
                  <c:v>27.60106013740884</c:v>
                </c:pt>
                <c:pt idx="7">
                  <c:v>-364695754.5875259</c:v>
                </c:pt>
                <c:pt idx="8">
                  <c:v>25.451526735488077</c:v>
                </c:pt>
                <c:pt idx="9">
                  <c:v>13.324424126186866</c:v>
                </c:pt>
                <c:pt idx="10">
                  <c:v>0</c:v>
                </c:pt>
                <c:pt idx="11">
                  <c:v>127.16171809451086</c:v>
                </c:pt>
                <c:pt idx="12">
                  <c:v>-51.457858005354886</c:v>
                </c:pt>
                <c:pt idx="13">
                  <c:v>151.45785800535489</c:v>
                </c:pt>
                <c:pt idx="14">
                  <c:v>0</c:v>
                </c:pt>
                <c:pt idx="15">
                  <c:v>2.9016486647236439E-2</c:v>
                </c:pt>
                <c:pt idx="16">
                  <c:v>-1.1460387378190333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8.9685600848550248E-2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63-41EC-9926-440FE0AB5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429824"/>
        <c:axId val="1"/>
      </c:barChart>
      <c:catAx>
        <c:axId val="28342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22000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25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درصد</a:t>
                </a:r>
              </a:p>
            </c:rich>
          </c:tx>
          <c:layout>
            <c:manualLayout>
              <c:xMode val="edge"/>
              <c:yMode val="edge"/>
              <c:x val="5.1387461459403904E-3"/>
              <c:y val="0.35053121427306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283429824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75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CheckBox" fmlaLink="$M$10" lockText="1"/>
</file>

<file path=xl/ctrlProps/ctrlProp10.xml><?xml version="1.0" encoding="utf-8"?>
<formControlPr xmlns="http://schemas.microsoft.com/office/spreadsheetml/2009/9/main" objectType="CheckBox" fmlaLink="$T$13" lockText="1"/>
</file>

<file path=xl/ctrlProps/ctrlProp11.xml><?xml version="1.0" encoding="utf-8"?>
<formControlPr xmlns="http://schemas.microsoft.com/office/spreadsheetml/2009/9/main" objectType="CheckBox" fmlaLink="$T$14" lockText="1"/>
</file>

<file path=xl/ctrlProps/ctrlProp12.xml><?xml version="1.0" encoding="utf-8"?>
<formControlPr xmlns="http://schemas.microsoft.com/office/spreadsheetml/2009/9/main" objectType="CheckBox" fmlaLink="$T$15" lockText="1"/>
</file>

<file path=xl/ctrlProps/ctrlProp13.xml><?xml version="1.0" encoding="utf-8"?>
<formControlPr xmlns="http://schemas.microsoft.com/office/spreadsheetml/2009/9/main" objectType="CheckBox" fmlaLink="$T$16" lockText="1"/>
</file>

<file path=xl/ctrlProps/ctrlProp14.xml><?xml version="1.0" encoding="utf-8"?>
<formControlPr xmlns="http://schemas.microsoft.com/office/spreadsheetml/2009/9/main" objectType="CheckBox" fmlaLink="$T$17" lockText="1"/>
</file>

<file path=xl/ctrlProps/ctrlProp15.xml><?xml version="1.0" encoding="utf-8"?>
<formControlPr xmlns="http://schemas.microsoft.com/office/spreadsheetml/2009/9/main" objectType="CheckBox" fmlaLink="$T$18" lockText="1"/>
</file>

<file path=xl/ctrlProps/ctrlProp16.xml><?xml version="1.0" encoding="utf-8"?>
<formControlPr xmlns="http://schemas.microsoft.com/office/spreadsheetml/2009/9/main" objectType="CheckBox" fmlaLink="$T$19" lockText="1"/>
</file>

<file path=xl/ctrlProps/ctrlProp17.xml><?xml version="1.0" encoding="utf-8"?>
<formControlPr xmlns="http://schemas.microsoft.com/office/spreadsheetml/2009/9/main" objectType="CheckBox" fmlaLink="$T$20" lockText="1"/>
</file>

<file path=xl/ctrlProps/ctrlProp18.xml><?xml version="1.0" encoding="utf-8"?>
<formControlPr xmlns="http://schemas.microsoft.com/office/spreadsheetml/2009/9/main" objectType="CheckBox" fmlaLink="$T$21" lockText="1"/>
</file>

<file path=xl/ctrlProps/ctrlProp2.xml><?xml version="1.0" encoding="utf-8"?>
<formControlPr xmlns="http://schemas.microsoft.com/office/spreadsheetml/2009/9/main" objectType="CheckBox" fmlaLink="$M$11" lockText="1"/>
</file>

<file path=xl/ctrlProps/ctrlProp3.xml><?xml version="1.0" encoding="utf-8"?>
<formControlPr xmlns="http://schemas.microsoft.com/office/spreadsheetml/2009/9/main" objectType="CheckBox" checked="Checked" fmlaLink="$T$4" lockText="1"/>
</file>

<file path=xl/ctrlProps/ctrlProp4.xml><?xml version="1.0" encoding="utf-8"?>
<formControlPr xmlns="http://schemas.microsoft.com/office/spreadsheetml/2009/9/main" objectType="CheckBox" fmlaLink="$T$5" lockText="1"/>
</file>

<file path=xl/ctrlProps/ctrlProp5.xml><?xml version="1.0" encoding="utf-8"?>
<formControlPr xmlns="http://schemas.microsoft.com/office/spreadsheetml/2009/9/main" objectType="CheckBox" checked="Checked" fmlaLink="$T$7" lockText="1"/>
</file>

<file path=xl/ctrlProps/ctrlProp6.xml><?xml version="1.0" encoding="utf-8"?>
<formControlPr xmlns="http://schemas.microsoft.com/office/spreadsheetml/2009/9/main" objectType="CheckBox" fmlaLink="$T$8" lockText="1"/>
</file>

<file path=xl/ctrlProps/ctrlProp7.xml><?xml version="1.0" encoding="utf-8"?>
<formControlPr xmlns="http://schemas.microsoft.com/office/spreadsheetml/2009/9/main" objectType="CheckBox" fmlaLink="$T$9" lockText="1"/>
</file>

<file path=xl/ctrlProps/ctrlProp8.xml><?xml version="1.0" encoding="utf-8"?>
<formControlPr xmlns="http://schemas.microsoft.com/office/spreadsheetml/2009/9/main" objectType="CheckBox" fmlaLink="$T$11" lockText="1"/>
</file>

<file path=xl/ctrlProps/ctrlProp9.xml><?xml version="1.0" encoding="utf-8"?>
<formControlPr xmlns="http://schemas.microsoft.com/office/spreadsheetml/2009/9/main" objectType="CheckBox" fmlaLink="$T$12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33</xdr:row>
      <xdr:rowOff>19050</xdr:rowOff>
    </xdr:from>
    <xdr:to>
      <xdr:col>10</xdr:col>
      <xdr:colOff>600075</xdr:colOff>
      <xdr:row>52</xdr:row>
      <xdr:rowOff>114300</xdr:rowOff>
    </xdr:to>
    <xdr:graphicFrame macro="">
      <xdr:nvGraphicFramePr>
        <xdr:cNvPr id="17721" name="Chart 1">
          <a:extLst>
            <a:ext uri="{FF2B5EF4-FFF2-40B4-BE49-F238E27FC236}">
              <a16:creationId xmlns:a16="http://schemas.microsoft.com/office/drawing/2014/main" id="{00000000-0008-0000-1000-0000394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1171575</xdr:colOff>
      <xdr:row>54</xdr:row>
      <xdr:rowOff>133350</xdr:rowOff>
    </xdr:from>
    <xdr:to>
      <xdr:col>10</xdr:col>
      <xdr:colOff>609600</xdr:colOff>
      <xdr:row>70</xdr:row>
      <xdr:rowOff>142875</xdr:rowOff>
    </xdr:to>
    <xdr:graphicFrame macro="">
      <xdr:nvGraphicFramePr>
        <xdr:cNvPr id="17722" name="Chart 2">
          <a:extLst>
            <a:ext uri="{FF2B5EF4-FFF2-40B4-BE49-F238E27FC236}">
              <a16:creationId xmlns:a16="http://schemas.microsoft.com/office/drawing/2014/main" id="{00000000-0008-0000-1000-00003A4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2</xdr:row>
      <xdr:rowOff>9525</xdr:rowOff>
    </xdr:from>
    <xdr:to>
      <xdr:col>15</xdr:col>
      <xdr:colOff>0</xdr:colOff>
      <xdr:row>32</xdr:row>
      <xdr:rowOff>66675</xdr:rowOff>
    </xdr:to>
    <xdr:graphicFrame macro="">
      <xdr:nvGraphicFramePr>
        <xdr:cNvPr id="9088" name="Chart 1">
          <a:extLst>
            <a:ext uri="{FF2B5EF4-FFF2-40B4-BE49-F238E27FC236}">
              <a16:creationId xmlns:a16="http://schemas.microsoft.com/office/drawing/2014/main" id="{00000000-0008-0000-2500-0000802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34</xdr:row>
      <xdr:rowOff>0</xdr:rowOff>
    </xdr:from>
    <xdr:to>
      <xdr:col>15</xdr:col>
      <xdr:colOff>19050</xdr:colOff>
      <xdr:row>77</xdr:row>
      <xdr:rowOff>0</xdr:rowOff>
    </xdr:to>
    <xdr:graphicFrame macro="">
      <xdr:nvGraphicFramePr>
        <xdr:cNvPr id="9089" name="Chart 2">
          <a:extLst>
            <a:ext uri="{FF2B5EF4-FFF2-40B4-BE49-F238E27FC236}">
              <a16:creationId xmlns:a16="http://schemas.microsoft.com/office/drawing/2014/main" id="{00000000-0008-0000-2500-0000812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266700</xdr:colOff>
      <xdr:row>82</xdr:row>
      <xdr:rowOff>9525</xdr:rowOff>
    </xdr:from>
    <xdr:to>
      <xdr:col>15</xdr:col>
      <xdr:colOff>95250</xdr:colOff>
      <xdr:row>125</xdr:row>
      <xdr:rowOff>9525</xdr:rowOff>
    </xdr:to>
    <xdr:graphicFrame macro="">
      <xdr:nvGraphicFramePr>
        <xdr:cNvPr id="9090" name="Chart 4">
          <a:extLst>
            <a:ext uri="{FF2B5EF4-FFF2-40B4-BE49-F238E27FC236}">
              <a16:creationId xmlns:a16="http://schemas.microsoft.com/office/drawing/2014/main" id="{00000000-0008-0000-2500-0000822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428625</xdr:colOff>
      <xdr:row>127</xdr:row>
      <xdr:rowOff>152400</xdr:rowOff>
    </xdr:from>
    <xdr:to>
      <xdr:col>15</xdr:col>
      <xdr:colOff>104775</xdr:colOff>
      <xdr:row>171</xdr:row>
      <xdr:rowOff>0</xdr:rowOff>
    </xdr:to>
    <xdr:graphicFrame macro="">
      <xdr:nvGraphicFramePr>
        <xdr:cNvPr id="9091" name="Chart 5">
          <a:extLst>
            <a:ext uri="{FF2B5EF4-FFF2-40B4-BE49-F238E27FC236}">
              <a16:creationId xmlns:a16="http://schemas.microsoft.com/office/drawing/2014/main" id="{00000000-0008-0000-2500-0000832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304800</xdr:colOff>
      <xdr:row>175</xdr:row>
      <xdr:rowOff>9525</xdr:rowOff>
    </xdr:from>
    <xdr:to>
      <xdr:col>10</xdr:col>
      <xdr:colOff>352425</xdr:colOff>
      <xdr:row>199</xdr:row>
      <xdr:rowOff>57150</xdr:rowOff>
    </xdr:to>
    <xdr:graphicFrame macro="">
      <xdr:nvGraphicFramePr>
        <xdr:cNvPr id="9092" name="Chart 6">
          <a:extLst>
            <a:ext uri="{FF2B5EF4-FFF2-40B4-BE49-F238E27FC236}">
              <a16:creationId xmlns:a16="http://schemas.microsoft.com/office/drawing/2014/main" id="{00000000-0008-0000-2500-0000842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400050</xdr:colOff>
      <xdr:row>202</xdr:row>
      <xdr:rowOff>0</xdr:rowOff>
    </xdr:from>
    <xdr:to>
      <xdr:col>13</xdr:col>
      <xdr:colOff>485775</xdr:colOff>
      <xdr:row>230</xdr:row>
      <xdr:rowOff>104775</xdr:rowOff>
    </xdr:to>
    <xdr:graphicFrame macro="">
      <xdr:nvGraphicFramePr>
        <xdr:cNvPr id="9093" name="Chart 7">
          <a:extLst>
            <a:ext uri="{FF2B5EF4-FFF2-40B4-BE49-F238E27FC236}">
              <a16:creationId xmlns:a16="http://schemas.microsoft.com/office/drawing/2014/main" id="{00000000-0008-0000-2500-0000852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15240</xdr:colOff>
          <xdr:row>26</xdr:row>
          <xdr:rowOff>76200</xdr:rowOff>
        </xdr:from>
        <xdr:to>
          <xdr:col>8</xdr:col>
          <xdr:colOff>327660</xdr:colOff>
          <xdr:row>27</xdr:row>
          <xdr:rowOff>121920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2A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381000</xdr:colOff>
          <xdr:row>26</xdr:row>
          <xdr:rowOff>45720</xdr:rowOff>
        </xdr:from>
        <xdr:to>
          <xdr:col>10</xdr:col>
          <xdr:colOff>685800</xdr:colOff>
          <xdr:row>27</xdr:row>
          <xdr:rowOff>99060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2A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30480</xdr:colOff>
          <xdr:row>14</xdr:row>
          <xdr:rowOff>45720</xdr:rowOff>
        </xdr:from>
        <xdr:to>
          <xdr:col>2</xdr:col>
          <xdr:colOff>335280</xdr:colOff>
          <xdr:row>14</xdr:row>
          <xdr:rowOff>266700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2B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38100</xdr:colOff>
          <xdr:row>15</xdr:row>
          <xdr:rowOff>68580</xdr:rowOff>
        </xdr:from>
        <xdr:to>
          <xdr:col>2</xdr:col>
          <xdr:colOff>342900</xdr:colOff>
          <xdr:row>15</xdr:row>
          <xdr:rowOff>289560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2B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60960</xdr:colOff>
          <xdr:row>17</xdr:row>
          <xdr:rowOff>45720</xdr:rowOff>
        </xdr:from>
        <xdr:to>
          <xdr:col>2</xdr:col>
          <xdr:colOff>365760</xdr:colOff>
          <xdr:row>17</xdr:row>
          <xdr:rowOff>266700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2B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68580</xdr:colOff>
          <xdr:row>18</xdr:row>
          <xdr:rowOff>45720</xdr:rowOff>
        </xdr:from>
        <xdr:to>
          <xdr:col>2</xdr:col>
          <xdr:colOff>373380</xdr:colOff>
          <xdr:row>18</xdr:row>
          <xdr:rowOff>266700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2B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83820</xdr:colOff>
          <xdr:row>19</xdr:row>
          <xdr:rowOff>45720</xdr:rowOff>
        </xdr:from>
        <xdr:to>
          <xdr:col>2</xdr:col>
          <xdr:colOff>388620</xdr:colOff>
          <xdr:row>19</xdr:row>
          <xdr:rowOff>266700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2B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114300</xdr:colOff>
          <xdr:row>9</xdr:row>
          <xdr:rowOff>45720</xdr:rowOff>
        </xdr:from>
        <xdr:to>
          <xdr:col>1</xdr:col>
          <xdr:colOff>419100</xdr:colOff>
          <xdr:row>9</xdr:row>
          <xdr:rowOff>266700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2B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114300</xdr:colOff>
          <xdr:row>9</xdr:row>
          <xdr:rowOff>45720</xdr:rowOff>
        </xdr:from>
        <xdr:to>
          <xdr:col>2</xdr:col>
          <xdr:colOff>419100</xdr:colOff>
          <xdr:row>9</xdr:row>
          <xdr:rowOff>266700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2B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114300</xdr:colOff>
          <xdr:row>9</xdr:row>
          <xdr:rowOff>45720</xdr:rowOff>
        </xdr:from>
        <xdr:to>
          <xdr:col>3</xdr:col>
          <xdr:colOff>419100</xdr:colOff>
          <xdr:row>9</xdr:row>
          <xdr:rowOff>266700</xdr:rowOff>
        </xdr:to>
        <xdr:sp macro="" textlink="">
          <xdr:nvSpPr>
            <xdr:cNvPr id="16400" name="Check Box 16" hidden="1">
              <a:extLst>
                <a:ext uri="{63B3BB69-23CF-44E3-9099-C40C66FF867C}">
                  <a14:compatExt spid="_x0000_s16400"/>
                </a:ext>
                <a:ext uri="{FF2B5EF4-FFF2-40B4-BE49-F238E27FC236}">
                  <a16:creationId xmlns:a16="http://schemas.microsoft.com/office/drawing/2014/main" id="{00000000-0008-0000-2B00-00001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114300</xdr:colOff>
          <xdr:row>9</xdr:row>
          <xdr:rowOff>45720</xdr:rowOff>
        </xdr:from>
        <xdr:to>
          <xdr:col>4</xdr:col>
          <xdr:colOff>419100</xdr:colOff>
          <xdr:row>9</xdr:row>
          <xdr:rowOff>266700</xdr:rowOff>
        </xdr:to>
        <xdr:sp macro="" textlink="">
          <xdr:nvSpPr>
            <xdr:cNvPr id="16401" name="Check Box 17" hidden="1">
              <a:extLst>
                <a:ext uri="{63B3BB69-23CF-44E3-9099-C40C66FF867C}">
                  <a14:compatExt spid="_x0000_s16401"/>
                </a:ext>
                <a:ext uri="{FF2B5EF4-FFF2-40B4-BE49-F238E27FC236}">
                  <a16:creationId xmlns:a16="http://schemas.microsoft.com/office/drawing/2014/main" id="{00000000-0008-0000-2B00-00001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114300</xdr:colOff>
          <xdr:row>9</xdr:row>
          <xdr:rowOff>45720</xdr:rowOff>
        </xdr:from>
        <xdr:to>
          <xdr:col>5</xdr:col>
          <xdr:colOff>419100</xdr:colOff>
          <xdr:row>9</xdr:row>
          <xdr:rowOff>266700</xdr:rowOff>
        </xdr:to>
        <xdr:sp macro="" textlink="">
          <xdr:nvSpPr>
            <xdr:cNvPr id="16402" name="Check Box 18" hidden="1">
              <a:extLst>
                <a:ext uri="{63B3BB69-23CF-44E3-9099-C40C66FF867C}">
                  <a14:compatExt spid="_x0000_s16402"/>
                </a:ext>
                <a:ext uri="{FF2B5EF4-FFF2-40B4-BE49-F238E27FC236}">
                  <a16:creationId xmlns:a16="http://schemas.microsoft.com/office/drawing/2014/main" id="{00000000-0008-0000-2B00-00001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114300</xdr:colOff>
          <xdr:row>9</xdr:row>
          <xdr:rowOff>45720</xdr:rowOff>
        </xdr:from>
        <xdr:to>
          <xdr:col>6</xdr:col>
          <xdr:colOff>419100</xdr:colOff>
          <xdr:row>9</xdr:row>
          <xdr:rowOff>266700</xdr:rowOff>
        </xdr:to>
        <xdr:sp macro="" textlink="">
          <xdr:nvSpPr>
            <xdr:cNvPr id="16403" name="Check Box 19" hidden="1">
              <a:extLst>
                <a:ext uri="{63B3BB69-23CF-44E3-9099-C40C66FF867C}">
                  <a14:compatExt spid="_x0000_s16403"/>
                </a:ext>
                <a:ext uri="{FF2B5EF4-FFF2-40B4-BE49-F238E27FC236}">
                  <a16:creationId xmlns:a16="http://schemas.microsoft.com/office/drawing/2014/main" id="{00000000-0008-0000-2B00-00001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114300</xdr:colOff>
          <xdr:row>9</xdr:row>
          <xdr:rowOff>45720</xdr:rowOff>
        </xdr:from>
        <xdr:to>
          <xdr:col>7</xdr:col>
          <xdr:colOff>419100</xdr:colOff>
          <xdr:row>9</xdr:row>
          <xdr:rowOff>266700</xdr:rowOff>
        </xdr:to>
        <xdr:sp macro="" textlink="">
          <xdr:nvSpPr>
            <xdr:cNvPr id="16404" name="Check Box 20" hidden="1">
              <a:extLst>
                <a:ext uri="{63B3BB69-23CF-44E3-9099-C40C66FF867C}">
                  <a14:compatExt spid="_x0000_s16404"/>
                </a:ext>
                <a:ext uri="{FF2B5EF4-FFF2-40B4-BE49-F238E27FC236}">
                  <a16:creationId xmlns:a16="http://schemas.microsoft.com/office/drawing/2014/main" id="{00000000-0008-0000-2B00-00001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114300</xdr:colOff>
          <xdr:row>9</xdr:row>
          <xdr:rowOff>45720</xdr:rowOff>
        </xdr:from>
        <xdr:to>
          <xdr:col>8</xdr:col>
          <xdr:colOff>419100</xdr:colOff>
          <xdr:row>9</xdr:row>
          <xdr:rowOff>266700</xdr:rowOff>
        </xdr:to>
        <xdr:sp macro="" textlink="">
          <xdr:nvSpPr>
            <xdr:cNvPr id="16405" name="Check Box 21" hidden="1">
              <a:extLst>
                <a:ext uri="{63B3BB69-23CF-44E3-9099-C40C66FF867C}">
                  <a14:compatExt spid="_x0000_s16405"/>
                </a:ext>
                <a:ext uri="{FF2B5EF4-FFF2-40B4-BE49-F238E27FC236}">
                  <a16:creationId xmlns:a16="http://schemas.microsoft.com/office/drawing/2014/main" id="{00000000-0008-0000-2B00-00001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114300</xdr:colOff>
          <xdr:row>9</xdr:row>
          <xdr:rowOff>45720</xdr:rowOff>
        </xdr:from>
        <xdr:to>
          <xdr:col>9</xdr:col>
          <xdr:colOff>419100</xdr:colOff>
          <xdr:row>9</xdr:row>
          <xdr:rowOff>266700</xdr:rowOff>
        </xdr:to>
        <xdr:sp macro="" textlink="">
          <xdr:nvSpPr>
            <xdr:cNvPr id="16406" name="Check Box 22" hidden="1">
              <a:extLst>
                <a:ext uri="{63B3BB69-23CF-44E3-9099-C40C66FF867C}">
                  <a14:compatExt spid="_x0000_s16406"/>
                </a:ext>
                <a:ext uri="{FF2B5EF4-FFF2-40B4-BE49-F238E27FC236}">
                  <a16:creationId xmlns:a16="http://schemas.microsoft.com/office/drawing/2014/main" id="{00000000-0008-0000-2B00-00001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114300</xdr:colOff>
          <xdr:row>9</xdr:row>
          <xdr:rowOff>45720</xdr:rowOff>
        </xdr:from>
        <xdr:to>
          <xdr:col>10</xdr:col>
          <xdr:colOff>419100</xdr:colOff>
          <xdr:row>9</xdr:row>
          <xdr:rowOff>266700</xdr:rowOff>
        </xdr:to>
        <xdr:sp macro="" textlink="">
          <xdr:nvSpPr>
            <xdr:cNvPr id="16407" name="Check Box 23" hidden="1">
              <a:extLst>
                <a:ext uri="{63B3BB69-23CF-44E3-9099-C40C66FF867C}">
                  <a14:compatExt spid="_x0000_s16407"/>
                </a:ext>
                <a:ext uri="{FF2B5EF4-FFF2-40B4-BE49-F238E27FC236}">
                  <a16:creationId xmlns:a16="http://schemas.microsoft.com/office/drawing/2014/main" id="{00000000-0008-0000-2B00-00001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114300</xdr:colOff>
          <xdr:row>9</xdr:row>
          <xdr:rowOff>45720</xdr:rowOff>
        </xdr:from>
        <xdr:to>
          <xdr:col>11</xdr:col>
          <xdr:colOff>419100</xdr:colOff>
          <xdr:row>9</xdr:row>
          <xdr:rowOff>266700</xdr:rowOff>
        </xdr:to>
        <xdr:sp macro="" textlink="">
          <xdr:nvSpPr>
            <xdr:cNvPr id="16408" name="Check Box 24" hidden="1">
              <a:extLst>
                <a:ext uri="{63B3BB69-23CF-44E3-9099-C40C66FF867C}">
                  <a14:compatExt spid="_x0000_s16408"/>
                </a:ext>
                <a:ext uri="{FF2B5EF4-FFF2-40B4-BE49-F238E27FC236}">
                  <a16:creationId xmlns:a16="http://schemas.microsoft.com/office/drawing/2014/main" id="{00000000-0008-0000-2B00-00001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1771650</xdr:colOff>
      <xdr:row>22</xdr:row>
      <xdr:rowOff>200025</xdr:rowOff>
    </xdr:from>
    <xdr:to>
      <xdr:col>9</xdr:col>
      <xdr:colOff>533400</xdr:colOff>
      <xdr:row>39</xdr:row>
      <xdr:rowOff>161925</xdr:rowOff>
    </xdr:to>
    <xdr:graphicFrame macro="">
      <xdr:nvGraphicFramePr>
        <xdr:cNvPr id="21656" name="Chart 1">
          <a:extLst>
            <a:ext uri="{FF2B5EF4-FFF2-40B4-BE49-F238E27FC236}">
              <a16:creationId xmlns:a16="http://schemas.microsoft.com/office/drawing/2014/main" id="{00000000-0008-0000-1300-0000985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1885950</xdr:colOff>
      <xdr:row>19</xdr:row>
      <xdr:rowOff>66675</xdr:rowOff>
    </xdr:from>
    <xdr:to>
      <xdr:col>43</xdr:col>
      <xdr:colOff>695325</xdr:colOff>
      <xdr:row>36</xdr:row>
      <xdr:rowOff>19050</xdr:rowOff>
    </xdr:to>
    <xdr:graphicFrame macro="">
      <xdr:nvGraphicFramePr>
        <xdr:cNvPr id="18584" name="Chart 3">
          <a:extLst>
            <a:ext uri="{FF2B5EF4-FFF2-40B4-BE49-F238E27FC236}">
              <a16:creationId xmlns:a16="http://schemas.microsoft.com/office/drawing/2014/main" id="{00000000-0008-0000-1400-000098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33</xdr:row>
      <xdr:rowOff>19050</xdr:rowOff>
    </xdr:from>
    <xdr:to>
      <xdr:col>10</xdr:col>
      <xdr:colOff>600075</xdr:colOff>
      <xdr:row>52</xdr:row>
      <xdr:rowOff>114300</xdr:rowOff>
    </xdr:to>
    <xdr:graphicFrame macro="">
      <xdr:nvGraphicFramePr>
        <xdr:cNvPr id="26923" name="Chart 1">
          <a:extLst>
            <a:ext uri="{FF2B5EF4-FFF2-40B4-BE49-F238E27FC236}">
              <a16:creationId xmlns:a16="http://schemas.microsoft.com/office/drawing/2014/main" id="{00000000-0008-0000-1900-00002B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1171575</xdr:colOff>
      <xdr:row>54</xdr:row>
      <xdr:rowOff>133350</xdr:rowOff>
    </xdr:from>
    <xdr:to>
      <xdr:col>10</xdr:col>
      <xdr:colOff>609600</xdr:colOff>
      <xdr:row>70</xdr:row>
      <xdr:rowOff>142875</xdr:rowOff>
    </xdr:to>
    <xdr:graphicFrame macro="">
      <xdr:nvGraphicFramePr>
        <xdr:cNvPr id="26924" name="Chart 2">
          <a:extLst>
            <a:ext uri="{FF2B5EF4-FFF2-40B4-BE49-F238E27FC236}">
              <a16:creationId xmlns:a16="http://schemas.microsoft.com/office/drawing/2014/main" id="{00000000-0008-0000-1900-00002C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12</xdr:row>
      <xdr:rowOff>171450</xdr:rowOff>
    </xdr:from>
    <xdr:to>
      <xdr:col>11</xdr:col>
      <xdr:colOff>0</xdr:colOff>
      <xdr:row>27</xdr:row>
      <xdr:rowOff>0</xdr:rowOff>
    </xdr:to>
    <xdr:graphicFrame macro="">
      <xdr:nvGraphicFramePr>
        <xdr:cNvPr id="15659" name="Chart 1">
          <a:extLst>
            <a:ext uri="{FF2B5EF4-FFF2-40B4-BE49-F238E27FC236}">
              <a16:creationId xmlns:a16="http://schemas.microsoft.com/office/drawing/2014/main" id="{00000000-0008-0000-1B00-00002B3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714375</xdr:colOff>
      <xdr:row>15</xdr:row>
      <xdr:rowOff>9525</xdr:rowOff>
    </xdr:from>
    <xdr:to>
      <xdr:col>5</xdr:col>
      <xdr:colOff>714375</xdr:colOff>
      <xdr:row>24</xdr:row>
      <xdr:rowOff>190500</xdr:rowOff>
    </xdr:to>
    <xdr:sp macro="" textlink="">
      <xdr:nvSpPr>
        <xdr:cNvPr id="15660" name="Line 2">
          <a:extLst>
            <a:ext uri="{FF2B5EF4-FFF2-40B4-BE49-F238E27FC236}">
              <a16:creationId xmlns:a16="http://schemas.microsoft.com/office/drawing/2014/main" id="{00000000-0008-0000-1B00-00002C3D0000}"/>
            </a:ext>
          </a:extLst>
        </xdr:cNvPr>
        <xdr:cNvSpPr>
          <a:spLocks noChangeShapeType="1"/>
        </xdr:cNvSpPr>
      </xdr:nvSpPr>
      <xdr:spPr bwMode="auto">
        <a:xfrm>
          <a:off x="152666700" y="4171950"/>
          <a:ext cx="0" cy="2667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51</xdr:row>
      <xdr:rowOff>47625</xdr:rowOff>
    </xdr:from>
    <xdr:to>
      <xdr:col>15</xdr:col>
      <xdr:colOff>0</xdr:colOff>
      <xdr:row>76</xdr:row>
      <xdr:rowOff>276225</xdr:rowOff>
    </xdr:to>
    <xdr:graphicFrame macro="">
      <xdr:nvGraphicFramePr>
        <xdr:cNvPr id="27947" name="Chart 1">
          <a:extLst>
            <a:ext uri="{FF2B5EF4-FFF2-40B4-BE49-F238E27FC236}">
              <a16:creationId xmlns:a16="http://schemas.microsoft.com/office/drawing/2014/main" id="{00000000-0008-0000-1D00-00002B6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1400175</xdr:colOff>
      <xdr:row>78</xdr:row>
      <xdr:rowOff>19050</xdr:rowOff>
    </xdr:from>
    <xdr:to>
      <xdr:col>14</xdr:col>
      <xdr:colOff>295275</xdr:colOff>
      <xdr:row>98</xdr:row>
      <xdr:rowOff>200025</xdr:rowOff>
    </xdr:to>
    <xdr:graphicFrame macro="">
      <xdr:nvGraphicFramePr>
        <xdr:cNvPr id="27948" name="Chart 2">
          <a:extLst>
            <a:ext uri="{FF2B5EF4-FFF2-40B4-BE49-F238E27FC236}">
              <a16:creationId xmlns:a16="http://schemas.microsoft.com/office/drawing/2014/main" id="{00000000-0008-0000-1D00-00002C6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50</xdr:row>
      <xdr:rowOff>257175</xdr:rowOff>
    </xdr:from>
    <xdr:to>
      <xdr:col>14</xdr:col>
      <xdr:colOff>352425</xdr:colOff>
      <xdr:row>76</xdr:row>
      <xdr:rowOff>200025</xdr:rowOff>
    </xdr:to>
    <xdr:graphicFrame macro="">
      <xdr:nvGraphicFramePr>
        <xdr:cNvPr id="20779" name="Chart 1">
          <a:extLst>
            <a:ext uri="{FF2B5EF4-FFF2-40B4-BE49-F238E27FC236}">
              <a16:creationId xmlns:a16="http://schemas.microsoft.com/office/drawing/2014/main" id="{00000000-0008-0000-1E00-00002B5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1400175</xdr:colOff>
      <xdr:row>78</xdr:row>
      <xdr:rowOff>19050</xdr:rowOff>
    </xdr:from>
    <xdr:to>
      <xdr:col>14</xdr:col>
      <xdr:colOff>295275</xdr:colOff>
      <xdr:row>98</xdr:row>
      <xdr:rowOff>200025</xdr:rowOff>
    </xdr:to>
    <xdr:graphicFrame macro="">
      <xdr:nvGraphicFramePr>
        <xdr:cNvPr id="20780" name="Chart 2">
          <a:extLst>
            <a:ext uri="{FF2B5EF4-FFF2-40B4-BE49-F238E27FC236}">
              <a16:creationId xmlns:a16="http://schemas.microsoft.com/office/drawing/2014/main" id="{00000000-0008-0000-1E00-00002C5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5</xdr:row>
      <xdr:rowOff>19050</xdr:rowOff>
    </xdr:from>
    <xdr:to>
      <xdr:col>13</xdr:col>
      <xdr:colOff>0</xdr:colOff>
      <xdr:row>14</xdr:row>
      <xdr:rowOff>266700</xdr:rowOff>
    </xdr:to>
    <xdr:graphicFrame macro="">
      <xdr:nvGraphicFramePr>
        <xdr:cNvPr id="24726" name="Chart 1">
          <a:extLst>
            <a:ext uri="{FF2B5EF4-FFF2-40B4-BE49-F238E27FC236}">
              <a16:creationId xmlns:a16="http://schemas.microsoft.com/office/drawing/2014/main" id="{00000000-0008-0000-1F00-0000966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22</xdr:row>
      <xdr:rowOff>9525</xdr:rowOff>
    </xdr:from>
    <xdr:to>
      <xdr:col>9</xdr:col>
      <xdr:colOff>295275</xdr:colOff>
      <xdr:row>38</xdr:row>
      <xdr:rowOff>209550</xdr:rowOff>
    </xdr:to>
    <xdr:graphicFrame macro="">
      <xdr:nvGraphicFramePr>
        <xdr:cNvPr id="19606" name="Chart 1">
          <a:extLst>
            <a:ext uri="{FF2B5EF4-FFF2-40B4-BE49-F238E27FC236}">
              <a16:creationId xmlns:a16="http://schemas.microsoft.com/office/drawing/2014/main" id="{00000000-0008-0000-2100-0000964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ivate\FS%20melli%20ban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IVATE-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aj%20Mehr%20Khah-861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تيتر"/>
      <sheetName val="مشخصات حقيقي "/>
      <sheetName val="مشخصات حقوقي"/>
      <sheetName val="وضعيت بدهي و تعهدات"/>
      <sheetName val="مباني"/>
      <sheetName val="زمانبندي"/>
      <sheetName val="زمين‌ومحوطه"/>
      <sheetName val="ساختمان"/>
      <sheetName val="ماشين‌آلات داخلي"/>
      <sheetName val="ماشين‌‌آلات خارجي"/>
      <sheetName val="خلاصه‌ماشين‌آلات"/>
      <sheetName val="تأسيسات‌ الكتريكي"/>
      <sheetName val="تأسيسات مكانيكي"/>
      <sheetName val="تاسيسات خارجي"/>
      <sheetName val="وسايط نقليه‌واثاثه"/>
      <sheetName val="هزينه‌هاي قبل از بهره برداري"/>
      <sheetName val="سرمايه گذاري"/>
      <sheetName val="مواد اوليه"/>
      <sheetName val="حقوق"/>
      <sheetName val="سوخت و انرژي"/>
      <sheetName val="هزينه نگهداري‌واستهلاك"/>
      <sheetName val="هزينه توليد وسرمايه در گردش"/>
      <sheetName val="هزينه‌عملياتي و نقطه سربسر"/>
      <sheetName val="توليد و فروش"/>
      <sheetName val="سود وزيان"/>
      <sheetName val="منابع و مصارف"/>
      <sheetName val="ترازنامه"/>
      <sheetName val="عايدات نقدي"/>
      <sheetName val="نسبت ها"/>
      <sheetName val="مشخصات تسهيلات"/>
      <sheetName val=" خلاصه طرح (صفحه تيتر-2-3-5-7 )"/>
      <sheetName val="خلاصه طرح (صفحه 1)"/>
      <sheetName val="خلاصه طرح (صفحه 4-6-8-9-10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22">
          <cell r="D22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تذکر"/>
      <sheetName val="خلاصه ارزیابی"/>
      <sheetName val="خلاصه"/>
      <sheetName val="بخش سوم"/>
      <sheetName val="Sheet1"/>
      <sheetName val="تراز"/>
      <sheetName val="مشارکت مدنی"/>
      <sheetName val="سرمایه ای0 با گیاهی"/>
      <sheetName val="زیربنایی"/>
      <sheetName val="سازه 1"/>
      <sheetName val="سازه 2"/>
      <sheetName val="سازه 3"/>
      <sheetName val="نمودار اجزاءسازه"/>
      <sheetName val="ماشین آلات "/>
      <sheetName val="خرید پایه گیاهی"/>
      <sheetName val="مقدماتی"/>
      <sheetName val="جدول رفرنس داده ها"/>
      <sheetName val="جاری  "/>
      <sheetName val="استهلاک وتعمیرات"/>
      <sheetName val="سرمایه گردش"/>
      <sheetName val="بخش 4"/>
      <sheetName val="بخش 1-4"/>
      <sheetName val="Sheet3"/>
      <sheetName val="قیمت تمام شده"/>
      <sheetName val="عملکردتولید"/>
      <sheetName val="پیش بینی سودوزیان"/>
      <sheetName val="گردش وجوه"/>
      <sheetName val="جریان نقدینگی تنزیل شده"/>
      <sheetName val="نقطه سربسر 01"/>
      <sheetName val="بازپرداخت ثابت"/>
      <sheetName val="بازپرداخت جاری"/>
      <sheetName val="بازپرداخت کل"/>
      <sheetName val="خلاصه ارزیابی (2)"/>
      <sheetName val="CPM"/>
      <sheetName val="سایرموارد"/>
      <sheetName val="نقطه سربسر00"/>
      <sheetName val="سرمایه ای1"/>
      <sheetName val="قیمت تمام شده (2)"/>
      <sheetName val="گزینه نهایی برتر"/>
      <sheetName val="آخرین جانمایی 02"/>
      <sheetName val="جانمایی برتر01"/>
      <sheetName val="جانمایی برتر 02"/>
      <sheetName val="جانمایی2"/>
      <sheetName val="جانمایی 1"/>
      <sheetName val="نقطه سربسر 0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9">
          <cell r="B9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زمين"/>
      <sheetName val="محوطه سازي"/>
      <sheetName val="ساختمان"/>
      <sheetName val="جزئيات تاسيسات"/>
      <sheetName val="تاسيسات"/>
      <sheetName val="ماشين‌آلات"/>
      <sheetName val="لوازم اداري"/>
      <sheetName val="وسايط نقليه"/>
      <sheetName val="ساير هزينه هاي ثابت"/>
      <sheetName val="قبل‌از بهره‌برداري"/>
      <sheetName val="سرمايه‌‌گذاري طرح"/>
      <sheetName val="مواد اوليه"/>
      <sheetName val="نيروي انساني"/>
      <sheetName val=" مصرفي"/>
      <sheetName val="تعميرات و نگهداري "/>
      <sheetName val="استهلاك"/>
      <sheetName val="هزينه هاي توليد"/>
      <sheetName val="سرمايه در گردش"/>
      <sheetName val="برآورد فروش"/>
      <sheetName val="هزينه هاي ثابت و متغير"/>
      <sheetName val="پيش بيني عملكرد سود و زيان"/>
      <sheetName val="ترازنامهL"/>
      <sheetName val="ex"/>
      <sheetName val="آنالیز حساسیت"/>
      <sheetName val="ترازنامه"/>
      <sheetName val="نسبتها"/>
      <sheetName val="شاخص اقتصادي"/>
      <sheetName val="جریان نقدینگی"/>
      <sheetName val="جریان نقدینگی تنزیل شده1"/>
      <sheetName val="جریان نقدینگی تنزیل شده2"/>
      <sheetName val="forbiden"/>
      <sheetName val="نمودار"/>
      <sheetName val="منابع تامين سرمايه گذاري"/>
      <sheetName val="خلاصه گزارش"/>
      <sheetName val="نتيجه گيري گزارش"/>
      <sheetName val="منابع و مصارف"/>
      <sheetName val="مفروض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0">
          <cell r="A20" t="str">
            <v>مازاد (کمبود) نقدینگی</v>
          </cell>
          <cell r="B20">
            <v>0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13" Type="http://schemas.openxmlformats.org/officeDocument/2006/relationships/ctrlProp" Target="../ctrlProps/ctrlProp12.xml"/><Relationship Id="rId18" Type="http://schemas.openxmlformats.org/officeDocument/2006/relationships/ctrlProp" Target="../ctrlProps/ctrlProp1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17" Type="http://schemas.openxmlformats.org/officeDocument/2006/relationships/ctrlProp" Target="../ctrlProps/ctrlProp16.xml"/><Relationship Id="rId2" Type="http://schemas.openxmlformats.org/officeDocument/2006/relationships/drawing" Target="../drawings/drawing12.xml"/><Relationship Id="rId16" Type="http://schemas.openxmlformats.org/officeDocument/2006/relationships/ctrlProp" Target="../ctrlProps/ctrlProp15.xml"/><Relationship Id="rId1" Type="http://schemas.openxmlformats.org/officeDocument/2006/relationships/printerSettings" Target="../printerSettings/printerSettings4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5" Type="http://schemas.openxmlformats.org/officeDocument/2006/relationships/ctrlProp" Target="../ctrlProps/ctrlProp14.xml"/><Relationship Id="rId10" Type="http://schemas.openxmlformats.org/officeDocument/2006/relationships/ctrlProp" Target="../ctrlProps/ctrlProp9.xml"/><Relationship Id="rId19" Type="http://schemas.openxmlformats.org/officeDocument/2006/relationships/ctrlProp" Target="../ctrlProps/ctrlProp18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Relationship Id="rId14" Type="http://schemas.openxmlformats.org/officeDocument/2006/relationships/ctrlProp" Target="../ctrlProps/ctrlProp1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P13"/>
  <sheetViews>
    <sheetView rightToLeft="1" zoomScale="145" zoomScaleNormal="145" zoomScaleSheetLayoutView="100" workbookViewId="0">
      <selection activeCell="D4" sqref="D4"/>
    </sheetView>
  </sheetViews>
  <sheetFormatPr defaultColWidth="10.44140625" defaultRowHeight="17.399999999999999"/>
  <cols>
    <col min="1" max="1" width="6.109375" style="43" customWidth="1"/>
    <col min="2" max="2" width="17.44140625" style="43" customWidth="1"/>
    <col min="3" max="3" width="10" style="43" customWidth="1"/>
    <col min="4" max="4" width="14.88671875" style="43" bestFit="1" customWidth="1"/>
    <col min="5" max="5" width="15.44140625" style="43" customWidth="1"/>
    <col min="6" max="7" width="13.109375" style="43" customWidth="1"/>
    <col min="8" max="16384" width="10.44140625" style="43"/>
  </cols>
  <sheetData>
    <row r="1" spans="1:250" ht="26.25" customHeight="1">
      <c r="A1" s="896" t="s">
        <v>109</v>
      </c>
      <c r="B1" s="896"/>
      <c r="C1" s="896"/>
      <c r="D1" s="896"/>
      <c r="E1" s="896"/>
      <c r="F1" s="896"/>
      <c r="G1" s="896"/>
    </row>
    <row r="2" spans="1:250" ht="39.75" customHeight="1">
      <c r="A2" s="44" t="s">
        <v>6</v>
      </c>
      <c r="B2" s="44" t="s">
        <v>7</v>
      </c>
      <c r="C2" s="45" t="s">
        <v>76</v>
      </c>
      <c r="D2" s="45" t="s">
        <v>110</v>
      </c>
      <c r="E2" s="45" t="s">
        <v>106</v>
      </c>
      <c r="F2" s="45" t="s">
        <v>26</v>
      </c>
      <c r="G2" s="45" t="s">
        <v>8</v>
      </c>
    </row>
    <row r="3" spans="1:250" ht="21.75" customHeight="1">
      <c r="A3" s="46">
        <v>1</v>
      </c>
      <c r="B3" s="860" t="s">
        <v>480</v>
      </c>
      <c r="C3" s="648">
        <v>0</v>
      </c>
      <c r="D3" s="648">
        <v>0</v>
      </c>
      <c r="E3" s="649">
        <f>D3*C3/1000</f>
        <v>0</v>
      </c>
      <c r="F3" s="649">
        <v>0</v>
      </c>
      <c r="G3" s="649">
        <f>F3+E3</f>
        <v>0</v>
      </c>
    </row>
    <row r="4" spans="1:250" s="48" customFormat="1" ht="23.25" customHeight="1" thickBot="1">
      <c r="A4" s="897" t="s">
        <v>19</v>
      </c>
      <c r="B4" s="897"/>
      <c r="C4" s="650" t="s">
        <v>66</v>
      </c>
      <c r="D4" s="650" t="s">
        <v>66</v>
      </c>
      <c r="E4" s="649">
        <f>SUM(E3:E3)</f>
        <v>0</v>
      </c>
      <c r="F4" s="649">
        <f>SUM(F3:F3)</f>
        <v>0</v>
      </c>
      <c r="G4" s="649">
        <f>SUM(G3:G3)</f>
        <v>0</v>
      </c>
    </row>
    <row r="5" spans="1:250" s="50" customFormat="1" ht="20.25" customHeight="1">
      <c r="A5" s="898"/>
      <c r="B5" s="898"/>
      <c r="C5" s="898"/>
      <c r="D5" s="898"/>
      <c r="E5" s="898"/>
      <c r="F5" s="898"/>
      <c r="G5" s="898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</row>
    <row r="6" spans="1:250" s="50" customFormat="1" ht="18" customHeight="1">
      <c r="A6" s="899"/>
      <c r="B6" s="899"/>
      <c r="C6" s="899"/>
      <c r="D6" s="899"/>
      <c r="E6" s="899"/>
      <c r="F6" s="899"/>
      <c r="G6" s="89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</row>
    <row r="7" spans="1:250" s="50" customFormat="1" ht="134.25" customHeight="1">
      <c r="A7" s="899"/>
      <c r="B7" s="899"/>
      <c r="C7" s="899"/>
      <c r="D7" s="899"/>
      <c r="E7" s="899"/>
      <c r="F7" s="899"/>
      <c r="G7" s="89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</row>
    <row r="8" spans="1:250" s="50" customFormat="1" ht="18" customHeight="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  <c r="IC8" s="49"/>
      <c r="ID8" s="49"/>
      <c r="IE8" s="49"/>
      <c r="IF8" s="49"/>
      <c r="IG8" s="49"/>
      <c r="IH8" s="49"/>
      <c r="II8" s="49"/>
      <c r="IJ8" s="49"/>
      <c r="IK8" s="49"/>
      <c r="IL8" s="49"/>
      <c r="IM8" s="49"/>
      <c r="IN8" s="49"/>
      <c r="IO8" s="49"/>
      <c r="IP8" s="49"/>
    </row>
    <row r="9" spans="1:250" s="50" customFormat="1" ht="18" customHeight="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</row>
    <row r="10" spans="1:250" s="50" customFormat="1" ht="16.5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</row>
    <row r="11" spans="1:250" s="50" customFormat="1" ht="16.5" customHeight="1">
      <c r="A11" s="49"/>
      <c r="B11" s="49"/>
      <c r="C11" s="49"/>
      <c r="D11" s="51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</row>
    <row r="12" spans="1:250" s="50" customFormat="1" ht="16.5" customHeight="1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</row>
    <row r="13" spans="1:250" s="50" customFormat="1" ht="16.5" customHeight="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</row>
  </sheetData>
  <mergeCells count="3">
    <mergeCell ref="A1:G1"/>
    <mergeCell ref="A4:B4"/>
    <mergeCell ref="A5:G7"/>
  </mergeCells>
  <phoneticPr fontId="0" type="noConversion"/>
  <printOptions horizontalCentered="1"/>
  <pageMargins left="0" right="0" top="1.7716535433070868" bottom="0.39370078740157483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/>
  <dimension ref="A1:F18"/>
  <sheetViews>
    <sheetView rightToLeft="1" view="pageBreakPreview" zoomScaleNormal="100" workbookViewId="0">
      <selection activeCell="E14" sqref="E14"/>
    </sheetView>
  </sheetViews>
  <sheetFormatPr defaultColWidth="14.5546875" defaultRowHeight="13.8"/>
  <cols>
    <col min="1" max="1" width="5.6640625" style="161" bestFit="1" customWidth="1"/>
    <col min="2" max="2" width="57.5546875" style="161" bestFit="1" customWidth="1"/>
    <col min="3" max="3" width="27.44140625" style="161" bestFit="1" customWidth="1"/>
    <col min="4" max="4" width="26.109375" style="161" bestFit="1" customWidth="1"/>
    <col min="5" max="5" width="17.88671875" style="161" bestFit="1" customWidth="1"/>
    <col min="6" max="6" width="9.44140625" style="161" bestFit="1" customWidth="1"/>
    <col min="7" max="7" width="16" style="161" customWidth="1"/>
    <col min="8" max="16384" width="14.5546875" style="161"/>
  </cols>
  <sheetData>
    <row r="1" spans="1:6" ht="24.9" customHeight="1" thickBot="1">
      <c r="A1" s="960" t="s">
        <v>118</v>
      </c>
      <c r="B1" s="961"/>
      <c r="C1" s="961"/>
      <c r="D1" s="961"/>
      <c r="E1" s="962"/>
      <c r="F1" s="160"/>
    </row>
    <row r="2" spans="1:6" ht="24.9" customHeight="1">
      <c r="A2" s="162" t="s">
        <v>6</v>
      </c>
      <c r="B2" s="163" t="s">
        <v>7</v>
      </c>
      <c r="C2" s="164" t="s">
        <v>101</v>
      </c>
      <c r="D2" s="163" t="s">
        <v>26</v>
      </c>
      <c r="E2" s="165" t="s">
        <v>8</v>
      </c>
    </row>
    <row r="3" spans="1:6" ht="20.100000000000001" customHeight="1">
      <c r="A3" s="166">
        <v>1</v>
      </c>
      <c r="B3" s="167" t="s">
        <v>30</v>
      </c>
      <c r="C3" s="651"/>
      <c r="D3" s="651">
        <v>0</v>
      </c>
      <c r="E3" s="655">
        <f>D3+C3</f>
        <v>0</v>
      </c>
    </row>
    <row r="4" spans="1:6" ht="20.100000000000001" customHeight="1">
      <c r="A4" s="166">
        <v>2</v>
      </c>
      <c r="B4" s="168" t="s">
        <v>32</v>
      </c>
      <c r="C4" s="651"/>
      <c r="D4" s="651">
        <v>0</v>
      </c>
      <c r="E4" s="655">
        <f>D4+C4</f>
        <v>0</v>
      </c>
    </row>
    <row r="5" spans="1:6" ht="20.100000000000001" customHeight="1">
      <c r="A5" s="166">
        <v>3</v>
      </c>
      <c r="B5" s="168" t="s">
        <v>48</v>
      </c>
      <c r="C5" s="680"/>
      <c r="D5" s="680">
        <v>0</v>
      </c>
      <c r="E5" s="655">
        <f t="shared" ref="E5:E12" si="0">D5+C5</f>
        <v>0</v>
      </c>
    </row>
    <row r="6" spans="1:6" ht="20.100000000000001" customHeight="1">
      <c r="A6" s="166">
        <v>4</v>
      </c>
      <c r="B6" s="167" t="s">
        <v>31</v>
      </c>
      <c r="C6" s="651"/>
      <c r="D6" s="652">
        <f>(('نيروي انساني'!Q31+'نيروي انساني'!R31)/365)/'قبل‌از بهره‌برداري'!C18</f>
        <v>1409.0019569471624</v>
      </c>
      <c r="E6" s="655">
        <f>D6+C6</f>
        <v>1409.0019569471624</v>
      </c>
      <c r="F6" s="260"/>
    </row>
    <row r="7" spans="1:6" ht="20.100000000000001" customHeight="1">
      <c r="A7" s="166">
        <v>5</v>
      </c>
      <c r="B7" s="46" t="s">
        <v>578</v>
      </c>
      <c r="C7" s="651"/>
      <c r="D7" s="652">
        <f>C15*0.005</f>
        <v>750000000</v>
      </c>
      <c r="E7" s="655">
        <f>D7+C7</f>
        <v>750000000</v>
      </c>
    </row>
    <row r="8" spans="1:6" ht="20.100000000000001" customHeight="1">
      <c r="A8" s="166">
        <v>6</v>
      </c>
      <c r="B8" s="46" t="s">
        <v>40</v>
      </c>
      <c r="C8" s="651"/>
      <c r="D8" s="652">
        <f>0.002*C15</f>
        <v>300000000</v>
      </c>
      <c r="E8" s="655">
        <f t="shared" si="0"/>
        <v>300000000</v>
      </c>
    </row>
    <row r="9" spans="1:6" ht="20.100000000000001" hidden="1" customHeight="1">
      <c r="A9" s="166">
        <v>5</v>
      </c>
      <c r="B9" s="46" t="s">
        <v>592</v>
      </c>
      <c r="C9" s="651"/>
      <c r="D9" s="680">
        <v>0</v>
      </c>
      <c r="E9" s="655">
        <f t="shared" si="0"/>
        <v>0</v>
      </c>
    </row>
    <row r="10" spans="1:6" ht="20.100000000000001" customHeight="1">
      <c r="A10" s="166">
        <v>7</v>
      </c>
      <c r="B10" s="46" t="s">
        <v>41</v>
      </c>
      <c r="C10" s="651"/>
      <c r="D10" s="652">
        <v>0</v>
      </c>
      <c r="E10" s="655">
        <f t="shared" si="0"/>
        <v>0</v>
      </c>
      <c r="F10" s="169"/>
    </row>
    <row r="11" spans="1:6" ht="20.100000000000001" customHeight="1">
      <c r="A11" s="166">
        <v>8</v>
      </c>
      <c r="B11" s="46" t="s">
        <v>493</v>
      </c>
      <c r="C11" s="651"/>
      <c r="D11" s="652">
        <f>C15*1.5/1000</f>
        <v>225000000</v>
      </c>
      <c r="E11" s="655">
        <f t="shared" si="0"/>
        <v>225000000</v>
      </c>
      <c r="F11" s="169"/>
    </row>
    <row r="12" spans="1:6" ht="20.100000000000001" customHeight="1">
      <c r="A12" s="166">
        <v>9</v>
      </c>
      <c r="B12" s="46" t="s">
        <v>593</v>
      </c>
      <c r="C12" s="651"/>
      <c r="D12" s="651"/>
      <c r="E12" s="655">
        <f t="shared" si="0"/>
        <v>0</v>
      </c>
      <c r="F12" s="169"/>
    </row>
    <row r="13" spans="1:6" s="170" customFormat="1" ht="24.9" customHeight="1" thickBot="1">
      <c r="A13" s="958" t="s">
        <v>18</v>
      </c>
      <c r="B13" s="959"/>
      <c r="C13" s="667">
        <f>SUM(C3:C12)</f>
        <v>0</v>
      </c>
      <c r="D13" s="667">
        <f>SUM(D3:D12)</f>
        <v>1275001409.0019569</v>
      </c>
      <c r="E13" s="667">
        <f>SUM(E3:E12)</f>
        <v>1275001409.0019569</v>
      </c>
    </row>
    <row r="14" spans="1:6" s="172" customFormat="1" ht="35.25" customHeight="1" thickBot="1">
      <c r="A14" s="171"/>
      <c r="B14" s="171"/>
      <c r="C14" s="674"/>
      <c r="D14" s="675"/>
      <c r="E14" s="676"/>
    </row>
    <row r="15" spans="1:6" ht="24.6" thickBot="1">
      <c r="B15" s="173" t="s">
        <v>82</v>
      </c>
      <c r="C15" s="895">
        <v>150000000000</v>
      </c>
      <c r="D15" s="678">
        <f>'منابع تامين سرمايه گذاري'!E18+'منابع تامين سرمايه گذاري'!E41</f>
        <v>1345262.9729751665</v>
      </c>
      <c r="E15" s="677"/>
    </row>
    <row r="16" spans="1:6" ht="24.6" thickBot="1">
      <c r="B16" s="173" t="s">
        <v>83</v>
      </c>
      <c r="C16" s="895">
        <v>50000000000</v>
      </c>
      <c r="D16" s="678">
        <f>'سرمايه‌‌گذاري طرح'!F15</f>
        <v>1470846409.0019569</v>
      </c>
      <c r="E16" s="677"/>
    </row>
    <row r="17" spans="2:5" ht="14.4" thickBot="1">
      <c r="C17" s="677"/>
      <c r="D17" s="677"/>
      <c r="E17" s="677"/>
    </row>
    <row r="18" spans="2:5" ht="24.6" thickBot="1">
      <c r="B18" s="261" t="s">
        <v>327</v>
      </c>
      <c r="C18" s="679">
        <v>7</v>
      </c>
      <c r="D18" s="677"/>
      <c r="E18" s="677"/>
    </row>
  </sheetData>
  <mergeCells count="2">
    <mergeCell ref="A13:B13"/>
    <mergeCell ref="A1:E1"/>
  </mergeCells>
  <phoneticPr fontId="0" type="noConversion"/>
  <printOptions horizontalCentered="1"/>
  <pageMargins left="0" right="0" top="6.6929133858267722" bottom="0.39370078740157483" header="0" footer="0"/>
  <pageSetup paperSize="9" scale="7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2"/>
  <dimension ref="A1:H21"/>
  <sheetViews>
    <sheetView rightToLeft="1" view="pageBreakPreview" topLeftCell="A7" zoomScaleNormal="115" workbookViewId="0">
      <selection activeCell="D13" sqref="D13"/>
    </sheetView>
  </sheetViews>
  <sheetFormatPr defaultColWidth="14.5546875" defaultRowHeight="17.399999999999999"/>
  <cols>
    <col min="1" max="1" width="5.88671875" style="681" bestFit="1" customWidth="1"/>
    <col min="2" max="2" width="24.109375" style="681" customWidth="1"/>
    <col min="3" max="3" width="7.33203125" style="681" customWidth="1"/>
    <col min="4" max="4" width="20.109375" style="681" bestFit="1" customWidth="1"/>
    <col min="5" max="6" width="16" style="681" bestFit="1" customWidth="1"/>
    <col min="7" max="7" width="15.44140625" style="681" bestFit="1" customWidth="1"/>
    <col min="8" max="8" width="15.5546875" style="681" bestFit="1" customWidth="1"/>
    <col min="9" max="16384" width="14.5546875" style="681"/>
  </cols>
  <sheetData>
    <row r="1" spans="1:8" ht="24.9" customHeight="1" thickBot="1">
      <c r="A1" s="965" t="s">
        <v>175</v>
      </c>
      <c r="B1" s="966"/>
      <c r="C1" s="966"/>
      <c r="D1" s="966"/>
      <c r="E1" s="966"/>
      <c r="F1" s="967"/>
    </row>
    <row r="2" spans="1:8" ht="24.9" customHeight="1">
      <c r="A2" s="963" t="s">
        <v>6</v>
      </c>
      <c r="B2" s="971" t="s">
        <v>7</v>
      </c>
      <c r="C2" s="972"/>
      <c r="D2" s="968" t="s">
        <v>114</v>
      </c>
      <c r="E2" s="968"/>
      <c r="F2" s="969" t="s">
        <v>68</v>
      </c>
    </row>
    <row r="3" spans="1:8" ht="24.9" customHeight="1">
      <c r="A3" s="964"/>
      <c r="B3" s="973"/>
      <c r="C3" s="974"/>
      <c r="D3" s="682" t="s">
        <v>101</v>
      </c>
      <c r="E3" s="682" t="s">
        <v>26</v>
      </c>
      <c r="F3" s="970"/>
    </row>
    <row r="4" spans="1:8" ht="20.100000000000001" customHeight="1">
      <c r="A4" s="185">
        <v>1</v>
      </c>
      <c r="B4" s="978" t="s">
        <v>25</v>
      </c>
      <c r="C4" s="979"/>
      <c r="D4" s="652">
        <f>زمين!E4</f>
        <v>0</v>
      </c>
      <c r="E4" s="652">
        <f>زمين!F4</f>
        <v>0</v>
      </c>
      <c r="F4" s="655">
        <f>زمين!G4</f>
        <v>0</v>
      </c>
    </row>
    <row r="5" spans="1:8" s="683" customFormat="1" ht="20.100000000000001" customHeight="1">
      <c r="A5" s="185">
        <v>2</v>
      </c>
      <c r="B5" s="978" t="s">
        <v>27</v>
      </c>
      <c r="C5" s="979"/>
      <c r="D5" s="652">
        <f>'محوطه سازي'!F18</f>
        <v>0</v>
      </c>
      <c r="E5" s="652">
        <f>'محوطه سازي'!G18</f>
        <v>0</v>
      </c>
      <c r="F5" s="655">
        <f>'محوطه سازي'!H18</f>
        <v>0</v>
      </c>
    </row>
    <row r="6" spans="1:8" s="683" customFormat="1" ht="20.100000000000001" customHeight="1">
      <c r="A6" s="185">
        <v>3</v>
      </c>
      <c r="B6" s="978" t="s">
        <v>9</v>
      </c>
      <c r="C6" s="979"/>
      <c r="D6" s="652">
        <f>ساختمان!G20</f>
        <v>57000000</v>
      </c>
      <c r="E6" s="652">
        <f>ساختمان!H20</f>
        <v>25000000</v>
      </c>
      <c r="F6" s="655">
        <f>ساختمان!I20</f>
        <v>82000000</v>
      </c>
    </row>
    <row r="7" spans="1:8" s="683" customFormat="1" ht="20.100000000000001" customHeight="1">
      <c r="A7" s="185">
        <v>4</v>
      </c>
      <c r="B7" s="978" t="s">
        <v>120</v>
      </c>
      <c r="C7" s="979"/>
      <c r="D7" s="652">
        <f>تاسيسات!G19</f>
        <v>0</v>
      </c>
      <c r="E7" s="652">
        <f>تاسيسات!H19</f>
        <v>0</v>
      </c>
      <c r="F7" s="655">
        <f>تاسيسات!I19</f>
        <v>0</v>
      </c>
    </row>
    <row r="8" spans="1:8" s="683" customFormat="1" ht="20.100000000000001" customHeight="1">
      <c r="A8" s="185">
        <v>5</v>
      </c>
      <c r="B8" s="978" t="s">
        <v>121</v>
      </c>
      <c r="C8" s="979"/>
      <c r="D8" s="652">
        <f>ماشين‌آلات!F45</f>
        <v>0</v>
      </c>
      <c r="E8" s="884">
        <f>ماشين‌آلات!G45</f>
        <v>0</v>
      </c>
      <c r="F8" s="655">
        <f>ماشين‌آلات!H45</f>
        <v>0</v>
      </c>
    </row>
    <row r="9" spans="1:8" s="683" customFormat="1" ht="20.100000000000001" customHeight="1">
      <c r="A9" s="185">
        <v>6</v>
      </c>
      <c r="B9" s="978" t="s">
        <v>11</v>
      </c>
      <c r="C9" s="979"/>
      <c r="D9" s="652">
        <f>'لوازم اداري'!F28</f>
        <v>8400000</v>
      </c>
      <c r="E9" s="652">
        <f>'لوازم اداري'!G28</f>
        <v>2100000</v>
      </c>
      <c r="F9" s="655">
        <f>'لوازم اداري'!H28</f>
        <v>10500000</v>
      </c>
    </row>
    <row r="10" spans="1:8" s="683" customFormat="1" ht="20.100000000000001" customHeight="1">
      <c r="A10" s="185">
        <v>7</v>
      </c>
      <c r="B10" s="978" t="s">
        <v>10</v>
      </c>
      <c r="C10" s="979"/>
      <c r="D10" s="652">
        <f>'وسايط نقليه'!G19</f>
        <v>7000000</v>
      </c>
      <c r="E10" s="652">
        <f>'وسايط نقليه'!H19</f>
        <v>0</v>
      </c>
      <c r="F10" s="655">
        <f>'وسايط نقليه'!I19</f>
        <v>7000000</v>
      </c>
    </row>
    <row r="11" spans="1:8" s="683" customFormat="1" ht="20.100000000000001" customHeight="1">
      <c r="A11" s="185">
        <v>8</v>
      </c>
      <c r="B11" s="978" t="s">
        <v>122</v>
      </c>
      <c r="C11" s="979"/>
      <c r="D11" s="652">
        <f>'ساير هزينه هاي ثابت'!F32</f>
        <v>480000</v>
      </c>
      <c r="E11" s="884">
        <f>'ساير هزينه هاي ثابت'!G32</f>
        <v>91200000</v>
      </c>
      <c r="F11" s="655">
        <f>'ساير هزينه هاي ثابت'!H32</f>
        <v>91680000</v>
      </c>
      <c r="G11" s="655"/>
    </row>
    <row r="12" spans="1:8" s="683" customFormat="1" ht="20.100000000000001" customHeight="1">
      <c r="A12" s="185">
        <v>9</v>
      </c>
      <c r="B12" s="186" t="s">
        <v>461</v>
      </c>
      <c r="C12" s="684">
        <v>0.05</v>
      </c>
      <c r="D12" s="652">
        <v>0</v>
      </c>
      <c r="E12" s="652">
        <f>(E11+E9+E8)*5/100</f>
        <v>4665000</v>
      </c>
      <c r="F12" s="655">
        <f>D12+E12</f>
        <v>4665000</v>
      </c>
      <c r="G12" s="161"/>
      <c r="H12" s="161"/>
    </row>
    <row r="13" spans="1:8" s="685" customFormat="1" ht="24.9" customHeight="1">
      <c r="A13" s="980" t="s">
        <v>43</v>
      </c>
      <c r="B13" s="981"/>
      <c r="C13" s="982"/>
      <c r="D13" s="649">
        <f>SUM(D4:D12)</f>
        <v>72880000</v>
      </c>
      <c r="E13" s="649">
        <f>SUM(E4:E12)</f>
        <v>122965000</v>
      </c>
      <c r="F13" s="689">
        <f>SUM(F4:F12)</f>
        <v>195845000</v>
      </c>
      <c r="G13" s="161"/>
      <c r="H13" s="885"/>
    </row>
    <row r="14" spans="1:8" ht="20.100000000000001" customHeight="1">
      <c r="A14" s="978" t="s">
        <v>44</v>
      </c>
      <c r="B14" s="983"/>
      <c r="C14" s="979"/>
      <c r="D14" s="649">
        <f>'قبل‌از بهره‌برداري'!C13</f>
        <v>0</v>
      </c>
      <c r="E14" s="649">
        <f>'قبل‌از بهره‌برداري'!D13-'قبل‌از بهره‌برداري'!D12</f>
        <v>1275001409.0019569</v>
      </c>
      <c r="F14" s="689">
        <f>E14+D14</f>
        <v>1275001409.0019569</v>
      </c>
      <c r="H14" s="885"/>
    </row>
    <row r="15" spans="1:8" ht="24.9" customHeight="1">
      <c r="A15" s="984" t="s">
        <v>45</v>
      </c>
      <c r="B15" s="985"/>
      <c r="C15" s="986"/>
      <c r="D15" s="649">
        <f>SUM(D13:D14)</f>
        <v>72880000</v>
      </c>
      <c r="E15" s="649">
        <f>SUM(E13:E14)</f>
        <v>1397966409.0019569</v>
      </c>
      <c r="F15" s="689">
        <f>SUM(F13:F14)</f>
        <v>1470846409.0019569</v>
      </c>
      <c r="H15" s="686"/>
    </row>
    <row r="16" spans="1:8" ht="20.100000000000001" customHeight="1">
      <c r="A16" s="987" t="s">
        <v>46</v>
      </c>
      <c r="B16" s="988"/>
      <c r="C16" s="989"/>
      <c r="D16" s="649">
        <v>0</v>
      </c>
      <c r="E16" s="649">
        <f>'سرمايه در گردش'!E9</f>
        <v>7246098.7599999998</v>
      </c>
      <c r="F16" s="689">
        <f>'سرمايه در گردش'!F9</f>
        <v>7246098.7599999998</v>
      </c>
      <c r="H16" s="686"/>
    </row>
    <row r="17" spans="1:6" ht="24.9" customHeight="1" thickBot="1">
      <c r="A17" s="975" t="s">
        <v>47</v>
      </c>
      <c r="B17" s="976"/>
      <c r="C17" s="977"/>
      <c r="D17" s="657">
        <f>SUM(D15:D16)</f>
        <v>72880000</v>
      </c>
      <c r="E17" s="657">
        <f>SUM(E15:E16)</f>
        <v>1405212507.7619569</v>
      </c>
      <c r="F17" s="658">
        <f>SUM(F15:F16)</f>
        <v>1478092507.7619569</v>
      </c>
    </row>
    <row r="18" spans="1:6" ht="21.6" thickBot="1">
      <c r="D18" s="686"/>
      <c r="E18" s="686"/>
      <c r="F18" s="687">
        <v>0</v>
      </c>
    </row>
    <row r="19" spans="1:6">
      <c r="D19" s="686"/>
      <c r="E19" s="686"/>
    </row>
    <row r="20" spans="1:6">
      <c r="D20" s="686"/>
      <c r="E20" s="688"/>
      <c r="F20" s="688"/>
    </row>
    <row r="21" spans="1:6" ht="15.75" customHeight="1"/>
  </sheetData>
  <mergeCells count="18">
    <mergeCell ref="B8:C8"/>
    <mergeCell ref="B9:C9"/>
    <mergeCell ref="B10:C10"/>
    <mergeCell ref="A16:C16"/>
    <mergeCell ref="B4:C4"/>
    <mergeCell ref="B5:C5"/>
    <mergeCell ref="B6:C6"/>
    <mergeCell ref="B7:C7"/>
    <mergeCell ref="A17:C17"/>
    <mergeCell ref="B11:C11"/>
    <mergeCell ref="A13:C13"/>
    <mergeCell ref="A14:C14"/>
    <mergeCell ref="A15:C15"/>
    <mergeCell ref="A2:A3"/>
    <mergeCell ref="A1:F1"/>
    <mergeCell ref="D2:E2"/>
    <mergeCell ref="F2:F3"/>
    <mergeCell ref="B2:C3"/>
  </mergeCells>
  <phoneticPr fontId="0" type="noConversion"/>
  <printOptions horizontalCentered="1"/>
  <pageMargins left="0" right="0" top="1.7716535433070868" bottom="0.39370078740157483" header="0" footer="0"/>
  <pageSetup paperSize="9" scale="10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>
    <pageSetUpPr fitToPage="1"/>
  </sheetPr>
  <dimension ref="A1:L68"/>
  <sheetViews>
    <sheetView rightToLeft="1" view="pageBreakPreview" topLeftCell="A19" zoomScale="115" zoomScaleNormal="100" workbookViewId="0">
      <selection activeCell="B66" sqref="B66:K68"/>
    </sheetView>
  </sheetViews>
  <sheetFormatPr defaultColWidth="9.109375" defaultRowHeight="17.399999999999999"/>
  <cols>
    <col min="1" max="1" width="3.44140625" style="96" customWidth="1"/>
    <col min="2" max="2" width="18.44140625" style="96" customWidth="1"/>
    <col min="3" max="3" width="6.6640625" style="96" bestFit="1" customWidth="1"/>
    <col min="4" max="4" width="5.5546875" style="96" customWidth="1"/>
    <col min="5" max="5" width="10" style="96" bestFit="1" customWidth="1"/>
    <col min="6" max="6" width="14.44140625" style="96" bestFit="1" customWidth="1"/>
    <col min="7" max="7" width="15.88671875" style="96" bestFit="1" customWidth="1"/>
    <col min="8" max="8" width="6.44140625" style="159" customWidth="1"/>
    <col min="9" max="9" width="14.33203125" style="96" bestFit="1" customWidth="1"/>
    <col min="10" max="10" width="16.109375" style="96" bestFit="1" customWidth="1"/>
    <col min="11" max="11" width="17.33203125" style="96" bestFit="1" customWidth="1"/>
    <col min="12" max="12" width="12.5546875" style="96" bestFit="1" customWidth="1"/>
    <col min="13" max="13" width="8.109375" style="96" bestFit="1" customWidth="1"/>
    <col min="14" max="16384" width="9.109375" style="96"/>
  </cols>
  <sheetData>
    <row r="1" spans="1:12" ht="24.9" customHeight="1" thickBot="1">
      <c r="A1" s="992" t="s">
        <v>183</v>
      </c>
      <c r="B1" s="992"/>
      <c r="C1" s="992"/>
      <c r="D1" s="992"/>
      <c r="E1" s="992"/>
      <c r="F1" s="992"/>
      <c r="G1" s="992"/>
      <c r="H1" s="992"/>
      <c r="I1" s="992"/>
      <c r="J1" s="992"/>
      <c r="K1" s="992"/>
    </row>
    <row r="2" spans="1:12" ht="52.2">
      <c r="A2" s="150" t="s">
        <v>6</v>
      </c>
      <c r="B2" s="151" t="s">
        <v>7</v>
      </c>
      <c r="C2" s="151" t="s">
        <v>12</v>
      </c>
      <c r="D2" s="152" t="s">
        <v>580</v>
      </c>
      <c r="E2" s="152" t="s">
        <v>178</v>
      </c>
      <c r="F2" s="152" t="s">
        <v>169</v>
      </c>
      <c r="G2" s="152" t="s">
        <v>170</v>
      </c>
      <c r="H2" s="153" t="s">
        <v>90</v>
      </c>
      <c r="I2" s="152" t="s">
        <v>324</v>
      </c>
      <c r="J2" s="152" t="s">
        <v>91</v>
      </c>
      <c r="K2" s="154" t="s">
        <v>123</v>
      </c>
    </row>
    <row r="3" spans="1:12" ht="18.600000000000001">
      <c r="A3" s="69">
        <v>1</v>
      </c>
      <c r="B3" s="624"/>
      <c r="C3" s="58"/>
      <c r="D3" s="58"/>
      <c r="E3" s="263"/>
      <c r="F3" s="651"/>
      <c r="G3" s="652">
        <f t="shared" ref="G3:G63" si="0">F3*E3</f>
        <v>0</v>
      </c>
      <c r="H3" s="695">
        <v>0</v>
      </c>
      <c r="I3" s="652">
        <f t="shared" ref="I3:I63" si="1">G3/(1-H3)</f>
        <v>0</v>
      </c>
      <c r="J3" s="651"/>
      <c r="K3" s="655">
        <f>J3*I3/1000</f>
        <v>0</v>
      </c>
      <c r="L3" s="639">
        <f>100000/8</f>
        <v>12500</v>
      </c>
    </row>
    <row r="4" spans="1:12" ht="18.600000000000001">
      <c r="A4" s="69">
        <v>2</v>
      </c>
      <c r="B4" s="624"/>
      <c r="C4" s="58"/>
      <c r="D4" s="58"/>
      <c r="E4" s="695"/>
      <c r="F4" s="651"/>
      <c r="G4" s="652">
        <f t="shared" si="0"/>
        <v>0</v>
      </c>
      <c r="H4" s="893">
        <v>0</v>
      </c>
      <c r="I4" s="652">
        <f t="shared" si="1"/>
        <v>0</v>
      </c>
      <c r="J4" s="651"/>
      <c r="K4" s="655">
        <f t="shared" ref="K4:K63" si="2">J4*I4/1000</f>
        <v>0</v>
      </c>
      <c r="L4" s="639"/>
    </row>
    <row r="5" spans="1:12" ht="18.600000000000001">
      <c r="A5" s="69">
        <v>3</v>
      </c>
      <c r="B5" s="624"/>
      <c r="C5" s="58"/>
      <c r="D5" s="58"/>
      <c r="E5" s="695"/>
      <c r="F5" s="651"/>
      <c r="G5" s="652">
        <f t="shared" si="0"/>
        <v>0</v>
      </c>
      <c r="H5" s="695">
        <v>0</v>
      </c>
      <c r="I5" s="872">
        <f t="shared" si="1"/>
        <v>0</v>
      </c>
      <c r="J5" s="651"/>
      <c r="K5" s="655">
        <f t="shared" si="2"/>
        <v>0</v>
      </c>
      <c r="L5" s="640"/>
    </row>
    <row r="6" spans="1:12" ht="18.600000000000001">
      <c r="A6" s="69">
        <v>4</v>
      </c>
      <c r="B6" s="624"/>
      <c r="C6" s="58"/>
      <c r="D6" s="58"/>
      <c r="E6" s="695"/>
      <c r="F6" s="651"/>
      <c r="G6" s="652">
        <f>F6*E6</f>
        <v>0</v>
      </c>
      <c r="H6" s="695">
        <v>0</v>
      </c>
      <c r="I6" s="652">
        <f t="shared" si="1"/>
        <v>0</v>
      </c>
      <c r="J6" s="651"/>
      <c r="K6" s="655">
        <f t="shared" si="2"/>
        <v>0</v>
      </c>
    </row>
    <row r="7" spans="1:12" ht="26.25" customHeight="1">
      <c r="A7" s="69">
        <v>5</v>
      </c>
      <c r="B7" s="624"/>
      <c r="C7" s="58"/>
      <c r="D7" s="58"/>
      <c r="E7" s="695"/>
      <c r="F7" s="651"/>
      <c r="G7" s="652">
        <f t="shared" si="0"/>
        <v>0</v>
      </c>
      <c r="H7" s="695">
        <v>0</v>
      </c>
      <c r="I7" s="652">
        <f t="shared" si="1"/>
        <v>0</v>
      </c>
      <c r="J7" s="651"/>
      <c r="K7" s="655">
        <f t="shared" si="2"/>
        <v>0</v>
      </c>
    </row>
    <row r="8" spans="1:12" ht="18.600000000000001">
      <c r="A8" s="69">
        <v>6</v>
      </c>
      <c r="B8" s="862"/>
      <c r="C8" s="58"/>
      <c r="D8" s="58"/>
      <c r="E8" s="695"/>
      <c r="F8" s="651"/>
      <c r="G8" s="652">
        <f t="shared" si="0"/>
        <v>0</v>
      </c>
      <c r="H8" s="695">
        <v>0</v>
      </c>
      <c r="I8" s="652">
        <f t="shared" si="1"/>
        <v>0</v>
      </c>
      <c r="J8" s="651"/>
      <c r="K8" s="655">
        <f t="shared" si="2"/>
        <v>0</v>
      </c>
    </row>
    <row r="9" spans="1:12" ht="18.600000000000001">
      <c r="A9" s="69">
        <v>7</v>
      </c>
      <c r="B9" s="862"/>
      <c r="C9" s="58"/>
      <c r="D9" s="58"/>
      <c r="E9" s="695"/>
      <c r="F9" s="651"/>
      <c r="G9" s="652">
        <f t="shared" si="0"/>
        <v>0</v>
      </c>
      <c r="H9" s="695">
        <v>0</v>
      </c>
      <c r="I9" s="652">
        <f t="shared" si="1"/>
        <v>0</v>
      </c>
      <c r="J9" s="651"/>
      <c r="K9" s="655">
        <f t="shared" si="2"/>
        <v>0</v>
      </c>
    </row>
    <row r="10" spans="1:12" ht="18.600000000000001">
      <c r="A10" s="69">
        <v>8</v>
      </c>
      <c r="B10" s="862"/>
      <c r="C10" s="58"/>
      <c r="D10" s="58"/>
      <c r="E10" s="695"/>
      <c r="F10" s="651"/>
      <c r="G10" s="652">
        <f t="shared" si="0"/>
        <v>0</v>
      </c>
      <c r="H10" s="695">
        <v>0</v>
      </c>
      <c r="I10" s="652">
        <f t="shared" si="1"/>
        <v>0</v>
      </c>
      <c r="J10" s="651"/>
      <c r="K10" s="655">
        <f t="shared" si="2"/>
        <v>0</v>
      </c>
    </row>
    <row r="11" spans="1:12" ht="18.600000000000001">
      <c r="A11" s="69"/>
      <c r="B11" s="862"/>
      <c r="C11" s="58"/>
      <c r="D11" s="58"/>
      <c r="E11" s="695"/>
      <c r="F11" s="651"/>
      <c r="G11" s="652"/>
      <c r="H11" s="695">
        <v>0</v>
      </c>
      <c r="I11" s="652"/>
      <c r="J11" s="651"/>
      <c r="K11" s="655"/>
    </row>
    <row r="12" spans="1:12" ht="18.600000000000001">
      <c r="A12" s="69">
        <v>9</v>
      </c>
      <c r="B12" s="862"/>
      <c r="C12" s="58"/>
      <c r="D12" s="58"/>
      <c r="E12" s="695"/>
      <c r="F12" s="651"/>
      <c r="G12" s="652">
        <f t="shared" si="0"/>
        <v>0</v>
      </c>
      <c r="H12" s="695">
        <v>0</v>
      </c>
      <c r="I12" s="652">
        <f t="shared" si="1"/>
        <v>0</v>
      </c>
      <c r="J12" s="651"/>
      <c r="K12" s="655">
        <f t="shared" si="2"/>
        <v>0</v>
      </c>
    </row>
    <row r="13" spans="1:12" ht="18.600000000000001">
      <c r="A13" s="69">
        <v>10</v>
      </c>
      <c r="B13" s="862"/>
      <c r="C13" s="58"/>
      <c r="D13" s="58"/>
      <c r="E13" s="695"/>
      <c r="F13" s="651"/>
      <c r="G13" s="652">
        <f t="shared" si="0"/>
        <v>0</v>
      </c>
      <c r="H13" s="695">
        <v>0</v>
      </c>
      <c r="I13" s="652">
        <f t="shared" si="1"/>
        <v>0</v>
      </c>
      <c r="J13" s="651"/>
      <c r="K13" s="655">
        <f t="shared" si="2"/>
        <v>0</v>
      </c>
    </row>
    <row r="14" spans="1:12" ht="18.600000000000001">
      <c r="A14" s="69">
        <v>11</v>
      </c>
      <c r="B14" s="862"/>
      <c r="C14" s="58"/>
      <c r="D14" s="58"/>
      <c r="E14" s="695"/>
      <c r="F14" s="651"/>
      <c r="G14" s="652">
        <f t="shared" si="0"/>
        <v>0</v>
      </c>
      <c r="H14" s="695">
        <v>0</v>
      </c>
      <c r="I14" s="652">
        <f t="shared" si="1"/>
        <v>0</v>
      </c>
      <c r="J14" s="651"/>
      <c r="K14" s="655">
        <f t="shared" si="2"/>
        <v>0</v>
      </c>
    </row>
    <row r="15" spans="1:12" ht="18.600000000000001">
      <c r="A15" s="69">
        <v>12</v>
      </c>
      <c r="B15" s="862"/>
      <c r="C15" s="58"/>
      <c r="D15" s="58"/>
      <c r="E15" s="695"/>
      <c r="F15" s="651"/>
      <c r="G15" s="652">
        <f t="shared" si="0"/>
        <v>0</v>
      </c>
      <c r="H15" s="695">
        <v>0</v>
      </c>
      <c r="I15" s="652">
        <f t="shared" si="1"/>
        <v>0</v>
      </c>
      <c r="J15" s="651"/>
      <c r="K15" s="655">
        <f t="shared" si="2"/>
        <v>0</v>
      </c>
    </row>
    <row r="16" spans="1:12" ht="18.600000000000001">
      <c r="A16" s="69">
        <v>13</v>
      </c>
      <c r="B16" s="862"/>
      <c r="C16" s="58"/>
      <c r="D16" s="58"/>
      <c r="E16" s="695"/>
      <c r="F16" s="651"/>
      <c r="G16" s="652">
        <f t="shared" si="0"/>
        <v>0</v>
      </c>
      <c r="H16" s="695">
        <v>0</v>
      </c>
      <c r="I16" s="652">
        <f t="shared" si="1"/>
        <v>0</v>
      </c>
      <c r="J16" s="651"/>
      <c r="K16" s="655">
        <f t="shared" si="2"/>
        <v>0</v>
      </c>
    </row>
    <row r="17" spans="1:11" ht="18.600000000000001">
      <c r="A17" s="69">
        <v>14</v>
      </c>
      <c r="B17" s="862"/>
      <c r="C17" s="58"/>
      <c r="D17" s="58"/>
      <c r="E17" s="695"/>
      <c r="F17" s="651"/>
      <c r="G17" s="652">
        <f t="shared" si="0"/>
        <v>0</v>
      </c>
      <c r="H17" s="695">
        <v>0</v>
      </c>
      <c r="I17" s="652">
        <f t="shared" si="1"/>
        <v>0</v>
      </c>
      <c r="J17" s="651"/>
      <c r="K17" s="655">
        <f t="shared" si="2"/>
        <v>0</v>
      </c>
    </row>
    <row r="18" spans="1:11" ht="18.600000000000001">
      <c r="A18" s="69">
        <v>15</v>
      </c>
      <c r="B18" s="862"/>
      <c r="C18" s="58"/>
      <c r="D18" s="58"/>
      <c r="E18" s="695"/>
      <c r="F18" s="651"/>
      <c r="G18" s="652">
        <f t="shared" si="0"/>
        <v>0</v>
      </c>
      <c r="H18" s="695">
        <v>0</v>
      </c>
      <c r="I18" s="652">
        <f t="shared" si="1"/>
        <v>0</v>
      </c>
      <c r="J18" s="651"/>
      <c r="K18" s="655">
        <f t="shared" si="2"/>
        <v>0</v>
      </c>
    </row>
    <row r="19" spans="1:11" ht="18.600000000000001">
      <c r="A19" s="69">
        <v>16</v>
      </c>
      <c r="B19" s="862"/>
      <c r="C19" s="58"/>
      <c r="D19" s="58"/>
      <c r="E19" s="695"/>
      <c r="F19" s="651"/>
      <c r="G19" s="652">
        <f t="shared" si="0"/>
        <v>0</v>
      </c>
      <c r="H19" s="695">
        <v>0</v>
      </c>
      <c r="I19" s="652">
        <f t="shared" si="1"/>
        <v>0</v>
      </c>
      <c r="J19" s="651"/>
      <c r="K19" s="655">
        <f t="shared" si="2"/>
        <v>0</v>
      </c>
    </row>
    <row r="20" spans="1:11" ht="18.600000000000001">
      <c r="A20" s="69"/>
      <c r="B20" s="57"/>
      <c r="C20" s="58"/>
      <c r="D20" s="58"/>
      <c r="E20" s="695"/>
      <c r="F20" s="651"/>
      <c r="G20" s="652">
        <f t="shared" si="0"/>
        <v>0</v>
      </c>
      <c r="H20" s="695">
        <v>0</v>
      </c>
      <c r="I20" s="652">
        <f t="shared" si="1"/>
        <v>0</v>
      </c>
      <c r="J20" s="651"/>
      <c r="K20" s="655">
        <f t="shared" si="2"/>
        <v>0</v>
      </c>
    </row>
    <row r="21" spans="1:11" ht="18.600000000000001">
      <c r="A21" s="69">
        <v>18</v>
      </c>
      <c r="B21" s="57"/>
      <c r="C21" s="58"/>
      <c r="D21" s="58"/>
      <c r="E21" s="695"/>
      <c r="F21" s="651">
        <f>F12</f>
        <v>0</v>
      </c>
      <c r="G21" s="652">
        <f t="shared" si="0"/>
        <v>0</v>
      </c>
      <c r="H21" s="695">
        <v>0</v>
      </c>
      <c r="I21" s="652">
        <f t="shared" si="1"/>
        <v>0</v>
      </c>
      <c r="J21" s="651"/>
      <c r="K21" s="655">
        <f t="shared" si="2"/>
        <v>0</v>
      </c>
    </row>
    <row r="22" spans="1:11" ht="18.600000000000001">
      <c r="A22" s="69">
        <v>19</v>
      </c>
      <c r="B22" s="57"/>
      <c r="C22" s="58"/>
      <c r="D22" s="58"/>
      <c r="E22" s="695"/>
      <c r="F22" s="651">
        <f t="shared" ref="F22:F28" si="3">F13</f>
        <v>0</v>
      </c>
      <c r="G22" s="652">
        <f t="shared" si="0"/>
        <v>0</v>
      </c>
      <c r="H22" s="695">
        <v>0</v>
      </c>
      <c r="I22" s="652">
        <f t="shared" si="1"/>
        <v>0</v>
      </c>
      <c r="J22" s="651"/>
      <c r="K22" s="655">
        <f t="shared" si="2"/>
        <v>0</v>
      </c>
    </row>
    <row r="23" spans="1:11" ht="18.600000000000001">
      <c r="A23" s="69">
        <v>20</v>
      </c>
      <c r="B23" s="57"/>
      <c r="C23" s="58"/>
      <c r="D23" s="58"/>
      <c r="E23" s="695"/>
      <c r="F23" s="651">
        <f t="shared" si="3"/>
        <v>0</v>
      </c>
      <c r="G23" s="652">
        <f t="shared" si="0"/>
        <v>0</v>
      </c>
      <c r="H23" s="695">
        <v>0</v>
      </c>
      <c r="I23" s="652">
        <f t="shared" si="1"/>
        <v>0</v>
      </c>
      <c r="J23" s="651"/>
      <c r="K23" s="655">
        <f t="shared" si="2"/>
        <v>0</v>
      </c>
    </row>
    <row r="24" spans="1:11" ht="18.600000000000001">
      <c r="A24" s="69">
        <v>21</v>
      </c>
      <c r="B24" s="57"/>
      <c r="C24" s="58"/>
      <c r="D24" s="58"/>
      <c r="E24" s="695"/>
      <c r="F24" s="651">
        <f t="shared" si="3"/>
        <v>0</v>
      </c>
      <c r="G24" s="652">
        <f t="shared" si="0"/>
        <v>0</v>
      </c>
      <c r="H24" s="695">
        <v>0</v>
      </c>
      <c r="I24" s="652">
        <f t="shared" si="1"/>
        <v>0</v>
      </c>
      <c r="J24" s="651"/>
      <c r="K24" s="655">
        <f t="shared" si="2"/>
        <v>0</v>
      </c>
    </row>
    <row r="25" spans="1:11" ht="18.600000000000001">
      <c r="A25" s="69">
        <v>22</v>
      </c>
      <c r="B25" s="57"/>
      <c r="C25" s="58"/>
      <c r="D25" s="58"/>
      <c r="E25" s="695"/>
      <c r="F25" s="651">
        <f t="shared" si="3"/>
        <v>0</v>
      </c>
      <c r="G25" s="652">
        <f t="shared" si="0"/>
        <v>0</v>
      </c>
      <c r="H25" s="695">
        <v>0</v>
      </c>
      <c r="I25" s="652">
        <f t="shared" si="1"/>
        <v>0</v>
      </c>
      <c r="J25" s="651"/>
      <c r="K25" s="655">
        <f t="shared" si="2"/>
        <v>0</v>
      </c>
    </row>
    <row r="26" spans="1:11" ht="18.600000000000001">
      <c r="A26" s="69">
        <v>23</v>
      </c>
      <c r="B26" s="57"/>
      <c r="C26" s="58"/>
      <c r="D26" s="58"/>
      <c r="E26" s="695"/>
      <c r="F26" s="651">
        <f t="shared" si="3"/>
        <v>0</v>
      </c>
      <c r="G26" s="652">
        <f t="shared" si="0"/>
        <v>0</v>
      </c>
      <c r="H26" s="695">
        <v>0</v>
      </c>
      <c r="I26" s="652">
        <f t="shared" si="1"/>
        <v>0</v>
      </c>
      <c r="J26" s="651"/>
      <c r="K26" s="655">
        <f t="shared" si="2"/>
        <v>0</v>
      </c>
    </row>
    <row r="27" spans="1:11" ht="18.600000000000001">
      <c r="A27" s="69">
        <v>24</v>
      </c>
      <c r="B27" s="57"/>
      <c r="C27" s="58"/>
      <c r="D27" s="58"/>
      <c r="E27" s="695"/>
      <c r="F27" s="651">
        <f t="shared" si="3"/>
        <v>0</v>
      </c>
      <c r="G27" s="652">
        <f t="shared" si="0"/>
        <v>0</v>
      </c>
      <c r="H27" s="695">
        <v>0</v>
      </c>
      <c r="I27" s="652">
        <f t="shared" si="1"/>
        <v>0</v>
      </c>
      <c r="J27" s="651"/>
      <c r="K27" s="655">
        <f t="shared" si="2"/>
        <v>0</v>
      </c>
    </row>
    <row r="28" spans="1:11" ht="18.600000000000001">
      <c r="A28" s="69">
        <v>25</v>
      </c>
      <c r="B28" s="57"/>
      <c r="C28" s="58"/>
      <c r="D28" s="58"/>
      <c r="E28" s="695"/>
      <c r="F28" s="651">
        <f t="shared" si="3"/>
        <v>0</v>
      </c>
      <c r="G28" s="652">
        <f t="shared" si="0"/>
        <v>0</v>
      </c>
      <c r="H28" s="695">
        <v>0</v>
      </c>
      <c r="I28" s="652">
        <f t="shared" si="1"/>
        <v>0</v>
      </c>
      <c r="J28" s="651"/>
      <c r="K28" s="655">
        <f t="shared" si="2"/>
        <v>0</v>
      </c>
    </row>
    <row r="29" spans="1:11" ht="18.600000000000001">
      <c r="A29" s="69">
        <v>26</v>
      </c>
      <c r="B29" s="57"/>
      <c r="C29" s="58"/>
      <c r="D29" s="58"/>
      <c r="E29" s="695"/>
      <c r="F29" s="651"/>
      <c r="G29" s="652"/>
      <c r="H29" s="695">
        <v>0</v>
      </c>
      <c r="I29" s="652"/>
      <c r="J29" s="651"/>
      <c r="K29" s="655">
        <f t="shared" si="2"/>
        <v>0</v>
      </c>
    </row>
    <row r="30" spans="1:11" ht="18.600000000000001">
      <c r="A30" s="69">
        <v>27</v>
      </c>
      <c r="B30" s="862"/>
      <c r="C30" s="57"/>
      <c r="D30" s="57"/>
      <c r="E30" s="695"/>
      <c r="F30" s="651">
        <f>F21</f>
        <v>0</v>
      </c>
      <c r="G30" s="652">
        <f t="shared" si="0"/>
        <v>0</v>
      </c>
      <c r="H30" s="695">
        <v>0</v>
      </c>
      <c r="I30" s="652">
        <f t="shared" si="1"/>
        <v>0</v>
      </c>
      <c r="J30" s="651"/>
      <c r="K30" s="655">
        <f t="shared" si="2"/>
        <v>0</v>
      </c>
    </row>
    <row r="31" spans="1:11" ht="18.600000000000001">
      <c r="A31" s="69">
        <v>28</v>
      </c>
      <c r="B31" s="862"/>
      <c r="C31" s="57"/>
      <c r="D31" s="57"/>
      <c r="E31" s="695"/>
      <c r="F31" s="651">
        <f t="shared" ref="F31:F37" si="4">F22</f>
        <v>0</v>
      </c>
      <c r="G31" s="652">
        <f t="shared" si="0"/>
        <v>0</v>
      </c>
      <c r="H31" s="695">
        <v>0</v>
      </c>
      <c r="I31" s="652">
        <f t="shared" si="1"/>
        <v>0</v>
      </c>
      <c r="J31" s="651"/>
      <c r="K31" s="655">
        <f t="shared" si="2"/>
        <v>0</v>
      </c>
    </row>
    <row r="32" spans="1:11" ht="18.600000000000001">
      <c r="A32" s="69">
        <v>29</v>
      </c>
      <c r="B32" s="862"/>
      <c r="C32" s="57"/>
      <c r="D32" s="57"/>
      <c r="E32" s="695"/>
      <c r="F32" s="651">
        <f t="shared" si="4"/>
        <v>0</v>
      </c>
      <c r="G32" s="652">
        <f t="shared" si="0"/>
        <v>0</v>
      </c>
      <c r="H32" s="695">
        <v>0</v>
      </c>
      <c r="I32" s="652">
        <f t="shared" si="1"/>
        <v>0</v>
      </c>
      <c r="J32" s="651"/>
      <c r="K32" s="655">
        <f t="shared" si="2"/>
        <v>0</v>
      </c>
    </row>
    <row r="33" spans="1:11" ht="18.600000000000001">
      <c r="A33" s="69">
        <v>30</v>
      </c>
      <c r="B33" s="862"/>
      <c r="C33" s="57"/>
      <c r="D33" s="57"/>
      <c r="E33" s="695"/>
      <c r="F33" s="651">
        <f t="shared" si="4"/>
        <v>0</v>
      </c>
      <c r="G33" s="652">
        <f t="shared" si="0"/>
        <v>0</v>
      </c>
      <c r="H33" s="695">
        <v>0</v>
      </c>
      <c r="I33" s="652">
        <f t="shared" si="1"/>
        <v>0</v>
      </c>
      <c r="J33" s="651"/>
      <c r="K33" s="655">
        <f t="shared" si="2"/>
        <v>0</v>
      </c>
    </row>
    <row r="34" spans="1:11" ht="18.600000000000001">
      <c r="A34" s="69">
        <v>31</v>
      </c>
      <c r="B34" s="862"/>
      <c r="C34" s="57"/>
      <c r="D34" s="57"/>
      <c r="E34" s="695"/>
      <c r="F34" s="651">
        <f t="shared" si="4"/>
        <v>0</v>
      </c>
      <c r="G34" s="652">
        <f t="shared" si="0"/>
        <v>0</v>
      </c>
      <c r="H34" s="695">
        <v>0</v>
      </c>
      <c r="I34" s="652">
        <f t="shared" si="1"/>
        <v>0</v>
      </c>
      <c r="J34" s="651"/>
      <c r="K34" s="655">
        <f t="shared" si="2"/>
        <v>0</v>
      </c>
    </row>
    <row r="35" spans="1:11" ht="18.600000000000001">
      <c r="A35" s="69">
        <v>32</v>
      </c>
      <c r="B35" s="862"/>
      <c r="C35" s="57"/>
      <c r="D35" s="57"/>
      <c r="E35" s="695"/>
      <c r="F35" s="651">
        <f t="shared" si="4"/>
        <v>0</v>
      </c>
      <c r="G35" s="652">
        <f t="shared" si="0"/>
        <v>0</v>
      </c>
      <c r="H35" s="695">
        <v>0</v>
      </c>
      <c r="I35" s="652">
        <f t="shared" si="1"/>
        <v>0</v>
      </c>
      <c r="J35" s="651"/>
      <c r="K35" s="655">
        <f t="shared" si="2"/>
        <v>0</v>
      </c>
    </row>
    <row r="36" spans="1:11" ht="18.600000000000001">
      <c r="A36" s="69">
        <v>33</v>
      </c>
      <c r="B36" s="862"/>
      <c r="C36" s="57"/>
      <c r="D36" s="57"/>
      <c r="E36" s="695"/>
      <c r="F36" s="651">
        <f t="shared" si="4"/>
        <v>0</v>
      </c>
      <c r="G36" s="652">
        <f t="shared" si="0"/>
        <v>0</v>
      </c>
      <c r="H36" s="695">
        <v>0</v>
      </c>
      <c r="I36" s="652">
        <f t="shared" si="1"/>
        <v>0</v>
      </c>
      <c r="J36" s="651"/>
      <c r="K36" s="655">
        <f t="shared" si="2"/>
        <v>0</v>
      </c>
    </row>
    <row r="37" spans="1:11" ht="18.600000000000001">
      <c r="A37" s="69">
        <v>34</v>
      </c>
      <c r="B37" s="862"/>
      <c r="C37" s="57"/>
      <c r="D37" s="57"/>
      <c r="E37" s="695"/>
      <c r="F37" s="651">
        <f t="shared" si="4"/>
        <v>0</v>
      </c>
      <c r="G37" s="652">
        <f t="shared" si="0"/>
        <v>0</v>
      </c>
      <c r="H37" s="695">
        <v>0</v>
      </c>
      <c r="I37" s="652">
        <f t="shared" si="1"/>
        <v>0</v>
      </c>
      <c r="J37" s="651"/>
      <c r="K37" s="655">
        <f t="shared" si="2"/>
        <v>0</v>
      </c>
    </row>
    <row r="38" spans="1:11" ht="18.600000000000001">
      <c r="A38" s="69"/>
      <c r="B38" s="57"/>
      <c r="C38" s="57"/>
      <c r="D38" s="57"/>
      <c r="E38" s="695"/>
      <c r="F38" s="651"/>
      <c r="G38" s="652">
        <f t="shared" si="0"/>
        <v>0</v>
      </c>
      <c r="H38" s="695">
        <v>0</v>
      </c>
      <c r="I38" s="652">
        <f t="shared" si="1"/>
        <v>0</v>
      </c>
      <c r="J38" s="651"/>
      <c r="K38" s="655">
        <f t="shared" si="2"/>
        <v>0</v>
      </c>
    </row>
    <row r="39" spans="1:11" ht="18.600000000000001">
      <c r="A39" s="69">
        <v>35</v>
      </c>
      <c r="B39" s="57"/>
      <c r="C39" s="57"/>
      <c r="D39" s="57"/>
      <c r="E39" s="691"/>
      <c r="F39" s="651">
        <v>0</v>
      </c>
      <c r="G39" s="652">
        <f t="shared" si="0"/>
        <v>0</v>
      </c>
      <c r="H39" s="695">
        <v>0</v>
      </c>
      <c r="I39" s="652">
        <f t="shared" si="1"/>
        <v>0</v>
      </c>
      <c r="J39" s="651"/>
      <c r="K39" s="655">
        <f t="shared" si="2"/>
        <v>0</v>
      </c>
    </row>
    <row r="40" spans="1:11" ht="18.600000000000001">
      <c r="A40" s="69">
        <v>36</v>
      </c>
      <c r="B40" s="57"/>
      <c r="C40" s="57"/>
      <c r="D40" s="57"/>
      <c r="E40" s="691"/>
      <c r="F40" s="651">
        <v>0</v>
      </c>
      <c r="G40" s="652">
        <f t="shared" si="0"/>
        <v>0</v>
      </c>
      <c r="H40" s="695">
        <v>0</v>
      </c>
      <c r="I40" s="652">
        <f t="shared" si="1"/>
        <v>0</v>
      </c>
      <c r="J40" s="651"/>
      <c r="K40" s="655">
        <f t="shared" si="2"/>
        <v>0</v>
      </c>
    </row>
    <row r="41" spans="1:11" ht="18.600000000000001">
      <c r="A41" s="69">
        <v>37</v>
      </c>
      <c r="B41" s="57"/>
      <c r="C41" s="57"/>
      <c r="D41" s="57"/>
      <c r="E41" s="691"/>
      <c r="F41" s="651">
        <v>0</v>
      </c>
      <c r="G41" s="652">
        <f t="shared" si="0"/>
        <v>0</v>
      </c>
      <c r="H41" s="695">
        <v>0</v>
      </c>
      <c r="I41" s="652">
        <f t="shared" si="1"/>
        <v>0</v>
      </c>
      <c r="J41" s="651"/>
      <c r="K41" s="655">
        <f t="shared" si="2"/>
        <v>0</v>
      </c>
    </row>
    <row r="42" spans="1:11" ht="18.600000000000001">
      <c r="A42" s="69">
        <v>38</v>
      </c>
      <c r="B42" s="57"/>
      <c r="C42" s="57"/>
      <c r="D42" s="57"/>
      <c r="E42" s="691"/>
      <c r="F42" s="651">
        <v>0</v>
      </c>
      <c r="G42" s="652">
        <f t="shared" si="0"/>
        <v>0</v>
      </c>
      <c r="H42" s="695">
        <v>0</v>
      </c>
      <c r="I42" s="652">
        <f t="shared" si="1"/>
        <v>0</v>
      </c>
      <c r="J42" s="651"/>
      <c r="K42" s="655">
        <f t="shared" si="2"/>
        <v>0</v>
      </c>
    </row>
    <row r="43" spans="1:11" ht="18.600000000000001">
      <c r="A43" s="69">
        <v>39</v>
      </c>
      <c r="B43" s="57"/>
      <c r="C43" s="57"/>
      <c r="D43" s="57"/>
      <c r="E43" s="692"/>
      <c r="F43" s="651"/>
      <c r="G43" s="652">
        <f t="shared" si="0"/>
        <v>0</v>
      </c>
      <c r="H43" s="695">
        <v>0</v>
      </c>
      <c r="I43" s="652">
        <f t="shared" si="1"/>
        <v>0</v>
      </c>
      <c r="J43" s="693"/>
      <c r="K43" s="655">
        <f t="shared" si="2"/>
        <v>0</v>
      </c>
    </row>
    <row r="44" spans="1:11" ht="18.600000000000001">
      <c r="A44" s="69">
        <v>40</v>
      </c>
      <c r="B44" s="57"/>
      <c r="C44" s="57"/>
      <c r="D44" s="57"/>
      <c r="E44" s="692"/>
      <c r="F44" s="651"/>
      <c r="G44" s="652">
        <f t="shared" si="0"/>
        <v>0</v>
      </c>
      <c r="H44" s="695">
        <v>0</v>
      </c>
      <c r="I44" s="652">
        <f t="shared" si="1"/>
        <v>0</v>
      </c>
      <c r="J44" s="693"/>
      <c r="K44" s="655">
        <f t="shared" si="2"/>
        <v>0</v>
      </c>
    </row>
    <row r="45" spans="1:11" ht="18.600000000000001">
      <c r="A45" s="69">
        <v>41</v>
      </c>
      <c r="B45" s="57"/>
      <c r="C45" s="57"/>
      <c r="D45" s="57"/>
      <c r="E45" s="692"/>
      <c r="F45" s="651"/>
      <c r="G45" s="652">
        <f t="shared" si="0"/>
        <v>0</v>
      </c>
      <c r="H45" s="695">
        <v>0</v>
      </c>
      <c r="I45" s="652">
        <f t="shared" si="1"/>
        <v>0</v>
      </c>
      <c r="J45" s="693"/>
      <c r="K45" s="655">
        <f t="shared" si="2"/>
        <v>0</v>
      </c>
    </row>
    <row r="46" spans="1:11" ht="18.600000000000001">
      <c r="A46" s="69">
        <v>42</v>
      </c>
      <c r="B46" s="57"/>
      <c r="C46" s="57"/>
      <c r="D46" s="57"/>
      <c r="E46" s="692"/>
      <c r="F46" s="651"/>
      <c r="G46" s="652">
        <f t="shared" si="0"/>
        <v>0</v>
      </c>
      <c r="H46" s="695">
        <v>0</v>
      </c>
      <c r="I46" s="652">
        <f t="shared" si="1"/>
        <v>0</v>
      </c>
      <c r="J46" s="693"/>
      <c r="K46" s="655">
        <f t="shared" si="2"/>
        <v>0</v>
      </c>
    </row>
    <row r="47" spans="1:11" ht="18.600000000000001">
      <c r="A47" s="155"/>
      <c r="B47" s="57"/>
      <c r="C47" s="156"/>
      <c r="D47" s="156"/>
      <c r="E47" s="692"/>
      <c r="F47" s="651"/>
      <c r="G47" s="652">
        <f t="shared" si="0"/>
        <v>0</v>
      </c>
      <c r="H47" s="695">
        <v>0</v>
      </c>
      <c r="I47" s="652">
        <f t="shared" si="1"/>
        <v>0</v>
      </c>
      <c r="J47" s="693"/>
      <c r="K47" s="655">
        <f t="shared" si="2"/>
        <v>0</v>
      </c>
    </row>
    <row r="48" spans="1:11" ht="18.600000000000001">
      <c r="A48" s="155">
        <v>43</v>
      </c>
      <c r="B48" s="57"/>
      <c r="C48" s="156"/>
      <c r="D48" s="156"/>
      <c r="E48" s="879"/>
      <c r="F48" s="651">
        <v>0</v>
      </c>
      <c r="G48" s="652">
        <f t="shared" si="0"/>
        <v>0</v>
      </c>
      <c r="H48" s="695">
        <v>0</v>
      </c>
      <c r="I48" s="652">
        <f t="shared" si="1"/>
        <v>0</v>
      </c>
      <c r="J48" s="693"/>
      <c r="K48" s="655">
        <f t="shared" si="2"/>
        <v>0</v>
      </c>
    </row>
    <row r="49" spans="1:11" ht="18.600000000000001">
      <c r="A49" s="155">
        <v>44</v>
      </c>
      <c r="B49" s="57"/>
      <c r="C49" s="156"/>
      <c r="D49" s="156"/>
      <c r="E49" s="879"/>
      <c r="F49" s="651">
        <f t="shared" ref="F49:F55" si="5">F4</f>
        <v>0</v>
      </c>
      <c r="G49" s="652">
        <f t="shared" si="0"/>
        <v>0</v>
      </c>
      <c r="H49" s="695">
        <v>0</v>
      </c>
      <c r="I49" s="652">
        <f t="shared" si="1"/>
        <v>0</v>
      </c>
      <c r="J49" s="693"/>
      <c r="K49" s="655">
        <f t="shared" si="2"/>
        <v>0</v>
      </c>
    </row>
    <row r="50" spans="1:11" ht="18.600000000000001">
      <c r="A50" s="155">
        <v>45</v>
      </c>
      <c r="B50" s="57"/>
      <c r="C50" s="156"/>
      <c r="D50" s="156"/>
      <c r="E50" s="879"/>
      <c r="F50" s="651">
        <f t="shared" si="5"/>
        <v>0</v>
      </c>
      <c r="G50" s="652">
        <f t="shared" si="0"/>
        <v>0</v>
      </c>
      <c r="H50" s="695">
        <v>0</v>
      </c>
      <c r="I50" s="652">
        <f t="shared" si="1"/>
        <v>0</v>
      </c>
      <c r="J50" s="693"/>
      <c r="K50" s="655">
        <f t="shared" si="2"/>
        <v>0</v>
      </c>
    </row>
    <row r="51" spans="1:11" ht="18.600000000000001">
      <c r="A51" s="155">
        <v>46</v>
      </c>
      <c r="B51" s="57"/>
      <c r="C51" s="156"/>
      <c r="D51" s="156"/>
      <c r="E51" s="879"/>
      <c r="F51" s="651">
        <f t="shared" si="5"/>
        <v>0</v>
      </c>
      <c r="G51" s="652">
        <f t="shared" si="0"/>
        <v>0</v>
      </c>
      <c r="H51" s="695">
        <v>0</v>
      </c>
      <c r="I51" s="652">
        <f t="shared" si="1"/>
        <v>0</v>
      </c>
      <c r="J51" s="693"/>
      <c r="K51" s="655">
        <f t="shared" si="2"/>
        <v>0</v>
      </c>
    </row>
    <row r="52" spans="1:11" ht="18.600000000000001">
      <c r="A52" s="155">
        <v>47</v>
      </c>
      <c r="B52" s="57"/>
      <c r="C52" s="156"/>
      <c r="D52" s="156"/>
      <c r="E52" s="879"/>
      <c r="F52" s="651">
        <f t="shared" si="5"/>
        <v>0</v>
      </c>
      <c r="G52" s="652">
        <f t="shared" si="0"/>
        <v>0</v>
      </c>
      <c r="H52" s="695">
        <v>0</v>
      </c>
      <c r="I52" s="652">
        <f t="shared" si="1"/>
        <v>0</v>
      </c>
      <c r="J52" s="693"/>
      <c r="K52" s="655">
        <f t="shared" si="2"/>
        <v>0</v>
      </c>
    </row>
    <row r="53" spans="1:11" ht="18.600000000000001">
      <c r="A53" s="155">
        <v>48</v>
      </c>
      <c r="B53" s="57"/>
      <c r="C53" s="156"/>
      <c r="D53" s="156"/>
      <c r="E53" s="879"/>
      <c r="F53" s="651">
        <f t="shared" si="5"/>
        <v>0</v>
      </c>
      <c r="G53" s="652">
        <f t="shared" si="0"/>
        <v>0</v>
      </c>
      <c r="H53" s="695">
        <v>0</v>
      </c>
      <c r="I53" s="652">
        <f t="shared" si="1"/>
        <v>0</v>
      </c>
      <c r="J53" s="693"/>
      <c r="K53" s="655">
        <f t="shared" si="2"/>
        <v>0</v>
      </c>
    </row>
    <row r="54" spans="1:11" ht="18.600000000000001">
      <c r="A54" s="155">
        <v>49</v>
      </c>
      <c r="B54" s="57"/>
      <c r="C54" s="156"/>
      <c r="D54" s="156"/>
      <c r="E54" s="879"/>
      <c r="F54" s="651">
        <f t="shared" si="5"/>
        <v>0</v>
      </c>
      <c r="G54" s="652">
        <f t="shared" si="0"/>
        <v>0</v>
      </c>
      <c r="H54" s="695">
        <v>0</v>
      </c>
      <c r="I54" s="652">
        <f t="shared" si="1"/>
        <v>0</v>
      </c>
      <c r="J54" s="693"/>
      <c r="K54" s="655">
        <f t="shared" si="2"/>
        <v>0</v>
      </c>
    </row>
    <row r="55" spans="1:11" ht="18.600000000000001">
      <c r="A55" s="155">
        <v>50</v>
      </c>
      <c r="B55" s="57"/>
      <c r="C55" s="156"/>
      <c r="D55" s="156"/>
      <c r="E55" s="879"/>
      <c r="F55" s="651">
        <f t="shared" si="5"/>
        <v>0</v>
      </c>
      <c r="G55" s="652">
        <f t="shared" si="0"/>
        <v>0</v>
      </c>
      <c r="H55" s="695">
        <v>0</v>
      </c>
      <c r="I55" s="652">
        <f t="shared" si="1"/>
        <v>0</v>
      </c>
      <c r="J55" s="693"/>
      <c r="K55" s="655">
        <f t="shared" si="2"/>
        <v>0</v>
      </c>
    </row>
    <row r="56" spans="1:11" ht="18.600000000000001">
      <c r="A56" s="155"/>
      <c r="B56" s="57"/>
      <c r="C56" s="156"/>
      <c r="D56" s="156"/>
      <c r="E56" s="692"/>
      <c r="F56" s="651"/>
      <c r="G56" s="652">
        <f t="shared" si="0"/>
        <v>0</v>
      </c>
      <c r="H56" s="695">
        <v>0</v>
      </c>
      <c r="I56" s="652">
        <f t="shared" si="1"/>
        <v>0</v>
      </c>
      <c r="J56" s="693"/>
      <c r="K56" s="655">
        <f t="shared" si="2"/>
        <v>0</v>
      </c>
    </row>
    <row r="57" spans="1:11" ht="18.600000000000001">
      <c r="A57" s="155">
        <v>51</v>
      </c>
      <c r="B57" s="57"/>
      <c r="C57" s="156"/>
      <c r="D57" s="156"/>
      <c r="E57" s="692"/>
      <c r="F57" s="651">
        <v>0</v>
      </c>
      <c r="G57" s="652">
        <f t="shared" si="0"/>
        <v>0</v>
      </c>
      <c r="H57" s="695">
        <v>0</v>
      </c>
      <c r="I57" s="652">
        <f t="shared" si="1"/>
        <v>0</v>
      </c>
      <c r="J57" s="693"/>
      <c r="K57" s="655">
        <f t="shared" si="2"/>
        <v>0</v>
      </c>
    </row>
    <row r="58" spans="1:11" ht="18.600000000000001">
      <c r="A58" s="155">
        <v>52</v>
      </c>
      <c r="B58" s="57"/>
      <c r="C58" s="156"/>
      <c r="D58" s="156"/>
      <c r="E58" s="692"/>
      <c r="F58" s="651">
        <v>0</v>
      </c>
      <c r="G58" s="652">
        <f t="shared" si="0"/>
        <v>0</v>
      </c>
      <c r="H58" s="695">
        <v>0</v>
      </c>
      <c r="I58" s="652">
        <f t="shared" si="1"/>
        <v>0</v>
      </c>
      <c r="J58" s="693"/>
      <c r="K58" s="655">
        <f t="shared" si="2"/>
        <v>0</v>
      </c>
    </row>
    <row r="59" spans="1:11" ht="18.600000000000001">
      <c r="A59" s="155">
        <v>53</v>
      </c>
      <c r="B59" s="57"/>
      <c r="C59" s="156"/>
      <c r="D59" s="156"/>
      <c r="E59" s="692"/>
      <c r="F59" s="651">
        <v>0</v>
      </c>
      <c r="G59" s="652">
        <f t="shared" si="0"/>
        <v>0</v>
      </c>
      <c r="H59" s="695">
        <v>0</v>
      </c>
      <c r="I59" s="652">
        <f t="shared" si="1"/>
        <v>0</v>
      </c>
      <c r="J59" s="693"/>
      <c r="K59" s="655">
        <f t="shared" si="2"/>
        <v>0</v>
      </c>
    </row>
    <row r="60" spans="1:11" ht="18.600000000000001">
      <c r="A60" s="155">
        <v>54</v>
      </c>
      <c r="B60" s="57"/>
      <c r="C60" s="156"/>
      <c r="D60" s="156"/>
      <c r="E60" s="692"/>
      <c r="F60" s="651">
        <v>0</v>
      </c>
      <c r="G60" s="652">
        <f t="shared" si="0"/>
        <v>0</v>
      </c>
      <c r="H60" s="695">
        <v>0</v>
      </c>
      <c r="I60" s="652">
        <f t="shared" si="1"/>
        <v>0</v>
      </c>
      <c r="J60" s="693"/>
      <c r="K60" s="655">
        <f t="shared" si="2"/>
        <v>0</v>
      </c>
    </row>
    <row r="61" spans="1:11" ht="18.600000000000001">
      <c r="A61" s="155">
        <v>55</v>
      </c>
      <c r="B61" s="57"/>
      <c r="C61" s="156"/>
      <c r="D61" s="156"/>
      <c r="E61" s="692"/>
      <c r="F61" s="651">
        <v>0</v>
      </c>
      <c r="G61" s="652">
        <f t="shared" si="0"/>
        <v>0</v>
      </c>
      <c r="H61" s="695">
        <v>0</v>
      </c>
      <c r="I61" s="652">
        <f t="shared" si="1"/>
        <v>0</v>
      </c>
      <c r="J61" s="693"/>
      <c r="K61" s="655">
        <f t="shared" si="2"/>
        <v>0</v>
      </c>
    </row>
    <row r="62" spans="1:11" ht="18.600000000000001">
      <c r="A62" s="155">
        <v>56</v>
      </c>
      <c r="B62" s="57"/>
      <c r="C62" s="156"/>
      <c r="D62" s="156"/>
      <c r="E62" s="692"/>
      <c r="F62" s="651">
        <v>0</v>
      </c>
      <c r="G62" s="652">
        <f t="shared" si="0"/>
        <v>0</v>
      </c>
      <c r="H62" s="695">
        <v>0</v>
      </c>
      <c r="I62" s="652">
        <f t="shared" si="1"/>
        <v>0</v>
      </c>
      <c r="J62" s="693"/>
      <c r="K62" s="655">
        <f t="shared" si="2"/>
        <v>0</v>
      </c>
    </row>
    <row r="63" spans="1:11" ht="18.600000000000001">
      <c r="A63" s="155">
        <v>57</v>
      </c>
      <c r="B63" s="57"/>
      <c r="C63" s="156"/>
      <c r="D63" s="156"/>
      <c r="E63" s="692"/>
      <c r="F63" s="651">
        <v>0</v>
      </c>
      <c r="G63" s="652">
        <f t="shared" si="0"/>
        <v>0</v>
      </c>
      <c r="H63" s="695">
        <v>0</v>
      </c>
      <c r="I63" s="652">
        <f t="shared" si="1"/>
        <v>0</v>
      </c>
      <c r="J63" s="693"/>
      <c r="K63" s="655">
        <f t="shared" si="2"/>
        <v>0</v>
      </c>
    </row>
    <row r="64" spans="1:11" ht="19.2" thickBot="1">
      <c r="A64" s="990" t="s">
        <v>19</v>
      </c>
      <c r="B64" s="991"/>
      <c r="C64" s="157"/>
      <c r="D64" s="157"/>
      <c r="E64" s="656"/>
      <c r="F64" s="656"/>
      <c r="G64" s="656">
        <v>0</v>
      </c>
      <c r="H64" s="656"/>
      <c r="I64" s="656">
        <f>SUM(I3:I63)</f>
        <v>0</v>
      </c>
      <c r="J64" s="656"/>
      <c r="K64" s="658">
        <f>SUM(K3:K63)</f>
        <v>0</v>
      </c>
    </row>
    <row r="65" spans="2:11">
      <c r="E65" s="690"/>
      <c r="F65" s="690"/>
      <c r="G65" s="690"/>
      <c r="H65" s="690"/>
      <c r="I65" s="690"/>
      <c r="J65" s="690"/>
      <c r="K65" s="690"/>
    </row>
    <row r="66" spans="2:11">
      <c r="B66" s="993"/>
      <c r="C66" s="994"/>
      <c r="D66" s="994"/>
      <c r="E66" s="994"/>
      <c r="F66" s="994"/>
      <c r="G66" s="994"/>
      <c r="H66" s="994"/>
      <c r="I66" s="994"/>
      <c r="J66" s="994"/>
      <c r="K66" s="994"/>
    </row>
    <row r="67" spans="2:11">
      <c r="B67" s="994"/>
      <c r="C67" s="994"/>
      <c r="D67" s="994"/>
      <c r="E67" s="994"/>
      <c r="F67" s="994"/>
      <c r="G67" s="994"/>
      <c r="H67" s="994"/>
      <c r="I67" s="994"/>
      <c r="J67" s="994"/>
      <c r="K67" s="994"/>
    </row>
    <row r="68" spans="2:11" ht="96" customHeight="1">
      <c r="B68" s="994"/>
      <c r="C68" s="994"/>
      <c r="D68" s="994"/>
      <c r="E68" s="994"/>
      <c r="F68" s="994"/>
      <c r="G68" s="994"/>
      <c r="H68" s="994"/>
      <c r="I68" s="994"/>
      <c r="J68" s="994"/>
      <c r="K68" s="994"/>
    </row>
  </sheetData>
  <mergeCells count="3">
    <mergeCell ref="A64:B64"/>
    <mergeCell ref="A1:K1"/>
    <mergeCell ref="B66:K68"/>
  </mergeCells>
  <phoneticPr fontId="0" type="noConversion"/>
  <printOptions horizontalCentered="1"/>
  <pageMargins left="0" right="0" top="1.7716535433070868" bottom="0.78740157480314965" header="0" footer="0"/>
  <pageSetup paperSize="9" scale="31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pageSetUpPr fitToPage="1"/>
  </sheetPr>
  <dimension ref="A1:U57"/>
  <sheetViews>
    <sheetView rightToLeft="1" view="pageBreakPreview" topLeftCell="I38" zoomScaleNormal="100" workbookViewId="0">
      <selection activeCell="N23" sqref="N23"/>
    </sheetView>
  </sheetViews>
  <sheetFormatPr defaultColWidth="9.109375" defaultRowHeight="17.399999999999999"/>
  <cols>
    <col min="1" max="1" width="4" style="113" hidden="1" customWidth="1"/>
    <col min="2" max="2" width="4.44140625" style="113" hidden="1" customWidth="1"/>
    <col min="3" max="3" width="12.5546875" style="113" hidden="1" customWidth="1"/>
    <col min="4" max="4" width="13" style="113" hidden="1" customWidth="1"/>
    <col min="5" max="6" width="11.6640625" style="113" hidden="1" customWidth="1"/>
    <col min="7" max="7" width="12.6640625" style="113" hidden="1" customWidth="1"/>
    <col min="8" max="8" width="17.5546875" style="113" hidden="1" customWidth="1"/>
    <col min="9" max="9" width="5.109375" style="113" customWidth="1"/>
    <col min="10" max="10" width="4.88671875" style="113" bestFit="1" customWidth="1"/>
    <col min="11" max="11" width="20.6640625" style="113" customWidth="1"/>
    <col min="12" max="12" width="9.6640625" style="113" customWidth="1"/>
    <col min="13" max="13" width="10" style="113" customWidth="1"/>
    <col min="14" max="14" width="9.44140625" style="113" bestFit="1" customWidth="1"/>
    <col min="15" max="15" width="15" style="113" bestFit="1" customWidth="1"/>
    <col min="16" max="16" width="16.44140625" style="113" bestFit="1" customWidth="1"/>
    <col min="17" max="17" width="13.33203125" style="113" bestFit="1" customWidth="1"/>
    <col min="18" max="18" width="12.6640625" style="113" customWidth="1"/>
    <col min="19" max="19" width="10.88671875" style="113" bestFit="1" customWidth="1"/>
    <col min="20" max="20" width="9.109375" style="113"/>
    <col min="21" max="21" width="10.88671875" style="113" bestFit="1" customWidth="1"/>
    <col min="22" max="16384" width="9.109375" style="113"/>
  </cols>
  <sheetData>
    <row r="1" spans="2:21" ht="24.9" customHeight="1" thickBot="1">
      <c r="B1" s="1003" t="s">
        <v>62</v>
      </c>
      <c r="C1" s="1003"/>
      <c r="D1" s="1003"/>
      <c r="E1" s="1003"/>
      <c r="F1" s="1003"/>
      <c r="G1" s="1003"/>
      <c r="H1" s="1003"/>
      <c r="J1" s="995" t="s">
        <v>184</v>
      </c>
      <c r="K1" s="995"/>
      <c r="L1" s="995"/>
      <c r="M1" s="995"/>
      <c r="N1" s="995"/>
      <c r="O1" s="995"/>
      <c r="P1" s="995"/>
      <c r="Q1" s="114"/>
      <c r="R1" s="114"/>
    </row>
    <row r="2" spans="2:21" ht="30" customHeight="1" thickBot="1">
      <c r="E2" s="115"/>
      <c r="F2" s="115"/>
      <c r="G2" s="115"/>
      <c r="H2" s="115"/>
      <c r="I2" s="115"/>
      <c r="J2" s="1001" t="s">
        <v>6</v>
      </c>
      <c r="K2" s="996" t="s">
        <v>7</v>
      </c>
      <c r="L2" s="996" t="s">
        <v>124</v>
      </c>
      <c r="M2" s="996"/>
      <c r="N2" s="996" t="s">
        <v>53</v>
      </c>
      <c r="O2" s="996" t="s">
        <v>125</v>
      </c>
      <c r="P2" s="997"/>
      <c r="Q2" s="1009" t="s">
        <v>130</v>
      </c>
      <c r="R2" s="1010"/>
    </row>
    <row r="3" spans="2:21" ht="30" customHeight="1" thickBot="1">
      <c r="B3" s="117" t="s">
        <v>6</v>
      </c>
      <c r="C3" s="118" t="s">
        <v>7</v>
      </c>
      <c r="D3" s="118" t="s">
        <v>50</v>
      </c>
      <c r="E3" s="118" t="s">
        <v>51</v>
      </c>
      <c r="F3" s="118" t="s">
        <v>52</v>
      </c>
      <c r="G3" s="118" t="s">
        <v>53</v>
      </c>
      <c r="H3" s="119" t="s">
        <v>54</v>
      </c>
      <c r="I3" s="120"/>
      <c r="J3" s="1002"/>
      <c r="K3" s="1000"/>
      <c r="L3" s="121" t="s">
        <v>106</v>
      </c>
      <c r="M3" s="121" t="s">
        <v>26</v>
      </c>
      <c r="N3" s="1000"/>
      <c r="O3" s="121" t="s">
        <v>126</v>
      </c>
      <c r="P3" s="122" t="s">
        <v>127</v>
      </c>
      <c r="Q3" s="116" t="s">
        <v>126</v>
      </c>
      <c r="R3" s="121" t="s">
        <v>127</v>
      </c>
    </row>
    <row r="4" spans="2:21" ht="20.100000000000001" customHeight="1">
      <c r="B4" s="123">
        <v>1</v>
      </c>
      <c r="C4" s="124" t="s">
        <v>55</v>
      </c>
      <c r="D4" s="125">
        <v>0</v>
      </c>
      <c r="E4" s="125">
        <v>0</v>
      </c>
      <c r="F4" s="125">
        <f>E4+D4</f>
        <v>0</v>
      </c>
      <c r="G4" s="125">
        <v>4000</v>
      </c>
      <c r="H4" s="126">
        <f>G4*E4</f>
        <v>0</v>
      </c>
      <c r="I4" s="127"/>
      <c r="J4" s="128">
        <v>1</v>
      </c>
      <c r="K4" s="107" t="s">
        <v>596</v>
      </c>
      <c r="L4" s="651">
        <v>1</v>
      </c>
      <c r="M4" s="651">
        <v>1</v>
      </c>
      <c r="N4" s="651">
        <v>450000</v>
      </c>
      <c r="O4" s="652">
        <f>N4*L4*14</f>
        <v>6300000</v>
      </c>
      <c r="P4" s="655">
        <f>M4*N4*14</f>
        <v>6300000</v>
      </c>
      <c r="Q4" s="130">
        <f>L4*N4*12</f>
        <v>5400000</v>
      </c>
      <c r="R4" s="47">
        <f>M4*N4*12</f>
        <v>5400000</v>
      </c>
    </row>
    <row r="5" spans="2:21" ht="20.100000000000001" hidden="1" customHeight="1">
      <c r="B5" s="131">
        <v>2</v>
      </c>
      <c r="C5" s="132" t="s">
        <v>56</v>
      </c>
      <c r="D5" s="133">
        <v>0</v>
      </c>
      <c r="E5" s="133">
        <v>0</v>
      </c>
      <c r="F5" s="133">
        <f>E5+D5</f>
        <v>0</v>
      </c>
      <c r="G5" s="133">
        <v>3500</v>
      </c>
      <c r="H5" s="134">
        <f>G5*E5</f>
        <v>0</v>
      </c>
      <c r="I5" s="127"/>
      <c r="J5" s="128">
        <v>2</v>
      </c>
      <c r="K5" s="107"/>
      <c r="L5" s="651"/>
      <c r="M5" s="651"/>
      <c r="N5" s="651"/>
      <c r="O5" s="652">
        <f t="shared" ref="O5:O13" si="0">N5*L5*14</f>
        <v>0</v>
      </c>
      <c r="P5" s="655">
        <f t="shared" ref="P5:P13" si="1">M5*N5*14</f>
        <v>0</v>
      </c>
      <c r="Q5" s="130">
        <f t="shared" ref="Q5:Q13" si="2">L5*N5*12</f>
        <v>0</v>
      </c>
      <c r="R5" s="47">
        <f t="shared" ref="R5:R13" si="3">M5*N5*12</f>
        <v>0</v>
      </c>
    </row>
    <row r="6" spans="2:21" ht="20.100000000000001" hidden="1" customHeight="1">
      <c r="B6" s="131">
        <v>3</v>
      </c>
      <c r="C6" s="132" t="s">
        <v>57</v>
      </c>
      <c r="D6" s="133">
        <v>0</v>
      </c>
      <c r="E6" s="133">
        <v>0</v>
      </c>
      <c r="F6" s="133">
        <f>E6+D6</f>
        <v>0</v>
      </c>
      <c r="G6" s="133">
        <v>2500</v>
      </c>
      <c r="H6" s="134">
        <f>G6*E6</f>
        <v>0</v>
      </c>
      <c r="I6" s="127"/>
      <c r="J6" s="128">
        <v>3</v>
      </c>
      <c r="K6" s="107"/>
      <c r="L6" s="651"/>
      <c r="M6" s="651"/>
      <c r="N6" s="651"/>
      <c r="O6" s="652">
        <f t="shared" si="0"/>
        <v>0</v>
      </c>
      <c r="P6" s="655">
        <f t="shared" si="1"/>
        <v>0</v>
      </c>
      <c r="Q6" s="130">
        <f t="shared" si="2"/>
        <v>0</v>
      </c>
      <c r="R6" s="47">
        <f t="shared" si="3"/>
        <v>0</v>
      </c>
    </row>
    <row r="7" spans="2:21" ht="20.100000000000001" hidden="1" customHeight="1">
      <c r="B7" s="131">
        <v>4</v>
      </c>
      <c r="C7" s="132" t="s">
        <v>58</v>
      </c>
      <c r="D7" s="133">
        <v>0</v>
      </c>
      <c r="E7" s="133">
        <v>0</v>
      </c>
      <c r="F7" s="133">
        <f>E7+D7</f>
        <v>0</v>
      </c>
      <c r="G7" s="133">
        <v>2000</v>
      </c>
      <c r="H7" s="134">
        <f>G7*E7</f>
        <v>0</v>
      </c>
      <c r="I7" s="127"/>
      <c r="J7" s="128"/>
      <c r="K7" s="107"/>
      <c r="L7" s="651"/>
      <c r="M7" s="651"/>
      <c r="N7" s="651"/>
      <c r="O7" s="652">
        <f t="shared" si="0"/>
        <v>0</v>
      </c>
      <c r="P7" s="655">
        <f t="shared" si="1"/>
        <v>0</v>
      </c>
      <c r="Q7" s="130">
        <f t="shared" si="2"/>
        <v>0</v>
      </c>
      <c r="R7" s="47">
        <f t="shared" si="3"/>
        <v>0</v>
      </c>
    </row>
    <row r="8" spans="2:21" ht="20.100000000000001" hidden="1" customHeight="1">
      <c r="B8" s="131">
        <v>5</v>
      </c>
      <c r="C8" s="132" t="s">
        <v>59</v>
      </c>
      <c r="D8" s="133">
        <v>0</v>
      </c>
      <c r="E8" s="133">
        <v>0</v>
      </c>
      <c r="F8" s="133">
        <f>E8+D8</f>
        <v>0</v>
      </c>
      <c r="G8" s="133">
        <v>1400</v>
      </c>
      <c r="H8" s="134">
        <f>G8*E8</f>
        <v>0</v>
      </c>
      <c r="I8" s="127"/>
      <c r="J8" s="128"/>
      <c r="K8" s="107"/>
      <c r="L8" s="651"/>
      <c r="M8" s="651"/>
      <c r="N8" s="651"/>
      <c r="O8" s="652">
        <f t="shared" si="0"/>
        <v>0</v>
      </c>
      <c r="P8" s="655">
        <f t="shared" si="1"/>
        <v>0</v>
      </c>
      <c r="Q8" s="130">
        <f t="shared" si="2"/>
        <v>0</v>
      </c>
      <c r="R8" s="47">
        <f t="shared" si="3"/>
        <v>0</v>
      </c>
    </row>
    <row r="9" spans="2:21" ht="20.100000000000001" hidden="1" customHeight="1">
      <c r="B9" s="135"/>
      <c r="C9" s="136"/>
      <c r="D9" s="137"/>
      <c r="E9" s="137"/>
      <c r="F9" s="137"/>
      <c r="G9" s="137"/>
      <c r="H9" s="138"/>
      <c r="I9" s="127"/>
      <c r="J9" s="128"/>
      <c r="K9" s="107"/>
      <c r="L9" s="651"/>
      <c r="M9" s="651"/>
      <c r="N9" s="651"/>
      <c r="O9" s="652">
        <f t="shared" si="0"/>
        <v>0</v>
      </c>
      <c r="P9" s="655">
        <f t="shared" si="1"/>
        <v>0</v>
      </c>
      <c r="Q9" s="130">
        <f t="shared" si="2"/>
        <v>0</v>
      </c>
      <c r="R9" s="47">
        <f t="shared" si="3"/>
        <v>0</v>
      </c>
    </row>
    <row r="10" spans="2:21" ht="20.100000000000001" hidden="1" customHeight="1">
      <c r="B10" s="135"/>
      <c r="C10" s="136"/>
      <c r="D10" s="137"/>
      <c r="E10" s="137"/>
      <c r="F10" s="137"/>
      <c r="G10" s="137"/>
      <c r="H10" s="138"/>
      <c r="I10" s="127"/>
      <c r="J10" s="128"/>
      <c r="K10" s="107"/>
      <c r="L10" s="651"/>
      <c r="M10" s="651"/>
      <c r="N10" s="651"/>
      <c r="O10" s="652">
        <f t="shared" si="0"/>
        <v>0</v>
      </c>
      <c r="P10" s="655">
        <f t="shared" si="1"/>
        <v>0</v>
      </c>
      <c r="Q10" s="130">
        <f t="shared" si="2"/>
        <v>0</v>
      </c>
      <c r="R10" s="47">
        <f t="shared" si="3"/>
        <v>0</v>
      </c>
    </row>
    <row r="11" spans="2:21" ht="20.100000000000001" hidden="1" customHeight="1">
      <c r="B11" s="135"/>
      <c r="C11" s="136"/>
      <c r="D11" s="137"/>
      <c r="E11" s="137"/>
      <c r="F11" s="137"/>
      <c r="G11" s="137"/>
      <c r="H11" s="138"/>
      <c r="I11" s="127"/>
      <c r="J11" s="128"/>
      <c r="K11" s="107"/>
      <c r="L11" s="651"/>
      <c r="M11" s="651"/>
      <c r="N11" s="651"/>
      <c r="O11" s="652">
        <f t="shared" si="0"/>
        <v>0</v>
      </c>
      <c r="P11" s="655">
        <f t="shared" si="1"/>
        <v>0</v>
      </c>
      <c r="Q11" s="130">
        <f t="shared" si="2"/>
        <v>0</v>
      </c>
      <c r="R11" s="47">
        <f t="shared" si="3"/>
        <v>0</v>
      </c>
    </row>
    <row r="12" spans="2:21" ht="20.100000000000001" hidden="1" customHeight="1">
      <c r="B12" s="135"/>
      <c r="C12" s="136"/>
      <c r="D12" s="137"/>
      <c r="E12" s="137"/>
      <c r="F12" s="137"/>
      <c r="G12" s="137"/>
      <c r="H12" s="138"/>
      <c r="I12" s="127"/>
      <c r="J12" s="128"/>
      <c r="K12" s="129"/>
      <c r="L12" s="651"/>
      <c r="M12" s="651"/>
      <c r="N12" s="651"/>
      <c r="O12" s="652">
        <f t="shared" si="0"/>
        <v>0</v>
      </c>
      <c r="P12" s="655">
        <f t="shared" si="1"/>
        <v>0</v>
      </c>
      <c r="Q12" s="130">
        <f t="shared" si="2"/>
        <v>0</v>
      </c>
      <c r="R12" s="47">
        <f t="shared" si="3"/>
        <v>0</v>
      </c>
    </row>
    <row r="13" spans="2:21" ht="20.100000000000001" hidden="1" customHeight="1">
      <c r="B13" s="135"/>
      <c r="C13" s="136"/>
      <c r="D13" s="137"/>
      <c r="E13" s="137"/>
      <c r="F13" s="137"/>
      <c r="G13" s="137"/>
      <c r="H13" s="138"/>
      <c r="I13" s="127"/>
      <c r="J13" s="128"/>
      <c r="K13" s="129"/>
      <c r="L13" s="651"/>
      <c r="M13" s="651"/>
      <c r="N13" s="651"/>
      <c r="O13" s="652">
        <f t="shared" si="0"/>
        <v>0</v>
      </c>
      <c r="P13" s="655">
        <f t="shared" si="1"/>
        <v>0</v>
      </c>
      <c r="Q13" s="130">
        <f t="shared" si="2"/>
        <v>0</v>
      </c>
      <c r="R13" s="47">
        <f t="shared" si="3"/>
        <v>0</v>
      </c>
    </row>
    <row r="14" spans="2:21" ht="21.9" customHeight="1">
      <c r="B14" s="1004" t="s">
        <v>8</v>
      </c>
      <c r="C14" s="1005"/>
      <c r="D14" s="137">
        <f>SUM(D4:D8)</f>
        <v>0</v>
      </c>
      <c r="E14" s="137">
        <f>SUM(E4:E8)</f>
        <v>0</v>
      </c>
      <c r="F14" s="137">
        <f>SUM(F4:F8)</f>
        <v>0</v>
      </c>
      <c r="G14" s="137">
        <f>SUM(G4:G8)</f>
        <v>13400</v>
      </c>
      <c r="H14" s="138">
        <f>SUM(H4:H8)</f>
        <v>0</v>
      </c>
      <c r="I14" s="127"/>
      <c r="J14" s="998" t="s">
        <v>8</v>
      </c>
      <c r="K14" s="999"/>
      <c r="L14" s="652">
        <f>SUM(L4:L13)</f>
        <v>1</v>
      </c>
      <c r="M14" s="652">
        <f>SUM(M4:M13)</f>
        <v>1</v>
      </c>
      <c r="N14" s="694" t="s">
        <v>66</v>
      </c>
      <c r="O14" s="649">
        <f>SUM(O4:O13)</f>
        <v>6300000</v>
      </c>
      <c r="P14" s="689">
        <f>SUM(P4:P13)</f>
        <v>6300000</v>
      </c>
      <c r="Q14" s="140">
        <f>SUM(Q4:Q13)</f>
        <v>5400000</v>
      </c>
      <c r="R14" s="139">
        <f>SUM(R4:R13)</f>
        <v>5400000</v>
      </c>
    </row>
    <row r="15" spans="2:21" ht="21.9" customHeight="1" thickBot="1">
      <c r="B15" s="141"/>
      <c r="C15" s="142"/>
      <c r="D15" s="143"/>
      <c r="E15" s="143"/>
      <c r="F15" s="143"/>
      <c r="G15" s="144"/>
      <c r="H15" s="145"/>
      <c r="I15" s="127"/>
      <c r="J15" s="1017" t="s">
        <v>128</v>
      </c>
      <c r="K15" s="1018"/>
      <c r="L15" s="1018"/>
      <c r="M15" s="1018"/>
      <c r="N15" s="1018"/>
      <c r="O15" s="649">
        <f>Q14*0.23</f>
        <v>1242000</v>
      </c>
      <c r="P15" s="689">
        <f>R14*0.23</f>
        <v>1242000</v>
      </c>
    </row>
    <row r="16" spans="2:21" ht="21.9" customHeight="1" thickBot="1">
      <c r="B16" s="1006" t="s">
        <v>61</v>
      </c>
      <c r="C16" s="1007"/>
      <c r="D16" s="1007"/>
      <c r="E16" s="1007"/>
      <c r="F16" s="1007"/>
      <c r="G16" s="1008"/>
      <c r="H16" s="146">
        <f>SUM(H4:H14)*2</f>
        <v>0</v>
      </c>
      <c r="I16" s="147"/>
      <c r="J16" s="1015" t="s">
        <v>129</v>
      </c>
      <c r="K16" s="1016"/>
      <c r="L16" s="1016"/>
      <c r="M16" s="1016"/>
      <c r="N16" s="1016"/>
      <c r="O16" s="649">
        <f>O14+O15</f>
        <v>7542000</v>
      </c>
      <c r="P16" s="689">
        <f>P14+P15</f>
        <v>7542000</v>
      </c>
      <c r="U16" s="880"/>
    </row>
    <row r="17" spans="2:18" ht="21.9" customHeight="1" thickBot="1">
      <c r="B17" s="148"/>
      <c r="C17" s="148"/>
      <c r="D17" s="148"/>
      <c r="E17" s="148"/>
      <c r="F17" s="148"/>
      <c r="G17" s="148"/>
      <c r="H17" s="149"/>
      <c r="I17" s="147"/>
      <c r="J17" s="1013" t="s">
        <v>14</v>
      </c>
      <c r="K17" s="1014"/>
      <c r="L17" s="1014"/>
      <c r="M17" s="1014"/>
      <c r="N17" s="1014"/>
      <c r="O17" s="1014"/>
      <c r="P17" s="658">
        <f>O16+P16</f>
        <v>15084000</v>
      </c>
    </row>
    <row r="18" spans="2:18" ht="24.9" customHeight="1" thickBot="1">
      <c r="B18" s="1003" t="s">
        <v>60</v>
      </c>
      <c r="C18" s="1003"/>
      <c r="D18" s="1003"/>
      <c r="E18" s="1003"/>
      <c r="F18" s="1003"/>
      <c r="G18" s="1003"/>
      <c r="H18" s="1003"/>
      <c r="J18" s="995" t="s">
        <v>185</v>
      </c>
      <c r="K18" s="995"/>
      <c r="L18" s="995"/>
      <c r="M18" s="995"/>
      <c r="N18" s="995"/>
      <c r="O18" s="995"/>
      <c r="P18" s="995"/>
      <c r="Q18" s="114"/>
      <c r="R18" s="114"/>
    </row>
    <row r="19" spans="2:18" ht="36.75" customHeight="1">
      <c r="B19" s="112"/>
      <c r="C19" s="112"/>
      <c r="D19" s="112"/>
      <c r="E19" s="112"/>
      <c r="F19" s="112"/>
      <c r="G19" s="112"/>
      <c r="H19" s="112"/>
      <c r="J19" s="1001" t="s">
        <v>6</v>
      </c>
      <c r="K19" s="996" t="s">
        <v>7</v>
      </c>
      <c r="L19" s="996" t="s">
        <v>124</v>
      </c>
      <c r="M19" s="996"/>
      <c r="N19" s="996" t="s">
        <v>53</v>
      </c>
      <c r="O19" s="996" t="s">
        <v>125</v>
      </c>
      <c r="P19" s="997"/>
      <c r="Q19" s="1009" t="s">
        <v>130</v>
      </c>
      <c r="R19" s="1010"/>
    </row>
    <row r="20" spans="2:18" ht="33" customHeight="1" thickBot="1">
      <c r="B20" s="112"/>
      <c r="C20" s="112"/>
      <c r="D20" s="112"/>
      <c r="E20" s="112"/>
      <c r="F20" s="112"/>
      <c r="G20" s="112"/>
      <c r="H20" s="112"/>
      <c r="J20" s="1002"/>
      <c r="K20" s="1000"/>
      <c r="L20" s="121" t="s">
        <v>106</v>
      </c>
      <c r="M20" s="121" t="s">
        <v>26</v>
      </c>
      <c r="N20" s="1000"/>
      <c r="O20" s="121" t="s">
        <v>126</v>
      </c>
      <c r="P20" s="122" t="s">
        <v>127</v>
      </c>
      <c r="Q20" s="116" t="s">
        <v>126</v>
      </c>
      <c r="R20" s="121" t="s">
        <v>127</v>
      </c>
    </row>
    <row r="21" spans="2:18" ht="49.5" customHeight="1" thickBot="1">
      <c r="B21" s="123"/>
      <c r="C21" s="124"/>
      <c r="D21" s="125"/>
      <c r="E21" s="125"/>
      <c r="F21" s="125"/>
      <c r="G21" s="125"/>
      <c r="H21" s="126"/>
      <c r="I21" s="127"/>
      <c r="J21" s="262">
        <v>1</v>
      </c>
      <c r="K21" s="891" t="s">
        <v>602</v>
      </c>
      <c r="L21" s="651"/>
      <c r="M21" s="651"/>
      <c r="N21" s="651"/>
      <c r="O21" s="652">
        <f>N21*L21*14</f>
        <v>0</v>
      </c>
      <c r="P21" s="655">
        <f>M21*N21*14</f>
        <v>0</v>
      </c>
      <c r="Q21" s="130">
        <f>N21*L21*12</f>
        <v>0</v>
      </c>
      <c r="R21" s="47">
        <f>N21*M21*12</f>
        <v>0</v>
      </c>
    </row>
    <row r="22" spans="2:18" ht="20.100000000000001" customHeight="1" thickBot="1">
      <c r="B22" s="123"/>
      <c r="C22" s="124"/>
      <c r="D22" s="125"/>
      <c r="E22" s="125"/>
      <c r="F22" s="125"/>
      <c r="G22" s="125"/>
      <c r="H22" s="126"/>
      <c r="I22" s="127"/>
      <c r="J22" s="262">
        <v>2</v>
      </c>
      <c r="K22" s="107" t="s">
        <v>603</v>
      </c>
      <c r="L22" s="651">
        <v>0</v>
      </c>
      <c r="M22" s="651">
        <v>1</v>
      </c>
      <c r="N22" s="651">
        <v>300000</v>
      </c>
      <c r="O22" s="652">
        <f t="shared" ref="O22:O30" si="4">N22*L22*14</f>
        <v>0</v>
      </c>
      <c r="P22" s="655">
        <f t="shared" ref="P22:P30" si="5">M22*N22*14</f>
        <v>4200000</v>
      </c>
      <c r="Q22" s="130">
        <f t="shared" ref="Q22:Q30" si="6">N22*L22*12</f>
        <v>0</v>
      </c>
      <c r="R22" s="47">
        <f t="shared" ref="R22:R30" si="7">N22*M22*12</f>
        <v>3600000</v>
      </c>
    </row>
    <row r="23" spans="2:18" ht="20.100000000000001" customHeight="1" thickBot="1">
      <c r="B23" s="123"/>
      <c r="C23" s="124"/>
      <c r="D23" s="125"/>
      <c r="E23" s="125"/>
      <c r="F23" s="125"/>
      <c r="G23" s="125"/>
      <c r="H23" s="126"/>
      <c r="I23" s="127"/>
      <c r="J23" s="262">
        <v>3</v>
      </c>
      <c r="K23" s="107" t="s">
        <v>604</v>
      </c>
      <c r="L23" s="651"/>
      <c r="M23" s="651"/>
      <c r="N23" s="651"/>
      <c r="O23" s="652">
        <f t="shared" si="4"/>
        <v>0</v>
      </c>
      <c r="P23" s="655">
        <f t="shared" si="5"/>
        <v>0</v>
      </c>
      <c r="Q23" s="130">
        <f t="shared" si="6"/>
        <v>0</v>
      </c>
      <c r="R23" s="47">
        <f t="shared" si="7"/>
        <v>0</v>
      </c>
    </row>
    <row r="24" spans="2:18" ht="20.100000000000001" customHeight="1" thickBot="1">
      <c r="B24" s="123"/>
      <c r="C24" s="124"/>
      <c r="D24" s="125"/>
      <c r="E24" s="125"/>
      <c r="F24" s="125"/>
      <c r="G24" s="125"/>
      <c r="H24" s="126"/>
      <c r="I24" s="127"/>
      <c r="J24" s="262">
        <v>4</v>
      </c>
      <c r="K24" s="107" t="s">
        <v>605</v>
      </c>
      <c r="L24" s="651"/>
      <c r="M24" s="651"/>
      <c r="N24" s="651"/>
      <c r="O24" s="652">
        <f t="shared" si="4"/>
        <v>0</v>
      </c>
      <c r="P24" s="655">
        <f t="shared" si="5"/>
        <v>0</v>
      </c>
      <c r="Q24" s="130">
        <f t="shared" si="6"/>
        <v>0</v>
      </c>
      <c r="R24" s="47">
        <f t="shared" si="7"/>
        <v>0</v>
      </c>
    </row>
    <row r="25" spans="2:18" ht="20.100000000000001" customHeight="1" thickBot="1">
      <c r="B25" s="123"/>
      <c r="C25" s="124"/>
      <c r="D25" s="125"/>
      <c r="E25" s="125"/>
      <c r="F25" s="125"/>
      <c r="G25" s="125"/>
      <c r="H25" s="126"/>
      <c r="I25" s="127"/>
      <c r="J25" s="262">
        <v>5</v>
      </c>
      <c r="K25" s="107"/>
      <c r="L25" s="651"/>
      <c r="M25" s="651"/>
      <c r="N25" s="651"/>
      <c r="O25" s="652">
        <f>N25*L25*14</f>
        <v>0</v>
      </c>
      <c r="P25" s="655">
        <f>M25*N25*14</f>
        <v>0</v>
      </c>
      <c r="Q25" s="130">
        <f>N25*L25*12</f>
        <v>0</v>
      </c>
      <c r="R25" s="47">
        <f>N25*M25*12</f>
        <v>0</v>
      </c>
    </row>
    <row r="26" spans="2:18" ht="20.100000000000001" customHeight="1" thickBot="1">
      <c r="B26" s="123"/>
      <c r="C26" s="124"/>
      <c r="D26" s="125"/>
      <c r="E26" s="125"/>
      <c r="F26" s="125"/>
      <c r="G26" s="125"/>
      <c r="H26" s="126"/>
      <c r="I26" s="127"/>
      <c r="J26" s="262">
        <v>6</v>
      </c>
      <c r="K26" s="107"/>
      <c r="L26" s="651"/>
      <c r="M26" s="651"/>
      <c r="N26" s="651"/>
      <c r="O26" s="652">
        <f t="shared" si="4"/>
        <v>0</v>
      </c>
      <c r="P26" s="655">
        <f t="shared" si="5"/>
        <v>0</v>
      </c>
      <c r="Q26" s="130">
        <f t="shared" si="6"/>
        <v>0</v>
      </c>
      <c r="R26" s="47">
        <f t="shared" si="7"/>
        <v>0</v>
      </c>
    </row>
    <row r="27" spans="2:18" ht="20.100000000000001" customHeight="1" thickBot="1">
      <c r="B27" s="123"/>
      <c r="C27" s="124"/>
      <c r="D27" s="125"/>
      <c r="E27" s="125"/>
      <c r="F27" s="125"/>
      <c r="G27" s="125"/>
      <c r="H27" s="126"/>
      <c r="I27" s="127"/>
      <c r="J27" s="128"/>
      <c r="K27" s="107"/>
      <c r="L27" s="651"/>
      <c r="M27" s="651"/>
      <c r="N27" s="651"/>
      <c r="O27" s="652">
        <f t="shared" si="4"/>
        <v>0</v>
      </c>
      <c r="P27" s="655">
        <f t="shared" si="5"/>
        <v>0</v>
      </c>
      <c r="Q27" s="130">
        <f t="shared" si="6"/>
        <v>0</v>
      </c>
      <c r="R27" s="47">
        <f t="shared" si="7"/>
        <v>0</v>
      </c>
    </row>
    <row r="28" spans="2:18" ht="20.100000000000001" customHeight="1" thickBot="1">
      <c r="B28" s="123"/>
      <c r="C28" s="124"/>
      <c r="D28" s="125"/>
      <c r="E28" s="125"/>
      <c r="F28" s="125"/>
      <c r="G28" s="125"/>
      <c r="H28" s="126"/>
      <c r="I28" s="127"/>
      <c r="J28" s="128"/>
      <c r="K28" s="107"/>
      <c r="L28" s="651"/>
      <c r="M28" s="651"/>
      <c r="N28" s="651"/>
      <c r="O28" s="652">
        <f t="shared" si="4"/>
        <v>0</v>
      </c>
      <c r="P28" s="655">
        <f t="shared" si="5"/>
        <v>0</v>
      </c>
      <c r="Q28" s="130">
        <f t="shared" si="6"/>
        <v>0</v>
      </c>
      <c r="R28" s="47">
        <f t="shared" si="7"/>
        <v>0</v>
      </c>
    </row>
    <row r="29" spans="2:18" ht="20.100000000000001" customHeight="1" thickBot="1">
      <c r="B29" s="123"/>
      <c r="C29" s="124"/>
      <c r="D29" s="125"/>
      <c r="E29" s="125"/>
      <c r="F29" s="125"/>
      <c r="G29" s="125"/>
      <c r="H29" s="126"/>
      <c r="I29" s="127"/>
      <c r="J29" s="128"/>
      <c r="K29" s="107"/>
      <c r="L29" s="651"/>
      <c r="M29" s="651"/>
      <c r="N29" s="651"/>
      <c r="O29" s="652">
        <f t="shared" si="4"/>
        <v>0</v>
      </c>
      <c r="P29" s="655">
        <f t="shared" si="5"/>
        <v>0</v>
      </c>
      <c r="Q29" s="130">
        <f t="shared" si="6"/>
        <v>0</v>
      </c>
      <c r="R29" s="47">
        <f t="shared" si="7"/>
        <v>0</v>
      </c>
    </row>
    <row r="30" spans="2:18" ht="20.100000000000001" customHeight="1">
      <c r="B30" s="123"/>
      <c r="C30" s="124"/>
      <c r="D30" s="125"/>
      <c r="E30" s="125"/>
      <c r="F30" s="125"/>
      <c r="G30" s="125"/>
      <c r="H30" s="126"/>
      <c r="I30" s="127"/>
      <c r="J30" s="128"/>
      <c r="K30" s="107"/>
      <c r="L30" s="651"/>
      <c r="M30" s="651"/>
      <c r="N30" s="651"/>
      <c r="O30" s="652">
        <f t="shared" si="4"/>
        <v>0</v>
      </c>
      <c r="P30" s="655">
        <f t="shared" si="5"/>
        <v>0</v>
      </c>
      <c r="Q30" s="130">
        <f t="shared" si="6"/>
        <v>0</v>
      </c>
      <c r="R30" s="47">
        <f t="shared" si="7"/>
        <v>0</v>
      </c>
    </row>
    <row r="31" spans="2:18" ht="21.9" customHeight="1">
      <c r="B31" s="1004"/>
      <c r="C31" s="1005"/>
      <c r="D31" s="137"/>
      <c r="E31" s="137"/>
      <c r="F31" s="137"/>
      <c r="G31" s="137"/>
      <c r="H31" s="138"/>
      <c r="I31" s="127"/>
      <c r="J31" s="998" t="s">
        <v>8</v>
      </c>
      <c r="K31" s="999"/>
      <c r="L31" s="652">
        <f>SUM(L21:L30)</f>
        <v>0</v>
      </c>
      <c r="M31" s="652">
        <f>SUM(M21:M30)</f>
        <v>1</v>
      </c>
      <c r="N31" s="694" t="s">
        <v>66</v>
      </c>
      <c r="O31" s="649">
        <f>SUM(O21:O30)</f>
        <v>0</v>
      </c>
      <c r="P31" s="689">
        <f>SUM(P21:P30)</f>
        <v>4200000</v>
      </c>
      <c r="Q31" s="140">
        <f>SUM(Q21:Q30)</f>
        <v>0</v>
      </c>
      <c r="R31" s="139">
        <f>SUM(R21:R30)</f>
        <v>3600000</v>
      </c>
    </row>
    <row r="32" spans="2:18" ht="21.9" customHeight="1">
      <c r="B32" s="1004"/>
      <c r="C32" s="1005"/>
      <c r="D32" s="137"/>
      <c r="E32" s="137"/>
      <c r="F32" s="137"/>
      <c r="G32" s="137"/>
      <c r="H32" s="138"/>
      <c r="I32" s="127"/>
      <c r="J32" s="998" t="s">
        <v>128</v>
      </c>
      <c r="K32" s="999"/>
      <c r="L32" s="999"/>
      <c r="M32" s="999"/>
      <c r="N32" s="999"/>
      <c r="O32" s="649">
        <f>Q31*0.23</f>
        <v>0</v>
      </c>
      <c r="P32" s="689">
        <f>R31*0.23</f>
        <v>828000</v>
      </c>
      <c r="Q32" s="140"/>
      <c r="R32" s="139"/>
    </row>
    <row r="33" spans="2:18" ht="21.9" customHeight="1">
      <c r="B33" s="1004"/>
      <c r="C33" s="1005"/>
      <c r="D33" s="137"/>
      <c r="E33" s="137"/>
      <c r="F33" s="137"/>
      <c r="G33" s="137"/>
      <c r="H33" s="138"/>
      <c r="I33" s="127"/>
      <c r="J33" s="998" t="s">
        <v>129</v>
      </c>
      <c r="K33" s="999"/>
      <c r="L33" s="999"/>
      <c r="M33" s="999"/>
      <c r="N33" s="999"/>
      <c r="O33" s="649">
        <f>O31+O32</f>
        <v>0</v>
      </c>
      <c r="P33" s="689">
        <f>P31+P32</f>
        <v>5028000</v>
      </c>
      <c r="Q33" s="140"/>
      <c r="R33" s="139"/>
    </row>
    <row r="34" spans="2:18" ht="21.9" customHeight="1" thickBot="1">
      <c r="B34" s="1004"/>
      <c r="C34" s="1005"/>
      <c r="D34" s="137"/>
      <c r="E34" s="137"/>
      <c r="F34" s="137"/>
      <c r="G34" s="137"/>
      <c r="H34" s="138"/>
      <c r="I34" s="127"/>
      <c r="J34" s="1011" t="s">
        <v>14</v>
      </c>
      <c r="K34" s="1012"/>
      <c r="L34" s="1012"/>
      <c r="M34" s="1012"/>
      <c r="N34" s="1012"/>
      <c r="O34" s="1012"/>
      <c r="P34" s="658">
        <f>O33+P33</f>
        <v>5028000</v>
      </c>
      <c r="Q34" s="140"/>
      <c r="R34" s="139"/>
    </row>
    <row r="35" spans="2:18" ht="42" customHeight="1"/>
    <row r="36" spans="2:18" ht="24.9" customHeight="1" thickBot="1">
      <c r="B36" s="1003" t="s">
        <v>63</v>
      </c>
      <c r="C36" s="1003"/>
      <c r="D36" s="1003"/>
      <c r="E36" s="1003"/>
      <c r="F36" s="1003"/>
      <c r="G36" s="1003"/>
      <c r="H36" s="1003"/>
      <c r="J36" s="995" t="s">
        <v>186</v>
      </c>
      <c r="K36" s="995"/>
      <c r="L36" s="995"/>
      <c r="M36" s="995"/>
      <c r="N36" s="995"/>
      <c r="O36" s="995"/>
      <c r="P36" s="995"/>
      <c r="Q36" s="114"/>
      <c r="R36" s="114"/>
    </row>
    <row r="37" spans="2:18" ht="33.75" customHeight="1">
      <c r="B37" s="112"/>
      <c r="C37" s="112"/>
      <c r="D37" s="112"/>
      <c r="E37" s="112"/>
      <c r="F37" s="112"/>
      <c r="G37" s="112"/>
      <c r="H37" s="112"/>
      <c r="J37" s="1001" t="s">
        <v>6</v>
      </c>
      <c r="K37" s="996" t="s">
        <v>7</v>
      </c>
      <c r="L37" s="996" t="s">
        <v>124</v>
      </c>
      <c r="M37" s="996"/>
      <c r="N37" s="996" t="s">
        <v>53</v>
      </c>
      <c r="O37" s="996" t="s">
        <v>125</v>
      </c>
      <c r="P37" s="997"/>
      <c r="Q37" s="1010" t="s">
        <v>130</v>
      </c>
      <c r="R37" s="1000"/>
    </row>
    <row r="38" spans="2:18" ht="33" customHeight="1" thickBot="1">
      <c r="B38" s="112"/>
      <c r="C38" s="112"/>
      <c r="D38" s="112"/>
      <c r="E38" s="112"/>
      <c r="F38" s="112"/>
      <c r="G38" s="112"/>
      <c r="H38" s="112"/>
      <c r="J38" s="1002"/>
      <c r="K38" s="1000"/>
      <c r="L38" s="121" t="s">
        <v>106</v>
      </c>
      <c r="M38" s="121" t="s">
        <v>26</v>
      </c>
      <c r="N38" s="1000"/>
      <c r="O38" s="121" t="s">
        <v>126</v>
      </c>
      <c r="P38" s="122" t="s">
        <v>127</v>
      </c>
      <c r="Q38" s="116" t="s">
        <v>126</v>
      </c>
      <c r="R38" s="121" t="s">
        <v>127</v>
      </c>
    </row>
    <row r="39" spans="2:18" ht="21.6" thickBot="1">
      <c r="B39" s="123"/>
      <c r="C39" s="124"/>
      <c r="D39" s="125"/>
      <c r="E39" s="125"/>
      <c r="F39" s="125"/>
      <c r="G39" s="125"/>
      <c r="H39" s="126"/>
      <c r="I39" s="127"/>
      <c r="J39" s="262">
        <v>1</v>
      </c>
      <c r="K39" s="891" t="s">
        <v>609</v>
      </c>
      <c r="L39" s="651">
        <v>2</v>
      </c>
      <c r="M39" s="651">
        <v>1</v>
      </c>
      <c r="N39" s="651">
        <v>300000</v>
      </c>
      <c r="O39" s="652">
        <f>N39*L39*14</f>
        <v>8400000</v>
      </c>
      <c r="P39" s="655">
        <f>M39*N39*14</f>
        <v>4200000</v>
      </c>
      <c r="Q39" s="130">
        <f>L39*N39*12</f>
        <v>7200000</v>
      </c>
      <c r="R39" s="47">
        <f>M39*N39*12</f>
        <v>3600000</v>
      </c>
    </row>
    <row r="40" spans="2:18" ht="20.100000000000001" customHeight="1">
      <c r="B40" s="123"/>
      <c r="C40" s="124"/>
      <c r="D40" s="125"/>
      <c r="E40" s="125"/>
      <c r="F40" s="125"/>
      <c r="G40" s="125"/>
      <c r="H40" s="126"/>
      <c r="I40" s="127"/>
      <c r="J40" s="262">
        <v>2</v>
      </c>
      <c r="K40" s="107" t="s">
        <v>610</v>
      </c>
      <c r="L40" s="651">
        <v>2</v>
      </c>
      <c r="M40" s="651">
        <v>1</v>
      </c>
      <c r="N40" s="651">
        <v>250000</v>
      </c>
      <c r="O40" s="652">
        <f t="shared" ref="O40:O48" si="8">N40*L40*14</f>
        <v>7000000</v>
      </c>
      <c r="P40" s="655">
        <f t="shared" ref="P40:P48" si="9">M40*N40*14</f>
        <v>3500000</v>
      </c>
      <c r="Q40" s="130">
        <f t="shared" ref="Q40:Q48" si="10">L40*N40*12</f>
        <v>6000000</v>
      </c>
      <c r="R40" s="47">
        <f t="shared" ref="R40:R48" si="11">M40*N40*12</f>
        <v>3000000</v>
      </c>
    </row>
    <row r="41" spans="2:18" ht="20.100000000000001" hidden="1" customHeight="1" thickBot="1">
      <c r="B41" s="123"/>
      <c r="C41" s="124"/>
      <c r="D41" s="125"/>
      <c r="E41" s="125"/>
      <c r="F41" s="125"/>
      <c r="G41" s="125"/>
      <c r="H41" s="126"/>
      <c r="I41" s="127"/>
      <c r="J41" s="262">
        <v>3</v>
      </c>
      <c r="K41" s="107"/>
      <c r="L41" s="651">
        <v>0</v>
      </c>
      <c r="M41" s="651">
        <v>0</v>
      </c>
      <c r="N41" s="651"/>
      <c r="O41" s="652">
        <f t="shared" si="8"/>
        <v>0</v>
      </c>
      <c r="P41" s="655">
        <f t="shared" si="9"/>
        <v>0</v>
      </c>
      <c r="Q41" s="130">
        <f t="shared" si="10"/>
        <v>0</v>
      </c>
      <c r="R41" s="47">
        <f t="shared" si="11"/>
        <v>0</v>
      </c>
    </row>
    <row r="42" spans="2:18" ht="20.100000000000001" hidden="1" customHeight="1" thickBot="1">
      <c r="B42" s="123"/>
      <c r="C42" s="124"/>
      <c r="D42" s="125"/>
      <c r="E42" s="125"/>
      <c r="F42" s="125"/>
      <c r="G42" s="125"/>
      <c r="H42" s="126"/>
      <c r="I42" s="127"/>
      <c r="J42" s="262">
        <v>4</v>
      </c>
      <c r="K42" s="107"/>
      <c r="L42" s="651"/>
      <c r="M42" s="651"/>
      <c r="N42" s="651"/>
      <c r="O42" s="652">
        <f t="shared" si="8"/>
        <v>0</v>
      </c>
      <c r="P42" s="655">
        <f t="shared" si="9"/>
        <v>0</v>
      </c>
      <c r="Q42" s="130">
        <f t="shared" si="10"/>
        <v>0</v>
      </c>
      <c r="R42" s="47">
        <f t="shared" si="11"/>
        <v>0</v>
      </c>
    </row>
    <row r="43" spans="2:18" ht="20.100000000000001" hidden="1" customHeight="1" thickBot="1">
      <c r="B43" s="123"/>
      <c r="C43" s="124"/>
      <c r="D43" s="125"/>
      <c r="E43" s="125"/>
      <c r="F43" s="125"/>
      <c r="G43" s="125"/>
      <c r="H43" s="126"/>
      <c r="I43" s="127"/>
      <c r="J43" s="262">
        <v>5</v>
      </c>
      <c r="K43" s="107"/>
      <c r="L43" s="651"/>
      <c r="M43" s="651"/>
      <c r="N43" s="651"/>
      <c r="O43" s="652">
        <f t="shared" si="8"/>
        <v>0</v>
      </c>
      <c r="P43" s="655">
        <f t="shared" si="9"/>
        <v>0</v>
      </c>
      <c r="Q43" s="130">
        <f t="shared" si="10"/>
        <v>0</v>
      </c>
      <c r="R43" s="47">
        <f t="shared" si="11"/>
        <v>0</v>
      </c>
    </row>
    <row r="44" spans="2:18" ht="20.100000000000001" hidden="1" customHeight="1" thickBot="1">
      <c r="B44" s="123"/>
      <c r="C44" s="124"/>
      <c r="D44" s="125"/>
      <c r="E44" s="125"/>
      <c r="F44" s="125"/>
      <c r="G44" s="125"/>
      <c r="H44" s="126"/>
      <c r="I44" s="127"/>
      <c r="J44" s="262">
        <v>6</v>
      </c>
      <c r="K44" s="107"/>
      <c r="L44" s="651"/>
      <c r="M44" s="651"/>
      <c r="N44" s="651"/>
      <c r="O44" s="652">
        <f t="shared" si="8"/>
        <v>0</v>
      </c>
      <c r="P44" s="655">
        <f t="shared" si="9"/>
        <v>0</v>
      </c>
      <c r="Q44" s="130">
        <f t="shared" si="10"/>
        <v>0</v>
      </c>
      <c r="R44" s="47">
        <f t="shared" si="11"/>
        <v>0</v>
      </c>
    </row>
    <row r="45" spans="2:18" ht="20.100000000000001" hidden="1" customHeight="1" thickBot="1">
      <c r="B45" s="123"/>
      <c r="C45" s="124"/>
      <c r="D45" s="125"/>
      <c r="E45" s="125"/>
      <c r="F45" s="125"/>
      <c r="G45" s="125"/>
      <c r="H45" s="126"/>
      <c r="I45" s="127"/>
      <c r="J45" s="262">
        <v>7</v>
      </c>
      <c r="K45" s="107"/>
      <c r="L45" s="651"/>
      <c r="M45" s="651"/>
      <c r="N45" s="651"/>
      <c r="O45" s="652">
        <f>N45*L45*14</f>
        <v>0</v>
      </c>
      <c r="P45" s="655">
        <f t="shared" si="9"/>
        <v>0</v>
      </c>
      <c r="Q45" s="130">
        <f t="shared" si="10"/>
        <v>0</v>
      </c>
      <c r="R45" s="47">
        <f t="shared" si="11"/>
        <v>0</v>
      </c>
    </row>
    <row r="46" spans="2:18" ht="20.100000000000001" hidden="1" customHeight="1" thickBot="1">
      <c r="B46" s="123"/>
      <c r="C46" s="124"/>
      <c r="D46" s="125"/>
      <c r="E46" s="125"/>
      <c r="F46" s="125"/>
      <c r="G46" s="125"/>
      <c r="H46" s="126"/>
      <c r="I46" s="127"/>
      <c r="J46" s="262">
        <v>8</v>
      </c>
      <c r="K46" s="107"/>
      <c r="L46" s="651"/>
      <c r="M46" s="651"/>
      <c r="N46" s="651"/>
      <c r="O46" s="652">
        <f t="shared" si="8"/>
        <v>0</v>
      </c>
      <c r="P46" s="655">
        <f t="shared" si="9"/>
        <v>0</v>
      </c>
      <c r="Q46" s="130">
        <f t="shared" si="10"/>
        <v>0</v>
      </c>
      <c r="R46" s="47">
        <f t="shared" si="11"/>
        <v>0</v>
      </c>
    </row>
    <row r="47" spans="2:18" ht="20.100000000000001" hidden="1" customHeight="1" thickBot="1">
      <c r="B47" s="123"/>
      <c r="C47" s="124"/>
      <c r="D47" s="125"/>
      <c r="E47" s="125"/>
      <c r="F47" s="125"/>
      <c r="G47" s="125"/>
      <c r="H47" s="126"/>
      <c r="I47" s="127"/>
      <c r="J47" s="128"/>
      <c r="K47" s="129"/>
      <c r="L47" s="651"/>
      <c r="M47" s="651"/>
      <c r="N47" s="651"/>
      <c r="O47" s="652">
        <f t="shared" si="8"/>
        <v>0</v>
      </c>
      <c r="P47" s="655">
        <f t="shared" si="9"/>
        <v>0</v>
      </c>
      <c r="Q47" s="130">
        <f t="shared" si="10"/>
        <v>0</v>
      </c>
      <c r="R47" s="47">
        <f t="shared" si="11"/>
        <v>0</v>
      </c>
    </row>
    <row r="48" spans="2:18" ht="20.100000000000001" hidden="1" customHeight="1">
      <c r="B48" s="123"/>
      <c r="C48" s="124"/>
      <c r="D48" s="125"/>
      <c r="E48" s="125"/>
      <c r="F48" s="125"/>
      <c r="G48" s="125"/>
      <c r="H48" s="126"/>
      <c r="I48" s="127"/>
      <c r="J48" s="128"/>
      <c r="K48" s="129"/>
      <c r="L48" s="651"/>
      <c r="M48" s="651"/>
      <c r="N48" s="651"/>
      <c r="O48" s="652">
        <f t="shared" si="8"/>
        <v>0</v>
      </c>
      <c r="P48" s="655">
        <f t="shared" si="9"/>
        <v>0</v>
      </c>
      <c r="Q48" s="130">
        <f t="shared" si="10"/>
        <v>0</v>
      </c>
      <c r="R48" s="47">
        <f t="shared" si="11"/>
        <v>0</v>
      </c>
    </row>
    <row r="49" spans="2:18" ht="21.9" customHeight="1">
      <c r="B49" s="1004"/>
      <c r="C49" s="1005"/>
      <c r="D49" s="137"/>
      <c r="E49" s="137"/>
      <c r="F49" s="137"/>
      <c r="G49" s="137"/>
      <c r="H49" s="138"/>
      <c r="I49" s="127"/>
      <c r="J49" s="998" t="s">
        <v>8</v>
      </c>
      <c r="K49" s="999"/>
      <c r="L49" s="652">
        <f>SUM(L39:L48)</f>
        <v>4</v>
      </c>
      <c r="M49" s="652">
        <f>SUM(M39:M48)</f>
        <v>2</v>
      </c>
      <c r="N49" s="694" t="s">
        <v>66</v>
      </c>
      <c r="O49" s="649">
        <f>SUM(O39:O48)</f>
        <v>15400000</v>
      </c>
      <c r="P49" s="689">
        <f>SUM(P39:P48)</f>
        <v>7700000</v>
      </c>
      <c r="Q49" s="140">
        <f>SUM(Q39:Q48)</f>
        <v>13200000</v>
      </c>
      <c r="R49" s="139">
        <f>SUM(R39:R48)</f>
        <v>6600000</v>
      </c>
    </row>
    <row r="50" spans="2:18" ht="21.9" customHeight="1">
      <c r="B50" s="1004"/>
      <c r="C50" s="1005"/>
      <c r="D50" s="137"/>
      <c r="E50" s="137"/>
      <c r="F50" s="137"/>
      <c r="G50" s="137"/>
      <c r="H50" s="138"/>
      <c r="I50" s="127"/>
      <c r="J50" s="998" t="s">
        <v>128</v>
      </c>
      <c r="K50" s="999"/>
      <c r="L50" s="999"/>
      <c r="M50" s="999"/>
      <c r="N50" s="999"/>
      <c r="O50" s="649">
        <f>Q49*0.23</f>
        <v>3036000</v>
      </c>
      <c r="P50" s="689">
        <f>R49*0.23</f>
        <v>1518000</v>
      </c>
      <c r="Q50" s="140"/>
      <c r="R50" s="139"/>
    </row>
    <row r="51" spans="2:18" ht="21.9" customHeight="1">
      <c r="B51" s="1004"/>
      <c r="C51" s="1005"/>
      <c r="D51" s="137"/>
      <c r="E51" s="137"/>
      <c r="F51" s="137"/>
      <c r="G51" s="137"/>
      <c r="H51" s="138"/>
      <c r="I51" s="127"/>
      <c r="J51" s="998" t="s">
        <v>129</v>
      </c>
      <c r="K51" s="999"/>
      <c r="L51" s="999"/>
      <c r="M51" s="999"/>
      <c r="N51" s="999"/>
      <c r="O51" s="649">
        <f>O49+O50</f>
        <v>18436000</v>
      </c>
      <c r="P51" s="689">
        <f>P49+P50</f>
        <v>9218000</v>
      </c>
      <c r="Q51" s="140"/>
      <c r="R51" s="139"/>
    </row>
    <row r="52" spans="2:18" ht="21.9" customHeight="1" thickBot="1">
      <c r="B52" s="1004"/>
      <c r="C52" s="1005"/>
      <c r="D52" s="137"/>
      <c r="E52" s="137"/>
      <c r="F52" s="137"/>
      <c r="G52" s="137"/>
      <c r="H52" s="138"/>
      <c r="I52" s="127"/>
      <c r="J52" s="1011" t="s">
        <v>14</v>
      </c>
      <c r="K52" s="1012"/>
      <c r="L52" s="1012"/>
      <c r="M52" s="1012"/>
      <c r="N52" s="1012"/>
      <c r="O52" s="1012"/>
      <c r="P52" s="658">
        <f>O51+P51</f>
        <v>27654000</v>
      </c>
      <c r="Q52" s="140"/>
      <c r="R52" s="139"/>
    </row>
    <row r="53" spans="2:18">
      <c r="E53" s="115"/>
      <c r="F53" s="115"/>
      <c r="G53" s="115"/>
      <c r="H53" s="115"/>
      <c r="M53" s="115"/>
      <c r="N53" s="115"/>
      <c r="O53" s="115"/>
    </row>
    <row r="57" spans="2:18">
      <c r="P57" s="880"/>
    </row>
  </sheetData>
  <sheetProtection insertRows="0"/>
  <mergeCells count="46">
    <mergeCell ref="B52:C52"/>
    <mergeCell ref="B49:C49"/>
    <mergeCell ref="B50:C50"/>
    <mergeCell ref="Q2:R2"/>
    <mergeCell ref="J52:O52"/>
    <mergeCell ref="J17:O17"/>
    <mergeCell ref="Q37:R37"/>
    <mergeCell ref="J34:O34"/>
    <mergeCell ref="J32:N32"/>
    <mergeCell ref="Q19:R19"/>
    <mergeCell ref="J14:K14"/>
    <mergeCell ref="J16:N16"/>
    <mergeCell ref="J15:N15"/>
    <mergeCell ref="B51:C51"/>
    <mergeCell ref="B33:C33"/>
    <mergeCell ref="B34:C34"/>
    <mergeCell ref="B1:H1"/>
    <mergeCell ref="B14:C14"/>
    <mergeCell ref="B16:G16"/>
    <mergeCell ref="B18:H18"/>
    <mergeCell ref="B31:C31"/>
    <mergeCell ref="B36:H36"/>
    <mergeCell ref="B32:C32"/>
    <mergeCell ref="J51:N51"/>
    <mergeCell ref="J33:N33"/>
    <mergeCell ref="J37:J38"/>
    <mergeCell ref="K37:K38"/>
    <mergeCell ref="L37:M37"/>
    <mergeCell ref="N37:N38"/>
    <mergeCell ref="J36:P36"/>
    <mergeCell ref="J50:N50"/>
    <mergeCell ref="J1:P1"/>
    <mergeCell ref="J18:P18"/>
    <mergeCell ref="O37:P37"/>
    <mergeCell ref="J49:K49"/>
    <mergeCell ref="K19:K20"/>
    <mergeCell ref="L19:M19"/>
    <mergeCell ref="N19:N20"/>
    <mergeCell ref="O19:P19"/>
    <mergeCell ref="J31:K31"/>
    <mergeCell ref="L2:M2"/>
    <mergeCell ref="J19:J20"/>
    <mergeCell ref="O2:P2"/>
    <mergeCell ref="N2:N3"/>
    <mergeCell ref="J2:J3"/>
    <mergeCell ref="K2:K3"/>
  </mergeCells>
  <phoneticPr fontId="0" type="noConversion"/>
  <printOptions horizontalCentered="1"/>
  <pageMargins left="0.25" right="0.25" top="0.75" bottom="0.75" header="0.3" footer="0.3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/>
  <dimension ref="A2:S18"/>
  <sheetViews>
    <sheetView rightToLeft="1" view="pageBreakPreview" zoomScale="115" zoomScaleNormal="115" zoomScaleSheetLayoutView="115" workbookViewId="0">
      <selection activeCell="A15" sqref="A15:H15"/>
    </sheetView>
  </sheetViews>
  <sheetFormatPr defaultColWidth="9.109375" defaultRowHeight="17.399999999999999"/>
  <cols>
    <col min="1" max="1" width="2.88671875" style="64" customWidth="1"/>
    <col min="2" max="2" width="11.109375" style="96" customWidth="1"/>
    <col min="3" max="3" width="10.33203125" style="64" bestFit="1" customWidth="1"/>
    <col min="4" max="4" width="8.88671875" style="64" customWidth="1"/>
    <col min="5" max="5" width="12.33203125" style="64" bestFit="1" customWidth="1"/>
    <col min="6" max="6" width="8.44140625" style="64" customWidth="1"/>
    <col min="7" max="7" width="11.33203125" style="64" customWidth="1"/>
    <col min="8" max="8" width="11" style="64" bestFit="1" customWidth="1"/>
    <col min="9" max="9" width="9.6640625" style="64" customWidth="1"/>
    <col min="10" max="10" width="13.5546875" style="64" bestFit="1" customWidth="1"/>
    <col min="11" max="11" width="15.5546875" style="64" bestFit="1" customWidth="1"/>
    <col min="12" max="12" width="9.109375" style="64"/>
    <col min="13" max="13" width="11.109375" style="881" bestFit="1" customWidth="1"/>
    <col min="14" max="16384" width="9.109375" style="64"/>
  </cols>
  <sheetData>
    <row r="2" spans="1:19" ht="24.75" customHeight="1" thickBot="1">
      <c r="A2" s="992" t="s">
        <v>187</v>
      </c>
      <c r="B2" s="992"/>
      <c r="C2" s="992"/>
      <c r="D2" s="992"/>
      <c r="E2" s="992"/>
      <c r="F2" s="992"/>
      <c r="G2" s="992"/>
      <c r="H2" s="992"/>
      <c r="I2" s="992"/>
      <c r="J2" s="992"/>
      <c r="K2" s="992"/>
    </row>
    <row r="3" spans="1:19" ht="24.75" customHeight="1">
      <c r="A3" s="1028" t="s">
        <v>6</v>
      </c>
      <c r="B3" s="1026" t="s">
        <v>7</v>
      </c>
      <c r="C3" s="1026" t="s">
        <v>12</v>
      </c>
      <c r="D3" s="1022" t="s">
        <v>131</v>
      </c>
      <c r="E3" s="1022"/>
      <c r="F3" s="1022" t="s">
        <v>132</v>
      </c>
      <c r="G3" s="1022"/>
      <c r="H3" s="1022" t="s">
        <v>64</v>
      </c>
      <c r="I3" s="1022" t="s">
        <v>133</v>
      </c>
      <c r="J3" s="1022"/>
      <c r="K3" s="1023"/>
    </row>
    <row r="4" spans="1:19" ht="24.75" customHeight="1">
      <c r="A4" s="1029"/>
      <c r="B4" s="1027"/>
      <c r="C4" s="1027"/>
      <c r="D4" s="108" t="s">
        <v>106</v>
      </c>
      <c r="E4" s="108" t="s">
        <v>26</v>
      </c>
      <c r="F4" s="108" t="s">
        <v>106</v>
      </c>
      <c r="G4" s="108" t="s">
        <v>26</v>
      </c>
      <c r="H4" s="1030"/>
      <c r="I4" s="108" t="s">
        <v>106</v>
      </c>
      <c r="J4" s="108" t="s">
        <v>26</v>
      </c>
      <c r="K4" s="109" t="s">
        <v>8</v>
      </c>
      <c r="S4" s="64">
        <f>250/12</f>
        <v>20.833333333333332</v>
      </c>
    </row>
    <row r="5" spans="1:19" ht="24.75" customHeight="1">
      <c r="A5" s="110">
        <v>1</v>
      </c>
      <c r="B5" s="111" t="s">
        <v>34</v>
      </c>
      <c r="C5" s="111" t="s">
        <v>36</v>
      </c>
      <c r="D5" s="651">
        <v>0</v>
      </c>
      <c r="E5" s="651"/>
      <c r="F5" s="652">
        <f>D5*12</f>
        <v>0</v>
      </c>
      <c r="G5" s="652">
        <f>E5*12</f>
        <v>0</v>
      </c>
      <c r="H5" s="651"/>
      <c r="I5" s="652">
        <f>F5*H5/1000</f>
        <v>0</v>
      </c>
      <c r="J5" s="652">
        <f>G5*H5/1000</f>
        <v>0</v>
      </c>
      <c r="K5" s="655">
        <f>I5+J5</f>
        <v>0</v>
      </c>
    </row>
    <row r="6" spans="1:19" ht="24.75" customHeight="1">
      <c r="A6" s="110">
        <v>2</v>
      </c>
      <c r="B6" s="111" t="s">
        <v>587</v>
      </c>
      <c r="C6" s="111" t="s">
        <v>314</v>
      </c>
      <c r="D6" s="651">
        <v>0</v>
      </c>
      <c r="E6" s="651"/>
      <c r="F6" s="652">
        <f t="shared" ref="F6:F14" si="0">D6*12</f>
        <v>0</v>
      </c>
      <c r="G6" s="652">
        <f t="shared" ref="G6:G14" si="1">E6*12</f>
        <v>0</v>
      </c>
      <c r="H6" s="651"/>
      <c r="I6" s="652">
        <f t="shared" ref="I6:I14" si="2">F6*H6/1000</f>
        <v>0</v>
      </c>
      <c r="J6" s="652">
        <f t="shared" ref="J6:J14" si="3">G6*H6/1000</f>
        <v>0</v>
      </c>
      <c r="K6" s="655">
        <f t="shared" ref="K6:K14" si="4">I6+J6</f>
        <v>0</v>
      </c>
    </row>
    <row r="7" spans="1:19" ht="24.75" customHeight="1">
      <c r="A7" s="110">
        <v>3</v>
      </c>
      <c r="B7" s="111" t="s">
        <v>579</v>
      </c>
      <c r="C7" s="111" t="s">
        <v>35</v>
      </c>
      <c r="D7" s="651">
        <v>0</v>
      </c>
      <c r="E7" s="651"/>
      <c r="F7" s="652">
        <f t="shared" si="0"/>
        <v>0</v>
      </c>
      <c r="G7" s="652">
        <f>E7*12</f>
        <v>0</v>
      </c>
      <c r="H7" s="651"/>
      <c r="I7" s="652">
        <f t="shared" si="2"/>
        <v>0</v>
      </c>
      <c r="J7" s="652">
        <f t="shared" si="3"/>
        <v>0</v>
      </c>
      <c r="K7" s="655">
        <f t="shared" si="4"/>
        <v>0</v>
      </c>
    </row>
    <row r="8" spans="1:19" ht="24.75" customHeight="1">
      <c r="A8" s="110">
        <v>4</v>
      </c>
      <c r="B8" s="111" t="s">
        <v>86</v>
      </c>
      <c r="C8" s="111" t="s">
        <v>589</v>
      </c>
      <c r="D8" s="651">
        <v>0</v>
      </c>
      <c r="E8" s="651"/>
      <c r="F8" s="652">
        <f t="shared" si="0"/>
        <v>0</v>
      </c>
      <c r="G8" s="652">
        <f t="shared" si="1"/>
        <v>0</v>
      </c>
      <c r="H8" s="651"/>
      <c r="I8" s="652">
        <f t="shared" si="2"/>
        <v>0</v>
      </c>
      <c r="J8" s="652">
        <f t="shared" si="3"/>
        <v>0</v>
      </c>
      <c r="K8" s="655">
        <f t="shared" si="4"/>
        <v>0</v>
      </c>
    </row>
    <row r="9" spans="1:19" ht="24.75" customHeight="1">
      <c r="A9" s="110">
        <v>5</v>
      </c>
      <c r="B9" s="111" t="s">
        <v>582</v>
      </c>
      <c r="C9" s="111" t="s">
        <v>35</v>
      </c>
      <c r="D9" s="651">
        <v>0</v>
      </c>
      <c r="E9" s="651"/>
      <c r="F9" s="652">
        <f t="shared" si="0"/>
        <v>0</v>
      </c>
      <c r="G9" s="652">
        <f t="shared" si="1"/>
        <v>0</v>
      </c>
      <c r="H9" s="651"/>
      <c r="I9" s="652">
        <f t="shared" si="2"/>
        <v>0</v>
      </c>
      <c r="J9" s="652">
        <f t="shared" si="3"/>
        <v>0</v>
      </c>
      <c r="K9" s="655">
        <f t="shared" si="4"/>
        <v>0</v>
      </c>
    </row>
    <row r="10" spans="1:19" ht="24.75" hidden="1" customHeight="1">
      <c r="A10" s="110">
        <v>6</v>
      </c>
      <c r="B10" s="111" t="s">
        <v>86</v>
      </c>
      <c r="C10" s="111" t="s">
        <v>97</v>
      </c>
      <c r="D10" s="651">
        <v>0</v>
      </c>
      <c r="E10" s="651"/>
      <c r="F10" s="652">
        <f t="shared" si="0"/>
        <v>0</v>
      </c>
      <c r="G10" s="652">
        <f t="shared" si="1"/>
        <v>0</v>
      </c>
      <c r="H10" s="651"/>
      <c r="I10" s="652">
        <f t="shared" si="2"/>
        <v>0</v>
      </c>
      <c r="J10" s="652">
        <f t="shared" si="3"/>
        <v>0</v>
      </c>
      <c r="K10" s="655">
        <f t="shared" si="4"/>
        <v>0</v>
      </c>
    </row>
    <row r="11" spans="1:19" ht="24.75" customHeight="1">
      <c r="A11" s="110">
        <v>6</v>
      </c>
      <c r="B11" s="111" t="s">
        <v>595</v>
      </c>
      <c r="C11" s="111" t="s">
        <v>571</v>
      </c>
      <c r="D11" s="651">
        <v>1000</v>
      </c>
      <c r="E11" s="651">
        <v>1500</v>
      </c>
      <c r="F11" s="652">
        <f t="shared" si="0"/>
        <v>12000</v>
      </c>
      <c r="G11" s="652">
        <f t="shared" si="1"/>
        <v>18000</v>
      </c>
      <c r="H11" s="651"/>
      <c r="I11" s="652">
        <f t="shared" si="2"/>
        <v>0</v>
      </c>
      <c r="J11" s="652">
        <f t="shared" si="3"/>
        <v>0</v>
      </c>
      <c r="K11" s="655">
        <f t="shared" si="4"/>
        <v>0</v>
      </c>
    </row>
    <row r="12" spans="1:19" ht="24.75" hidden="1" customHeight="1">
      <c r="A12" s="110"/>
      <c r="B12" s="111"/>
      <c r="C12" s="111"/>
      <c r="D12" s="651"/>
      <c r="E12" s="651"/>
      <c r="F12" s="652">
        <f t="shared" si="0"/>
        <v>0</v>
      </c>
      <c r="G12" s="652">
        <f t="shared" si="1"/>
        <v>0</v>
      </c>
      <c r="H12" s="651"/>
      <c r="I12" s="652">
        <f t="shared" si="2"/>
        <v>0</v>
      </c>
      <c r="J12" s="652">
        <f t="shared" si="3"/>
        <v>0</v>
      </c>
      <c r="K12" s="655">
        <f t="shared" si="4"/>
        <v>0</v>
      </c>
    </row>
    <row r="13" spans="1:19" ht="24.75" hidden="1" customHeight="1">
      <c r="A13" s="110"/>
      <c r="B13" s="111"/>
      <c r="C13" s="111"/>
      <c r="D13" s="651"/>
      <c r="E13" s="651"/>
      <c r="F13" s="652">
        <f t="shared" si="0"/>
        <v>0</v>
      </c>
      <c r="G13" s="652">
        <f t="shared" si="1"/>
        <v>0</v>
      </c>
      <c r="H13" s="651"/>
      <c r="I13" s="652">
        <f t="shared" si="2"/>
        <v>0</v>
      </c>
      <c r="J13" s="652">
        <f t="shared" si="3"/>
        <v>0</v>
      </c>
      <c r="K13" s="655">
        <f t="shared" si="4"/>
        <v>0</v>
      </c>
    </row>
    <row r="14" spans="1:19" ht="24.75" hidden="1" customHeight="1">
      <c r="A14" s="110"/>
      <c r="B14" s="111"/>
      <c r="C14" s="111"/>
      <c r="D14" s="651"/>
      <c r="E14" s="651"/>
      <c r="F14" s="652">
        <f t="shared" si="0"/>
        <v>0</v>
      </c>
      <c r="G14" s="652">
        <f t="shared" si="1"/>
        <v>0</v>
      </c>
      <c r="H14" s="651"/>
      <c r="I14" s="652">
        <f t="shared" si="2"/>
        <v>0</v>
      </c>
      <c r="J14" s="652">
        <f t="shared" si="3"/>
        <v>0</v>
      </c>
      <c r="K14" s="655">
        <f t="shared" si="4"/>
        <v>0</v>
      </c>
    </row>
    <row r="15" spans="1:19" ht="24.75" customHeight="1" thickBot="1">
      <c r="A15" s="1024" t="s">
        <v>8</v>
      </c>
      <c r="B15" s="1025"/>
      <c r="C15" s="1025"/>
      <c r="D15" s="1025"/>
      <c r="E15" s="1025"/>
      <c r="F15" s="1025"/>
      <c r="G15" s="1025"/>
      <c r="H15" s="1025"/>
      <c r="I15" s="657">
        <f>SUM(I5:I14)</f>
        <v>0</v>
      </c>
      <c r="J15" s="657">
        <f>SUM(J5:J14)</f>
        <v>0</v>
      </c>
      <c r="K15" s="657">
        <f>SUM(K5:K14)</f>
        <v>0</v>
      </c>
    </row>
    <row r="16" spans="1:19">
      <c r="A16" s="1019"/>
      <c r="B16" s="1020"/>
      <c r="C16" s="1020"/>
      <c r="D16" s="1020"/>
      <c r="E16" s="1020"/>
      <c r="F16" s="1020"/>
      <c r="G16" s="1020"/>
      <c r="H16" s="1020"/>
      <c r="I16" s="1020"/>
      <c r="J16" s="1020"/>
      <c r="K16" s="1020"/>
    </row>
    <row r="17" spans="1:11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1021"/>
    </row>
    <row r="18" spans="1:11" ht="11.25" customHeight="1">
      <c r="A18" s="1021"/>
      <c r="B18" s="1021"/>
      <c r="C18" s="1021"/>
      <c r="D18" s="1021"/>
      <c r="E18" s="1021"/>
      <c r="F18" s="1021"/>
      <c r="G18" s="1021"/>
      <c r="H18" s="1021"/>
      <c r="I18" s="1021"/>
      <c r="J18" s="1021"/>
      <c r="K18" s="1021"/>
    </row>
  </sheetData>
  <mergeCells count="10">
    <mergeCell ref="A16:K18"/>
    <mergeCell ref="I3:K3"/>
    <mergeCell ref="A2:K2"/>
    <mergeCell ref="A15:H15"/>
    <mergeCell ref="C3:C4"/>
    <mergeCell ref="B3:B4"/>
    <mergeCell ref="A3:A4"/>
    <mergeCell ref="D3:E3"/>
    <mergeCell ref="F3:G3"/>
    <mergeCell ref="H3:H4"/>
  </mergeCells>
  <phoneticPr fontId="0" type="noConversion"/>
  <printOptions horizontalCentered="1"/>
  <pageMargins left="0" right="0" top="3.5433070866141736" bottom="0.98425196850393704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"/>
  <dimension ref="A1:H12"/>
  <sheetViews>
    <sheetView rightToLeft="1" view="pageBreakPreview" zoomScale="115" zoomScaleNormal="115" workbookViewId="0">
      <selection activeCell="E11" sqref="E11"/>
    </sheetView>
  </sheetViews>
  <sheetFormatPr defaultColWidth="9.109375" defaultRowHeight="17.399999999999999"/>
  <cols>
    <col min="1" max="1" width="3.44140625" style="43" customWidth="1"/>
    <col min="2" max="2" width="22" style="43" customWidth="1"/>
    <col min="3" max="3" width="14.109375" style="43" bestFit="1" customWidth="1"/>
    <col min="4" max="4" width="12.6640625" style="43" customWidth="1"/>
    <col min="5" max="5" width="9.88671875" style="43" customWidth="1"/>
    <col min="6" max="6" width="12.6640625" style="43" bestFit="1" customWidth="1"/>
    <col min="7" max="7" width="11.44140625" style="43" bestFit="1" customWidth="1"/>
    <col min="8" max="8" width="12.6640625" style="43" bestFit="1" customWidth="1"/>
    <col min="9" max="16384" width="9.109375" style="43"/>
  </cols>
  <sheetData>
    <row r="1" spans="1:8" ht="27.75" customHeight="1" thickBot="1">
      <c r="A1" s="896" t="s">
        <v>135</v>
      </c>
      <c r="B1" s="896"/>
      <c r="C1" s="896"/>
      <c r="D1" s="896"/>
      <c r="E1" s="896"/>
      <c r="F1" s="896"/>
      <c r="G1" s="896"/>
      <c r="H1" s="896"/>
    </row>
    <row r="2" spans="1:8" ht="27.75" customHeight="1">
      <c r="A2" s="1035" t="s">
        <v>6</v>
      </c>
      <c r="B2" s="915" t="s">
        <v>7</v>
      </c>
      <c r="C2" s="918" t="s">
        <v>134</v>
      </c>
      <c r="D2" s="918"/>
      <c r="E2" s="1031" t="s">
        <v>65</v>
      </c>
      <c r="F2" s="1031" t="s">
        <v>67</v>
      </c>
      <c r="G2" s="1031"/>
      <c r="H2" s="1032"/>
    </row>
    <row r="3" spans="1:8" ht="27.75" customHeight="1">
      <c r="A3" s="1036"/>
      <c r="B3" s="906"/>
      <c r="C3" s="53" t="s">
        <v>101</v>
      </c>
      <c r="D3" s="45" t="s">
        <v>26</v>
      </c>
      <c r="E3" s="907"/>
      <c r="F3" s="53" t="s">
        <v>101</v>
      </c>
      <c r="G3" s="45" t="s">
        <v>26</v>
      </c>
      <c r="H3" s="176" t="s">
        <v>8</v>
      </c>
    </row>
    <row r="4" spans="1:8" ht="23.25" customHeight="1">
      <c r="A4" s="177">
        <v>1</v>
      </c>
      <c r="B4" s="178" t="str">
        <f>'سرمايه‌‌گذاري طرح'!B5</f>
        <v>محوطه سازي</v>
      </c>
      <c r="C4" s="652">
        <f>'سرمايه‌‌گذاري طرح'!D5</f>
        <v>0</v>
      </c>
      <c r="D4" s="652">
        <f>'سرمايه‌‌گذاري طرح'!E5</f>
        <v>0</v>
      </c>
      <c r="E4" s="695">
        <v>0.02</v>
      </c>
      <c r="F4" s="653">
        <f>C4*E4</f>
        <v>0</v>
      </c>
      <c r="G4" s="653">
        <f>D4*E4</f>
        <v>0</v>
      </c>
      <c r="H4" s="697">
        <f>F4+G4</f>
        <v>0</v>
      </c>
    </row>
    <row r="5" spans="1:8" ht="23.25" customHeight="1">
      <c r="A5" s="177">
        <v>2</v>
      </c>
      <c r="B5" s="178" t="str">
        <f>'سرمايه‌‌گذاري طرح'!B6</f>
        <v>ساختمان توليدي و اداري</v>
      </c>
      <c r="C5" s="652">
        <f>'سرمايه‌‌گذاري طرح'!D6</f>
        <v>57000000</v>
      </c>
      <c r="D5" s="652">
        <f>'سرمايه‌‌گذاري طرح'!E6</f>
        <v>25000000</v>
      </c>
      <c r="E5" s="695">
        <v>0.02</v>
      </c>
      <c r="F5" s="653">
        <f t="shared" ref="F5:F11" si="0">C5*E5</f>
        <v>1140000</v>
      </c>
      <c r="G5" s="653">
        <f>D5*E5</f>
        <v>500000</v>
      </c>
      <c r="H5" s="697">
        <f t="shared" ref="H5:H11" si="1">F5+G5</f>
        <v>1640000</v>
      </c>
    </row>
    <row r="6" spans="1:8" ht="23.25" customHeight="1">
      <c r="A6" s="177">
        <v>3</v>
      </c>
      <c r="B6" s="178" t="str">
        <f>'سرمايه‌‌گذاري طرح'!B7</f>
        <v>تاسيسات و تجهيزات عمومي</v>
      </c>
      <c r="C6" s="652">
        <f>'سرمايه‌‌گذاري طرح'!D7</f>
        <v>0</v>
      </c>
      <c r="D6" s="652">
        <f>'سرمايه‌‌گذاري طرح'!E7</f>
        <v>0</v>
      </c>
      <c r="E6" s="695">
        <v>0.05</v>
      </c>
      <c r="F6" s="653">
        <f t="shared" si="0"/>
        <v>0</v>
      </c>
      <c r="G6" s="653">
        <f t="shared" ref="G6:G11" si="2">D6*E6</f>
        <v>0</v>
      </c>
      <c r="H6" s="697">
        <f t="shared" si="1"/>
        <v>0</v>
      </c>
    </row>
    <row r="7" spans="1:8" ht="23.25" customHeight="1">
      <c r="A7" s="177">
        <v>4</v>
      </c>
      <c r="B7" s="178" t="str">
        <f>'سرمايه‌‌گذاري طرح'!B8</f>
        <v xml:space="preserve">ماشين آلات و تجهيزات </v>
      </c>
      <c r="C7" s="652">
        <f>'سرمايه‌‌گذاري طرح'!D8</f>
        <v>0</v>
      </c>
      <c r="D7" s="652">
        <f>'سرمايه‌‌گذاري طرح'!E8</f>
        <v>0</v>
      </c>
      <c r="E7" s="695">
        <v>0.05</v>
      </c>
      <c r="F7" s="653">
        <f t="shared" si="0"/>
        <v>0</v>
      </c>
      <c r="G7" s="653">
        <f t="shared" si="2"/>
        <v>0</v>
      </c>
      <c r="H7" s="697">
        <f t="shared" si="1"/>
        <v>0</v>
      </c>
    </row>
    <row r="8" spans="1:8" ht="23.25" customHeight="1">
      <c r="A8" s="177">
        <v>5</v>
      </c>
      <c r="B8" s="178" t="str">
        <f>'سرمايه‌‌گذاري طرح'!B9</f>
        <v>اثاثيه و تجهيزات اداري</v>
      </c>
      <c r="C8" s="652">
        <f>'سرمايه‌‌گذاري طرح'!D9</f>
        <v>8400000</v>
      </c>
      <c r="D8" s="652">
        <f>'سرمايه‌‌گذاري طرح'!E9</f>
        <v>2100000</v>
      </c>
      <c r="E8" s="695">
        <v>0.1</v>
      </c>
      <c r="F8" s="653">
        <f t="shared" si="0"/>
        <v>840000</v>
      </c>
      <c r="G8" s="653">
        <f t="shared" si="2"/>
        <v>210000</v>
      </c>
      <c r="H8" s="697">
        <f t="shared" si="1"/>
        <v>1050000</v>
      </c>
    </row>
    <row r="9" spans="1:8" ht="23.25" customHeight="1">
      <c r="A9" s="177">
        <v>6</v>
      </c>
      <c r="B9" s="178" t="str">
        <f>'سرمايه‌‌گذاري طرح'!B10</f>
        <v>وسائط نقليه</v>
      </c>
      <c r="C9" s="652">
        <f>'سرمايه‌‌گذاري طرح'!D10</f>
        <v>7000000</v>
      </c>
      <c r="D9" s="652">
        <f>'سرمايه‌‌گذاري طرح'!E10</f>
        <v>0</v>
      </c>
      <c r="E9" s="695">
        <v>0.1</v>
      </c>
      <c r="F9" s="653">
        <f t="shared" si="0"/>
        <v>700000</v>
      </c>
      <c r="G9" s="653">
        <f t="shared" si="2"/>
        <v>0</v>
      </c>
      <c r="H9" s="697">
        <f t="shared" si="1"/>
        <v>700000</v>
      </c>
    </row>
    <row r="10" spans="1:8" ht="23.25" customHeight="1">
      <c r="A10" s="177">
        <v>7</v>
      </c>
      <c r="B10" s="178" t="str">
        <f>'سرمايه‌‌گذاري طرح'!B11</f>
        <v>ساير هزينه هاي بخش ثابت</v>
      </c>
      <c r="C10" s="652">
        <f>'سرمايه‌‌گذاري طرح'!D11</f>
        <v>480000</v>
      </c>
      <c r="D10" s="652">
        <v>0</v>
      </c>
      <c r="E10" s="695">
        <v>0.1</v>
      </c>
      <c r="F10" s="653">
        <f t="shared" si="0"/>
        <v>48000</v>
      </c>
      <c r="G10" s="653">
        <f t="shared" si="2"/>
        <v>0</v>
      </c>
      <c r="H10" s="697">
        <f t="shared" si="1"/>
        <v>48000</v>
      </c>
    </row>
    <row r="11" spans="1:8" ht="23.25" customHeight="1">
      <c r="A11" s="177">
        <v>8</v>
      </c>
      <c r="B11" s="178" t="str">
        <f>'سرمايه‌‌گذاري طرح'!B12</f>
        <v>هزينه‌هاي پيش‌بيني‌نشده‌</v>
      </c>
      <c r="C11" s="652">
        <f>'سرمايه‌‌گذاري طرح'!D12</f>
        <v>0</v>
      </c>
      <c r="D11" s="652">
        <f>'سرمايه‌‌گذاري طرح'!E12</f>
        <v>4665000</v>
      </c>
      <c r="E11" s="695">
        <v>0.1</v>
      </c>
      <c r="F11" s="653">
        <f t="shared" si="0"/>
        <v>0</v>
      </c>
      <c r="G11" s="653">
        <f t="shared" si="2"/>
        <v>466500</v>
      </c>
      <c r="H11" s="697">
        <f t="shared" si="1"/>
        <v>466500</v>
      </c>
    </row>
    <row r="12" spans="1:8" ht="27.75" customHeight="1" thickBot="1">
      <c r="A12" s="1033" t="s">
        <v>68</v>
      </c>
      <c r="B12" s="1034"/>
      <c r="C12" s="657">
        <f>SUM(C4:C11)</f>
        <v>72880000</v>
      </c>
      <c r="D12" s="657">
        <f>SUM(D4:D11)</f>
        <v>31765000</v>
      </c>
      <c r="E12" s="696"/>
      <c r="F12" s="657">
        <f>SUM(F4:F11)</f>
        <v>2728000</v>
      </c>
      <c r="G12" s="657">
        <f>SUM(G4:G11)</f>
        <v>1176500</v>
      </c>
      <c r="H12" s="658">
        <f>SUM(H4:H11)</f>
        <v>3904500</v>
      </c>
    </row>
  </sheetData>
  <mergeCells count="7">
    <mergeCell ref="F2:H2"/>
    <mergeCell ref="A1:H1"/>
    <mergeCell ref="A12:B12"/>
    <mergeCell ref="C2:D2"/>
    <mergeCell ref="E2:E3"/>
    <mergeCell ref="B2:B3"/>
    <mergeCell ref="A2:A3"/>
  </mergeCells>
  <phoneticPr fontId="0" type="noConversion"/>
  <printOptions horizontalCentered="1" verticalCentered="1"/>
  <pageMargins left="0.59055118110236227" right="0.59055118110236227" top="6.6929133858267722" bottom="0.98425196850393704" header="0" footer="0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8">
    <tabColor indexed="53"/>
  </sheetPr>
  <dimension ref="B2:M13"/>
  <sheetViews>
    <sheetView rightToLeft="1" workbookViewId="0">
      <selection activeCell="E12" sqref="E12"/>
    </sheetView>
  </sheetViews>
  <sheetFormatPr defaultColWidth="9.109375" defaultRowHeight="17.399999999999999"/>
  <cols>
    <col min="1" max="1" width="9.109375" style="514"/>
    <col min="2" max="2" width="19.88671875" style="514" bestFit="1" customWidth="1"/>
    <col min="3" max="12" width="9.109375" style="514"/>
    <col min="13" max="13" width="10" style="514" bestFit="1" customWidth="1"/>
    <col min="14" max="16384" width="9.109375" style="514"/>
  </cols>
  <sheetData>
    <row r="2" spans="2:13">
      <c r="B2" s="515" t="str">
        <f>استهلاك!B18</f>
        <v>سال</v>
      </c>
      <c r="C2" s="515" t="str">
        <f>استهلاك!C18</f>
        <v>سال بهره برداری</v>
      </c>
      <c r="D2" s="515" t="str">
        <f>استهلاك!D18</f>
        <v xml:space="preserve">سال اول </v>
      </c>
      <c r="E2" s="515" t="str">
        <f>استهلاك!E18</f>
        <v>سال دوم</v>
      </c>
      <c r="F2" s="515" t="str">
        <f>استهلاك!F18</f>
        <v>سال سوم</v>
      </c>
      <c r="G2" s="515" t="str">
        <f>استهلاك!G18</f>
        <v>سال چهارم</v>
      </c>
      <c r="H2" s="515" t="str">
        <f>استهلاك!H18</f>
        <v>سال پنجم</v>
      </c>
      <c r="I2" s="515" t="str">
        <f>استهلاك!I18</f>
        <v>سال ششم</v>
      </c>
      <c r="J2" s="515" t="str">
        <f>استهلاك!J18</f>
        <v>سال هفتم</v>
      </c>
      <c r="K2" s="515" t="str">
        <f>استهلاك!K18</f>
        <v>سال هشتم</v>
      </c>
      <c r="L2" s="515" t="str">
        <f>استهلاك!L18</f>
        <v>سال نهم</v>
      </c>
      <c r="M2" s="515" t="str">
        <f>استهلاك!M18</f>
        <v>سال دهم</v>
      </c>
    </row>
    <row r="3" spans="2:13">
      <c r="B3" s="516" t="str">
        <f>استهلاك!B20</f>
        <v>تعداد ماههاي فعاليت</v>
      </c>
      <c r="C3" s="514">
        <f>استهلاك!C20</f>
        <v>12</v>
      </c>
      <c r="D3" s="514">
        <f>استهلاك!D20</f>
        <v>12</v>
      </c>
      <c r="E3" s="514">
        <f>استهلاك!E20</f>
        <v>12</v>
      </c>
      <c r="F3" s="514">
        <f>استهلاك!F20</f>
        <v>12</v>
      </c>
      <c r="G3" s="514">
        <f>استهلاك!G20</f>
        <v>12</v>
      </c>
      <c r="H3" s="514">
        <f>استهلاك!H20</f>
        <v>12</v>
      </c>
      <c r="I3" s="514">
        <f>استهلاك!I20</f>
        <v>12</v>
      </c>
      <c r="J3" s="514">
        <f>استهلاك!J20</f>
        <v>12</v>
      </c>
      <c r="K3" s="514">
        <f>استهلاك!K20</f>
        <v>12</v>
      </c>
      <c r="L3" s="514">
        <f>استهلاك!L20</f>
        <v>12</v>
      </c>
      <c r="M3" s="514">
        <f>استهلاك!M20</f>
        <v>12</v>
      </c>
    </row>
    <row r="4" spans="2:13">
      <c r="B4" s="516" t="str">
        <f>استهلاك!B21</f>
        <v>محوطه سازي</v>
      </c>
      <c r="C4" s="517">
        <f>IF(استهلاك!C21=0,0,استهلاك!M5*استهلاك!$C$20/12)</f>
        <v>0</v>
      </c>
      <c r="D4" s="517">
        <f>IF(استهلاك!D21=0,0,IF(استهلاك!E21=0,(استهلاك!C4+استهلاك!D4-'استهلاک ها'!C4)-استهلاك!O5,(استهلاك!D5+استهلاك!C5-'استهلاک ها'!C4)*استهلاك!J5*استهلاك!$D$20/12))</f>
        <v>0</v>
      </c>
      <c r="E4" s="517">
        <f>IF(استهلاك!E21=0,0,IF(استهلاك!F21=0,(استهلاك!C4+استهلاك!D4-'استهلاک ها'!D4-'استهلاک ها'!C4)-استهلاك!O5,(استهلاك!D5+استهلاك!C5-'استهلاک ها'!C4-D4)*استهلاك!J5*استهلاك!$D$20/12))</f>
        <v>0</v>
      </c>
      <c r="F4" s="517">
        <f>IF(استهلاك!F21=0,0,IF(استهلاك!G21=0,(استهلاك!C5+استهلاك!D5-'استهلاک ها'!E4-'استهلاک ها'!D4-'استهلاک ها'!C4)-استهلاك!O5,(استهلاك!D5+استهلاك!C5-'استهلاک ها'!C4-D4-E4)*استهلاك!J5*استهلاك!$D$20/12))</f>
        <v>0</v>
      </c>
      <c r="G4" s="517">
        <f>IF(استهلاك!G21=0,0,IF(استهلاك!H21=0,(استهلاك!C5+استهلاك!D5-'استهلاک ها'!F4-'استهلاک ها'!E4-'استهلاک ها'!D4-'استهلاک ها'!C4)-استهلاك!O5,(استهلاك!D5+استهلاك!C5-'استهلاک ها'!C4-D4-E4-F4)*استهلاك!J5*استهلاك!$D$20/12))</f>
        <v>0</v>
      </c>
      <c r="H4" s="517">
        <f>IF(استهلاك!H21=0,0,IF(استهلاك!I21=0,(استهلاك!C5+استهلاك!D5-'استهلاک ها'!G4-'استهلاک ها'!F4-'استهلاک ها'!E4-'استهلاک ها'!D4-'استهلاک ها'!C4)-استهلاك!O5,(استهلاك!D5+استهلاك!C5-'استهلاک ها'!C4-D4-E4-F4-G4)*استهلاك!J5*استهلاك!$D$20/12))</f>
        <v>0</v>
      </c>
      <c r="I4" s="517">
        <f>IF(استهلاك!I21=0,0,IF(استهلاك!J21=0,(استهلاك!C5+استهلاك!D5-'استهلاک ها'!H4-'استهلاک ها'!G4-'استهلاک ها'!F4-'استهلاک ها'!E4-'استهلاک ها'!D4-'استهلاک ها'!C4)-استهلاك!O5,(استهلاك!D5+استهلاك!C5-'استهلاک ها'!C4-D4-E4-F4-G4-H4)*استهلاك!J5*استهلاك!$D$20/12))</f>
        <v>0</v>
      </c>
      <c r="J4" s="517">
        <f>IF(استهلاك!K21=0,0,IF(استهلاك!K21=0,(استهلاك!C5+استهلاك!D5-'استهلاک ها'!I4-'استهلاک ها'!H4-'استهلاک ها'!G4-'استهلاک ها'!F4-'استهلاک ها'!E4-'استهلاک ها'!D4-'استهلاک ها'!C4)-استهلاك!O5,(استهلاك!D5+استهلاك!C5-'استهلاک ها'!C4-D4-E4-F4-G4-H4-I4)*استهلاك!J5*استهلاك!$D$20/12))</f>
        <v>0</v>
      </c>
      <c r="K4" s="517">
        <f>IF(استهلاك!L21=0,0,IF(استهلاك!L21=0,(استهلاك!C5+استهلاك!D5-'استهلاک ها'!J4-'استهلاک ها'!I4-'استهلاک ها'!H4-'استهلاک ها'!G4-'استهلاک ها'!F4-'استهلاک ها'!E4-'استهلاک ها'!D4-'استهلاک ها'!C4)-استهلاك!O5,(استهلاك!D5+استهلاك!C5-'استهلاک ها'!C4-D4-E4-F4-G4-H4-I4-J4)*استهلاك!J5*استهلاك!$D$20/12))</f>
        <v>0</v>
      </c>
      <c r="L4" s="517">
        <f>IF(استهلاك!M21=0,0,IF(استهلاك!M21=0,(استهلاك!C5+استهلاك!D5-'استهلاک ها'!K4-'استهلاک ها'!J4-'استهلاک ها'!I4-'استهلاک ها'!H4-'استهلاک ها'!G4-'استهلاک ها'!F4-'استهلاک ها'!E4-'استهلاک ها'!D4-'استهلاک ها'!C4)-استهلاك!O5,(استهلاك!D5+استهلاك!C5-'استهلاک ها'!C4-D4-E4-F4-G4-H4-I4-J4-K4)*استهلاك!J5*استهلاك!$D$20/12))</f>
        <v>0</v>
      </c>
      <c r="M4" s="517">
        <f>IF(استهلاك!M21=0,0,IF(استهلاك!N21=0,(استهلاك!C5+استهلاك!D5-'استهلاک ها'!L4-'استهلاک ها'!K4-'استهلاک ها'!J4-'استهلاک ها'!I4-'استهلاک ها'!H4-'استهلاک ها'!G4-'استهلاک ها'!F4-'استهلاک ها'!E4-'استهلاک ها'!D4-'استهلاک ها'!C4)-استهلاك!O5,(استهلاك!D5+استهلاك!C5-'استهلاک ها'!C4-D4-E4-F4-G4-H4-I4-J4-K4)*استهلاك!J5*استهلاك!$D$20/12))</f>
        <v>0</v>
      </c>
    </row>
    <row r="5" spans="2:13">
      <c r="B5" s="516" t="str">
        <f>استهلاك!B22</f>
        <v>ساختمان توليدي و اداري</v>
      </c>
      <c r="C5" s="517">
        <f>IF(استهلاك!C22=0,0,استهلاك!M6*استهلاك!$C$20/12)</f>
        <v>0</v>
      </c>
      <c r="D5" s="517">
        <f>IF(استهلاك!D22=0,0,IF(استهلاك!E22=0,(استهلاك!C5+استهلاك!D5-'استهلاک ها'!C5)-استهلاك!O6,(استهلاك!D6+استهلاك!C6-'استهلاک ها'!C5)*استهلاك!J6*استهلاك!$D$20/12))</f>
        <v>5740000.0000000009</v>
      </c>
      <c r="E5" s="517">
        <f>IF(استهلاك!E22=0,0,IF(استهلاك!F22=0,(استهلاك!C5+استهلاك!D5-'استهلاک ها'!D5-'استهلاک ها'!C5)-استهلاك!O6,(استهلاك!D6+استهلاك!C6-'استهلاک ها'!C5-D5)*استهلاك!J6*استهلاك!$D$20/12))</f>
        <v>5338200.0000000009</v>
      </c>
      <c r="F5" s="517">
        <f>IF(استهلاك!F22=0,0,IF(استهلاك!G22=0,(استهلاك!C6+استهلاك!D6-'استهلاک ها'!E5-'استهلاک ها'!D5-'استهلاک ها'!C5)-استهلاك!O6,(استهلاك!D6+استهلاك!C6-'استهلاک ها'!C5-D5-E5)*استهلاك!J6*استهلاك!$D$20/12))</f>
        <v>4964526.0000000009</v>
      </c>
      <c r="G5" s="517">
        <f>IF(استهلاك!G22=0,0,IF(استهلاك!H22=0,(استهلاك!C6+استهلاك!D6-'استهلاک ها'!F5-'استهلاک ها'!E5-'استهلاک ها'!D5-'استهلاک ها'!C5)-استهلاك!O6,(استهلاك!D6+استهلاك!C6-'استهلاک ها'!C5-D5-E5-F5)*استهلاك!J6*استهلاك!$D$20/12))</f>
        <v>4617009.1800000006</v>
      </c>
      <c r="H5" s="517">
        <f>IF(استهلاك!H22=0,0,IF(استهلاك!I22=0,(استهلاك!C6+استهلاك!D6-'استهلاک ها'!G5-'استهلاک ها'!F5-'استهلاک ها'!E5-'استهلاک ها'!D5-'استهلاک ها'!C5)-استهلاك!O6,(استهلاك!D6+استهلاك!C6-'استهلاک ها'!C5-D5-E5-F5-G5)*استهلاك!J6*استهلاك!$D$20/12))</f>
        <v>4293818.5374000007</v>
      </c>
      <c r="I5" s="517">
        <f>IF(استهلاك!I22=0,0,IF(استهلاك!J22=0,(استهلاك!C6+استهلاك!D6-'استهلاک ها'!H5-'استهلاک ها'!G5-'استهلاک ها'!F5-'استهلاک ها'!E5-'استهلاک ها'!D5-'استهلاک ها'!C5)-استهلاك!O6,(استهلاك!D6+استهلاك!C6-'استهلاک ها'!C5-D5-E5-F5-G5-H5)*استهلاك!J6*استهلاك!$D$20/12))</f>
        <v>3993251.2397820004</v>
      </c>
      <c r="J5" s="517">
        <f>IF(استهلاك!K22=0,0,IF(استهلاك!K22=0,(استهلاك!C6+استهلاك!D6-'استهلاک ها'!I5-'استهلاک ها'!H5-'استهلاک ها'!G5-'استهلاک ها'!F5-'استهلاک ها'!E5-'استهلاک ها'!D5-'استهلاک ها'!C5)-استهلاك!O6,(استهلاك!D6+استهلاك!C6-'استهلاک ها'!C5-D5-E5-F5-G5-H5-I5)*استهلاك!J6*استهلاك!$D$20/12))</f>
        <v>3713723.6529972604</v>
      </c>
      <c r="K5" s="517">
        <f>IF(استهلاك!L22=0,0,IF(استهلاك!L22=0,(استهلاك!C6+استهلاك!D6-'استهلاک ها'!J5-'استهلاک ها'!I5-'استهلاک ها'!H5-'استهلاک ها'!G5-'استهلاک ها'!F5-'استهلاک ها'!E5-'استهلاک ها'!D5-'استهلاک ها'!C5)-استهلاك!O6,(استهلاك!D6+استهلاك!C6-'استهلاک ها'!C5-D5-E5-F5-G5-H5-I5-J5)*استهلاك!J6*استهلاك!$D$20/12))</f>
        <v>3453762.9972874522</v>
      </c>
      <c r="L5" s="517">
        <f>IF(استهلاك!M22=0,0,IF(استهلاك!M22=0,(استهلاك!C6+استهلاك!D6-'استهلاک ها'!K5-'استهلاک ها'!J5-'استهلاک ها'!I5-'استهلاک ها'!H5-'استهلاک ها'!G5-'استهلاک ها'!F5-'استهلاک ها'!E5-'استهلاک ها'!D5-'استهلاک ها'!C5)-استهلاك!O6,(استهلاك!D6+استهلاك!C6-'استهلاک ها'!C5-D5-E5-F5-G5-H5-I5-J5-K5)*استهلاك!J6*استهلاك!$D$20/12))</f>
        <v>3211999.5874773306</v>
      </c>
      <c r="M5" s="517">
        <f>IF(استهلاك!M22=0,0,IF(استهلاك!N22=0,(استهلاك!C6+استهلاك!D6-'استهلاک ها'!L5-'استهلاک ها'!K5-'استهلاک ها'!J5-'استهلاک ها'!I5-'استهلاک ها'!H5-'استهلاک ها'!G5-'استهلاک ها'!F5-'استهلاک ها'!E5-'استهلاک ها'!D5-'استهلاک ها'!C5)-استهلاك!O6,(استهلاك!D6+استهلاك!C6-'استهلاک ها'!C5-D5-E5-F5-G5-H5-I5-J5-K5)*استهلاك!J6*استهلاك!$D$20/12))</f>
        <v>42673708.805055961</v>
      </c>
    </row>
    <row r="6" spans="2:13">
      <c r="B6" s="516" t="str">
        <f>استهلاك!B23</f>
        <v>تاسيسات و تجهيزات عمومي</v>
      </c>
      <c r="C6" s="517">
        <f>IF(استهلاك!C23=0,0,استهلاك!M7*استهلاك!$C$20/12)</f>
        <v>0</v>
      </c>
      <c r="D6" s="517">
        <f>IF(استهلاك!D23=0,0,IF(استهلاك!E23=0,(استهلاك!C6+استهلاك!D6-'استهلاک ها'!C6)-استهلاك!O7,(استهلاك!D7+استهلاك!C7-'استهلاک ها'!C6)*استهلاك!J7*استهلاك!$D$20/12))</f>
        <v>0</v>
      </c>
      <c r="E6" s="517">
        <f>IF(استهلاك!E23=0,0,IF(استهلاك!F23=0,(استهلاك!C6+استهلاك!D6-'استهلاک ها'!D6-'استهلاک ها'!C6)-استهلاك!O7,(استهلاك!D7+استهلاك!C7-'استهلاک ها'!C6-D6)*استهلاك!J7*استهلاك!$D$20/12))</f>
        <v>0</v>
      </c>
      <c r="F6" s="517">
        <f>IF(استهلاك!F23=0,0,IF(استهلاك!G23=0,(استهلاك!C7+استهلاك!D7-'استهلاک ها'!E6-'استهلاک ها'!D6-'استهلاک ها'!C6)-استهلاك!O7,(استهلاك!D7+استهلاك!C7-'استهلاک ها'!C6-D6-E6)*استهلاك!J7*استهلاك!$D$20/12))</f>
        <v>0</v>
      </c>
      <c r="G6" s="517">
        <f>IF(استهلاك!G23=0,0,IF(استهلاك!H23=0,(استهلاك!C7+استهلاك!D7-'استهلاک ها'!F6-'استهلاک ها'!E6-'استهلاک ها'!D6-'استهلاک ها'!C6)-استهلاك!O7,(استهلاك!D7+استهلاك!C7-'استهلاک ها'!C6-D6-E6-F6)*استهلاك!J7*استهلاك!$D$20/12))</f>
        <v>0</v>
      </c>
      <c r="H6" s="517">
        <f>IF(استهلاك!H23=0,0,IF(استهلاك!I23=0,(استهلاك!C7+استهلاك!D7-'استهلاک ها'!G6-'استهلاک ها'!F6-'استهلاک ها'!E6-'استهلاک ها'!D6-'استهلاک ها'!C6)-استهلاك!O7,(استهلاك!D7+استهلاك!C7-'استهلاک ها'!C6-D6-E6-F6-G6)*استهلاك!J7*استهلاك!$D$20/12))</f>
        <v>0</v>
      </c>
      <c r="I6" s="517">
        <f>IF(استهلاك!I23=0,0,IF(استهلاك!J23=0,(استهلاك!C7+استهلاك!D7-'استهلاک ها'!H6-'استهلاک ها'!G6-'استهلاک ها'!F6-'استهلاک ها'!E6-'استهلاک ها'!D6-'استهلاک ها'!C6)-استهلاك!O7,(استهلاك!D7+استهلاك!C7-'استهلاک ها'!C6-D6-E6-F6-G6-H6)*استهلاك!J7*استهلاك!$D$20/12))</f>
        <v>0</v>
      </c>
      <c r="J6" s="517">
        <f>IF(استهلاك!K23=0,0,IF(استهلاك!K23=0,(استهلاك!C7+استهلاك!D7-'استهلاک ها'!I6-'استهلاک ها'!H6-'استهلاک ها'!G6-'استهلاک ها'!F6-'استهلاک ها'!E6-'استهلاک ها'!D6-'استهلاک ها'!C6)-استهلاك!O7,(استهلاك!D7+استهلاك!C7-'استهلاک ها'!C6-D6-E6-F6-G6-H6-I6)*استهلاك!J7*استهلاك!$D$20/12))</f>
        <v>0</v>
      </c>
      <c r="K6" s="517">
        <f>IF(استهلاك!L23=0,0,IF(استهلاك!L23=0,(استهلاك!C7+استهلاك!D7-'استهلاک ها'!J6-'استهلاک ها'!I6-'استهلاک ها'!H6-'استهلاک ها'!G6-'استهلاک ها'!F6-'استهلاک ها'!E6-'استهلاک ها'!D6-'استهلاک ها'!C6)-استهلاك!O7,(استهلاك!D7+استهلاك!C7-'استهلاک ها'!C6-D6-E6-F6-G6-H6-I6-J6)*استهلاك!J7*استهلاك!$D$20/12))</f>
        <v>0</v>
      </c>
      <c r="L6" s="517">
        <f>IF(استهلاك!M23=0,0,IF(استهلاك!M23=0,(استهلاك!C7+استهلاك!D7-'استهلاک ها'!K6-'استهلاک ها'!J6-'استهلاک ها'!I6-'استهلاک ها'!H6-'استهلاک ها'!G6-'استهلاک ها'!F6-'استهلاک ها'!E6-'استهلاک ها'!D6-'استهلاک ها'!C6)-استهلاك!O7,(استهلاك!D7+استهلاك!C7-'استهلاک ها'!C6-D6-E6-F6-G6-H6-I6-J6-K6)*استهلاك!J7*استهلاك!$D$20/12))</f>
        <v>0</v>
      </c>
      <c r="M6" s="517">
        <f>IF(استهلاك!M23=0,0,IF(استهلاك!N23=0,(استهلاك!C7+استهلاك!D7-'استهلاک ها'!L6-'استهلاک ها'!K6-'استهلاک ها'!J6-'استهلاک ها'!I6-'استهلاک ها'!H6-'استهلاک ها'!G6-'استهلاک ها'!F6-'استهلاک ها'!E6-'استهلاک ها'!D6-'استهلاک ها'!C6)-استهلاك!O7,(استهلاك!D7+استهلاك!C7-'استهلاک ها'!C6-D6-E6-F6-G6-H6-I6-J6-K6)*استهلاك!J7*استهلاك!$D$20/12))</f>
        <v>0</v>
      </c>
    </row>
    <row r="7" spans="2:13">
      <c r="B7" s="516" t="str">
        <f>استهلاك!B24</f>
        <v xml:space="preserve">ماشين آلات و تجهيزات </v>
      </c>
      <c r="C7" s="517">
        <f>IF(استهلاك!C24=0,0,استهلاك!M8*استهلاك!$C$20/12)</f>
        <v>0</v>
      </c>
      <c r="D7" s="517">
        <f>IF(استهلاك!D24=0,0,IF(استهلاك!E24=0,(استهلاك!C7+استهلاك!D7-'استهلاک ها'!C7)-استهلاك!O8,(استهلاك!D8+استهلاك!C8-'استهلاک ها'!C7)*استهلاك!J8*استهلاك!$D$20/12))</f>
        <v>0</v>
      </c>
      <c r="E7" s="517">
        <f>IF(استهلاك!E24=0,0,IF(استهلاك!F24=0,(استهلاك!C7+استهلاك!D7-'استهلاک ها'!D7-'استهلاک ها'!C7)-استهلاك!O8,(استهلاك!D8+استهلاك!C8-'استهلاک ها'!C7-D7)*استهلاك!J8*استهلاك!$D$20/12))</f>
        <v>0</v>
      </c>
      <c r="F7" s="517">
        <f>IF(استهلاك!F24=0,0,IF(استهلاك!G24=0,(استهلاك!C8+استهلاك!D8-'استهلاک ها'!E7-'استهلاک ها'!D7-'استهلاک ها'!C7)-استهلاك!O8,(استهلاك!D8+استهلاك!C8-'استهلاک ها'!C7-D7-E7)*استهلاك!J8*استهلاك!$D$20/12))</f>
        <v>0</v>
      </c>
      <c r="G7" s="517">
        <f>IF(استهلاك!G24=0,0,IF(استهلاك!H24=0,(استهلاك!C8+استهلاك!D8-'استهلاک ها'!F7-'استهلاک ها'!E7-'استهلاک ها'!D7-'استهلاک ها'!C7)-استهلاك!O8,(استهلاك!D8+استهلاك!C8-'استهلاک ها'!C7-D7-E7-F7)*استهلاك!J8*استهلاك!$D$20/12))</f>
        <v>0</v>
      </c>
      <c r="H7" s="517">
        <f>IF(استهلاك!H24=0,0,IF(استهلاك!I24=0,(استهلاك!C8+استهلاك!D8-'استهلاک ها'!G7-'استهلاک ها'!F7-'استهلاک ها'!E7-'استهلاک ها'!D7-'استهلاک ها'!C7)-استهلاك!O8,(استهلاك!D8+استهلاك!C8-'استهلاک ها'!C7-D7-E7-F7-G7)*استهلاك!J8*استهلاك!$D$20/12))</f>
        <v>0</v>
      </c>
      <c r="I7" s="517">
        <f>IF(استهلاك!I24=0,0,IF(استهلاك!J24=0,(استهلاك!C8+استهلاك!D8-'استهلاک ها'!H7-'استهلاک ها'!G7-'استهلاک ها'!F7-'استهلاک ها'!E7-'استهلاک ها'!D7-'استهلاک ها'!C7)-استهلاك!O8,(استهلاك!D8+استهلاك!C8-'استهلاک ها'!C7-D7-E7-F7-G7-H7)*استهلاك!J8*استهلاك!$D$20/12))</f>
        <v>0</v>
      </c>
      <c r="J7" s="517">
        <f>IF(استهلاك!K24=0,0,IF(استهلاك!K24=0,(استهلاك!C8+استهلاك!D8-'استهلاک ها'!I7-'استهلاک ها'!H7-'استهلاک ها'!G7-'استهلاک ها'!F7-'استهلاک ها'!E7-'استهلاک ها'!D7-'استهلاک ها'!C7)-استهلاك!O8,(استهلاك!D8+استهلاك!C8-'استهلاک ها'!C7-D7-E7-F7-G7-H7-I7)*استهلاك!J8*استهلاك!$D$20/12))</f>
        <v>0</v>
      </c>
      <c r="K7" s="517">
        <f>IF(استهلاك!L24=0,0,IF(استهلاك!L24=0,(استهلاك!C8+استهلاك!D8-'استهلاک ها'!J7-'استهلاک ها'!I7-'استهلاک ها'!H7-'استهلاک ها'!G7-'استهلاک ها'!F7-'استهلاک ها'!E7-'استهلاک ها'!D7-'استهلاک ها'!C7)-استهلاك!O8,(استهلاك!D8+استهلاك!C8-'استهلاک ها'!C7-D7-E7-F7-G7-H7-I7-J7)*استهلاك!J8*استهلاك!$D$20/12))</f>
        <v>0</v>
      </c>
      <c r="L7" s="517">
        <f>IF(استهلاك!M24=0,0,IF(استهلاك!M24=0,(استهلاك!C8+استهلاك!D8-'استهلاک ها'!K7-'استهلاک ها'!J7-'استهلاک ها'!I7-'استهلاک ها'!H7-'استهلاک ها'!G7-'استهلاک ها'!F7-'استهلاک ها'!E7-'استهلاک ها'!D7-'استهلاک ها'!C7)-استهلاك!O8,(استهلاك!D8+استهلاك!C8-'استهلاک ها'!C7-D7-E7-F7-G7-H7-I7-J7-K7)*استهلاك!J8*استهلاك!$D$20/12))</f>
        <v>0</v>
      </c>
      <c r="M7" s="517">
        <f>IF(استهلاك!M24=0,0,IF(استهلاك!N24=0,(استهلاك!C8+استهلاك!D8-'استهلاک ها'!L7-'استهلاک ها'!K7-'استهلاک ها'!J7-'استهلاک ها'!I7-'استهلاک ها'!H7-'استهلاک ها'!G7-'استهلاک ها'!F7-'استهلاک ها'!E7-'استهلاک ها'!D7-'استهلاک ها'!C7)-استهلاك!O8,(استهلاك!D8+استهلاك!C8-'استهلاک ها'!C7-D7-E7-F7-G7-H7-I7-J7-K7)*استهلاك!J8*استهلاك!$D$20/12))</f>
        <v>0</v>
      </c>
    </row>
    <row r="8" spans="2:13">
      <c r="B8" s="516" t="str">
        <f>استهلاك!B25</f>
        <v>اثاثيه و تجهيزات اداري</v>
      </c>
      <c r="C8" s="517">
        <f>IF(استهلاك!C25=0,0,استهلاك!M9*استهلاك!$C$20/12)</f>
        <v>0</v>
      </c>
      <c r="D8" s="517">
        <f>IF(استهلاك!D25=0,0,IF(استهلاك!E25=0,(استهلاك!C8+استهلاك!D8-'استهلاک ها'!C8)-استهلاك!O9,(استهلاك!D9+استهلاك!C9-'استهلاک ها'!C8)*استهلاك!J9*استهلاك!$D$20/12))</f>
        <v>2100000</v>
      </c>
      <c r="E8" s="517">
        <f>IF(استهلاك!E25=0,0,IF(استهلاك!F25=0,(استهلاك!C8+استهلاك!D8-'استهلاک ها'!D8-'استهلاک ها'!C8)-استهلاك!O9,(استهلاك!D9+استهلاك!C9-'استهلاک ها'!C8-D8)*استهلاك!J9*استهلاك!$D$20/12))</f>
        <v>1680000</v>
      </c>
      <c r="F8" s="517">
        <f>IF(استهلاك!F25=0,0,IF(استهلاك!G25=0,(استهلاك!C9+استهلاك!D9-'استهلاک ها'!E8-'استهلاک ها'!D8-'استهلاک ها'!C8)-استهلاك!O9,(استهلاك!D9+استهلاك!C9-'استهلاک ها'!C8-D8-E8)*استهلاك!J9*استهلاك!$D$20/12))</f>
        <v>1344000</v>
      </c>
      <c r="G8" s="517">
        <f>IF(استهلاك!G25=0,0,IF(استهلاك!H25=0,(استهلاك!C9+استهلاك!D9-'استهلاک ها'!F8-'استهلاک ها'!E8-'استهلاک ها'!D8-'استهلاک ها'!C8)-استهلاك!O9,(استهلاك!D9+استهلاك!C9-'استهلاک ها'!C8-D8-E8-F8)*استهلاك!J9*استهلاك!$D$20/12))</f>
        <v>5376000</v>
      </c>
      <c r="H8" s="517">
        <f>IF(استهلاك!H25=0,0,IF(استهلاك!I25=0,(استهلاك!C9+استهلاك!D9-'استهلاک ها'!G8-'استهلاک ها'!F8-'استهلاک ها'!E8-'استهلاک ها'!D8-'استهلاک ها'!C8)-استهلاك!O9,(استهلاك!D9+استهلاك!C9-'استهلاک ها'!C8-D8-E8-F8-G8)*استهلاك!J9*استهلاك!$D$20/12))</f>
        <v>0</v>
      </c>
      <c r="I8" s="517">
        <f>IF(استهلاك!I25=0,0,IF(استهلاك!J25=0,(استهلاك!C9+استهلاك!D9-'استهلاک ها'!H8-'استهلاک ها'!G8-'استهلاک ها'!F8-'استهلاک ها'!E8-'استهلاک ها'!D8-'استهلاک ها'!C8)-استهلاك!O9,(استهلاك!D9+استهلاك!C9-'استهلاک ها'!C8-D8-E8-F8-G8-H8)*استهلاك!J9*استهلاك!$D$20/12))</f>
        <v>0</v>
      </c>
      <c r="J8" s="517">
        <f>IF(استهلاك!K25=0,0,IF(استهلاك!K25=0,(استهلاك!C9+استهلاك!D9-'استهلاک ها'!I8-'استهلاک ها'!H8-'استهلاک ها'!G8-'استهلاک ها'!F8-'استهلاک ها'!E8-'استهلاک ها'!D8-'استهلاک ها'!C8)-استهلاك!O9,(استهلاك!D9+استهلاك!C9-'استهلاک ها'!C8-D8-E8-F8-G8-H8-I8)*استهلاك!J9*استهلاك!$D$20/12))</f>
        <v>0</v>
      </c>
      <c r="K8" s="517">
        <f>IF(استهلاك!L25=0,0,IF(استهلاك!L25=0,(استهلاك!C9+استهلاك!D9-'استهلاک ها'!J8-'استهلاک ها'!I8-'استهلاک ها'!H8-'استهلاک ها'!G8-'استهلاک ها'!F8-'استهلاک ها'!E8-'استهلاک ها'!D8-'استهلاک ها'!C8)-استهلاك!O9,(استهلاك!D9+استهلاك!C9-'استهلاک ها'!C8-D8-E8-F8-G8-H8-I8-J8)*استهلاك!J9*استهلاك!$D$20/12))</f>
        <v>0</v>
      </c>
      <c r="L8" s="517">
        <f>IF(استهلاك!M25=0,0,IF(استهلاك!M25=0,(استهلاك!C9+استهلاك!D9-'استهلاک ها'!K8-'استهلاک ها'!J8-'استهلاک ها'!I8-'استهلاک ها'!H8-'استهلاک ها'!G8-'استهلاک ها'!F8-'استهلاک ها'!E8-'استهلاک ها'!D8-'استهلاک ها'!C8)-استهلاك!O9,(استهلاك!D9+استهلاك!C9-'استهلاک ها'!C8-D8-E8-F8-G8-H8-I8-J8-K8)*استهلاك!J9*استهلاك!$D$20/12))</f>
        <v>0</v>
      </c>
      <c r="M8" s="517">
        <f>IF(استهلاك!M25=0,0,IF(استهلاك!N25=0,(استهلاك!C9+استهلاك!D9-'استهلاک ها'!L8-'استهلاک ها'!K8-'استهلاک ها'!J8-'استهلاک ها'!I8-'استهلاک ها'!H8-'استهلاک ها'!G8-'استهلاک ها'!F8-'استهلاک ها'!E8-'استهلاک ها'!D8-'استهلاک ها'!C8)-استهلاك!O9,(استهلاك!D9+استهلاك!C9-'استهلاک ها'!C8-D8-E8-F8-G8-H8-I8-J8-K8)*استهلاك!J9*استهلاك!$D$20/12))</f>
        <v>0</v>
      </c>
    </row>
    <row r="9" spans="2:13">
      <c r="B9" s="516" t="str">
        <f>استهلاك!B26</f>
        <v>وسائط نقليه</v>
      </c>
      <c r="C9" s="517">
        <f>IF(استهلاك!C26=0,0,استهلاك!M10*استهلاك!$C$20/12)</f>
        <v>0</v>
      </c>
      <c r="D9" s="517">
        <f>IF(استهلاك!D26=0,0,IF(استهلاك!E26=0,(استهلاك!C9+استهلاك!D9-'استهلاک ها'!C9)-استهلاك!O10,(استهلاك!D10+استهلاك!C10-'استهلاک ها'!C9)*استهلاك!J10*استهلاك!$D$20/12))</f>
        <v>700000</v>
      </c>
      <c r="E9" s="517">
        <f>IF(استهلاك!E26=0,0,IF(استهلاك!F26=0,(استهلاك!C9+استهلاك!D9-'استهلاک ها'!D9-'استهلاک ها'!C9)-استهلاك!O10,(استهلاك!D10+استهلاك!C10-'استهلاک ها'!C9-D9)*استهلاك!J10*استهلاك!$D$20/12))</f>
        <v>630000</v>
      </c>
      <c r="F9" s="517">
        <f>IF(استهلاك!F26=0,0,IF(استهلاك!G26=0,(استهلاك!C10+استهلاك!D10-'استهلاک ها'!E9-'استهلاک ها'!D9-'استهلاک ها'!C9)-استهلاك!O10,(استهلاك!D10+استهلاك!C10-'استهلاک ها'!C9-D9-E9)*استهلاك!J10*استهلاك!$D$20/12))</f>
        <v>567000</v>
      </c>
      <c r="G9" s="517">
        <f>IF(استهلاك!G26=0,0,IF(استهلاك!H26=0,(استهلاك!C10+استهلاك!D10-'استهلاک ها'!F9-'استهلاک ها'!E9-'استهلاک ها'!D9-'استهلاک ها'!C9)-استهلاك!O10,(استهلاك!D10+استهلاك!C10-'استهلاک ها'!C9-D9-E9-F9)*استهلاك!J10*استهلاك!$D$20/12))</f>
        <v>510300</v>
      </c>
      <c r="H9" s="517">
        <f>IF(استهلاك!H26=0,0,IF(استهلاك!I26=0,(استهلاك!C10+استهلاك!D10-'استهلاک ها'!G9-'استهلاک ها'!F9-'استهلاک ها'!E9-'استهلاک ها'!D9-'استهلاک ها'!C9)-استهلاك!O10,(استهلاك!D10+استهلاك!C10-'استهلاک ها'!C9-D9-E9-F9-G9)*استهلاك!J10*استهلاك!$D$20/12))</f>
        <v>459270</v>
      </c>
      <c r="I9" s="517">
        <f>IF(استهلاك!I26=0,0,IF(استهلاك!J26=0,(استهلاك!C10+استهلاك!D10-'استهلاک ها'!H9-'استهلاک ها'!G9-'استهلاک ها'!F9-'استهلاک ها'!E9-'استهلاک ها'!D9-'استهلاک ها'!C9)-استهلاك!O10,(استهلاك!D10+استهلاك!C10-'استهلاک ها'!C9-D9-E9-F9-G9-H9)*استهلاك!J10*استهلاك!$D$20/12))</f>
        <v>413343</v>
      </c>
      <c r="J9" s="517">
        <f>IF(استهلاك!K26=0,0,IF(استهلاك!K26=0,(استهلاك!C10+استهلاك!D10-'استهلاک ها'!I9-'استهلاک ها'!H9-'استهلاک ها'!G9-'استهلاک ها'!F9-'استهلاک ها'!E9-'استهلاک ها'!D9-'استهلاک ها'!C9)-استهلاك!O10,(استهلاك!D10+استهلاك!C10-'استهلاک ها'!C9-D9-E9-F9-G9-H9-I9)*استهلاك!J10*استهلاك!$D$20/12))</f>
        <v>372008.7</v>
      </c>
      <c r="K9" s="517">
        <f>IF(استهلاك!L26=0,0,IF(استهلاك!L26=0,(استهلاك!C10+استهلاك!D10-'استهلاک ها'!J9-'استهلاک ها'!I9-'استهلاک ها'!H9-'استهلاک ها'!G9-'استهلاک ها'!F9-'استهلاک ها'!E9-'استهلاک ها'!D9-'استهلاک ها'!C9)-استهلاك!O10,(استهلاك!D10+استهلاك!C10-'استهلاک ها'!C9-D9-E9-F9-G9-H9-I9-J9)*استهلاك!J10*استهلاك!$D$20/12))</f>
        <v>334807.83</v>
      </c>
      <c r="L9" s="517">
        <f>IF(استهلاك!M26=0,0,IF(استهلاك!M26=0,(استهلاك!C10+استهلاك!D10-'استهلاک ها'!K9-'استهلاک ها'!J9-'استهلاک ها'!I9-'استهلاک ها'!H9-'استهلاک ها'!G9-'استهلاک ها'!F9-'استهلاک ها'!E9-'استهلاک ها'!D9-'استهلاک ها'!C9)-استهلاك!O10,(استهلاك!D10+استهلاك!C10-'استهلاک ها'!C9-D9-E9-F9-G9-H9-I9-J9-K9)*استهلاك!J10*استهلاك!$D$20/12))</f>
        <v>0</v>
      </c>
      <c r="M9" s="517">
        <f>IF(استهلاك!M26=0,0,IF(استهلاك!N26=0,(استهلاك!C10+استهلاك!D10-'استهلاک ها'!L9-'استهلاک ها'!K9-'استهلاک ها'!J9-'استهلاک ها'!I9-'استهلاک ها'!H9-'استهلاک ها'!G9-'استهلاک ها'!F9-'استهلاک ها'!E9-'استهلاک ها'!D9-'استهلاک ها'!C9)-استهلاك!O10,(استهلاك!D10+استهلاك!C10-'استهلاک ها'!C9-D9-E9-F9-G9-H9-I9-J9-K9)*استهلاك!J10*استهلاك!$D$20/12))</f>
        <v>0</v>
      </c>
    </row>
    <row r="10" spans="2:13">
      <c r="B10" s="516" t="str">
        <f>استهلاك!B27</f>
        <v>ساير هزينه هاي بخش ثابت</v>
      </c>
      <c r="C10" s="517">
        <f>IF(استهلاك!C27=0,0,استهلاك!M11*استهلاك!$C$20/12)</f>
        <v>0</v>
      </c>
      <c r="D10" s="517">
        <f>IF(استهلاك!D27=0,0,IF(استهلاك!E27=0,(استهلاك!C10+استهلاك!D10-'استهلاک ها'!C10)-استهلاك!O11,(استهلاك!D11+استهلاك!C11-'استهلاک ها'!C10)*استهلاك!J11*استهلاك!$D$20/12))</f>
        <v>0</v>
      </c>
      <c r="E10" s="517">
        <f>IF(استهلاك!E27=0,0,IF(استهلاك!F27=0,(استهلاك!C10+استهلاك!D10-'استهلاک ها'!D10-'استهلاک ها'!C10)-استهلاك!O11,(استهلاك!D11+استهلاك!C11-'استهلاک ها'!C10-D10)*استهلاك!J11*استهلاك!$D$20/12))</f>
        <v>0</v>
      </c>
      <c r="F10" s="517">
        <f>IF(استهلاك!F27=0,0,IF(استهلاك!G27=0,(استهلاك!C11+استهلاك!D11-'استهلاک ها'!E10-'استهلاک ها'!D10-'استهلاک ها'!C10)-استهلاك!O11,(استهلاك!D11+استهلاك!C11-'استهلاک ها'!C10-D10-E10)*استهلاك!J11*استهلاك!$D$20/12))</f>
        <v>0</v>
      </c>
      <c r="G10" s="517">
        <f>IF(استهلاك!G27=0,0,IF(استهلاك!H27=0,(استهلاك!C11+استهلاك!D11-'استهلاک ها'!F10-'استهلاک ها'!E10-'استهلاک ها'!D10-'استهلاک ها'!C10)-استهلاك!O11,(استهلاك!D11+استهلاك!C11-'استهلاک ها'!C10-D10-E10-F10)*استهلاك!J11*استهلاك!$D$20/12))</f>
        <v>0</v>
      </c>
      <c r="H10" s="517">
        <f>IF(استهلاك!H27=0,0,IF(استهلاك!I27=0,(استهلاك!C11+استهلاك!D11-'استهلاک ها'!G10-'استهلاک ها'!F10-'استهلاک ها'!E10-'استهلاک ها'!D10-'استهلاک ها'!C10)-استهلاك!O11,(استهلاك!D11+استهلاك!C11-'استهلاک ها'!C10-D10-E10-F10-G10)*استهلاك!J11*استهلاك!$D$20/12))</f>
        <v>0</v>
      </c>
      <c r="I10" s="517">
        <f>IF(استهلاك!I27=0,0,IF(استهلاك!J27=0,(استهلاك!C11+استهلاك!D11-'استهلاک ها'!H10-'استهلاک ها'!G10-'استهلاک ها'!F10-'استهلاک ها'!E10-'استهلاک ها'!D10-'استهلاک ها'!C10)-استهلاك!O11,(استهلاك!D11+استهلاك!C11-'استهلاک ها'!C10-D10-E10-F10-G10-H10)*استهلاك!J11*استهلاك!$D$20/12))</f>
        <v>0</v>
      </c>
      <c r="J10" s="517">
        <f>IF(استهلاك!K27=0,0,IF(استهلاك!K27=0,(استهلاك!C11+استهلاك!D11-'استهلاک ها'!I10-'استهلاک ها'!H10-'استهلاک ها'!G10-'استهلاک ها'!F10-'استهلاک ها'!E10-'استهلاک ها'!D10-'استهلاک ها'!C10)-استهلاك!O11,(استهلاك!D11+استهلاك!C11-'استهلاک ها'!C10-D10-E10-F10-G10-H10-I10)*استهلاك!J11*استهلاك!$D$20/12))</f>
        <v>0</v>
      </c>
      <c r="K10" s="517">
        <f>IF(استهلاك!L27=0,0,IF(استهلاك!L27=0,(استهلاك!C11+استهلاك!D11-'استهلاک ها'!J10-'استهلاک ها'!I10-'استهلاک ها'!H10-'استهلاک ها'!G10-'استهلاک ها'!F10-'استهلاک ها'!E10-'استهلاک ها'!D10-'استهلاک ها'!C10)-استهلاك!O11,(استهلاك!D11+استهلاك!C11-'استهلاک ها'!C10-D10-E10-F10-G10-H10-I10-J10)*استهلاك!J11*استهلاك!$D$20/12))</f>
        <v>0</v>
      </c>
      <c r="L10" s="517">
        <f>IF(استهلاك!M27=0,0,IF(استهلاك!M27=0,(استهلاك!C11+استهلاك!D11-'استهلاک ها'!K10-'استهلاک ها'!J10-'استهلاک ها'!I10-'استهلاک ها'!H10-'استهلاک ها'!G10-'استهلاک ها'!F10-'استهلاک ها'!E10-'استهلاک ها'!D10-'استهلاک ها'!C10)-استهلاك!O11,(استهلاك!D11+استهلاك!C11-'استهلاک ها'!C10-D10-E10-F10-G10-H10-I10-J10-K10)*استهلاك!J11*استهلاك!$D$20/12))</f>
        <v>0</v>
      </c>
      <c r="M10" s="517">
        <f>IF(استهلاك!M27=0,0,IF(استهلاك!N27=0,(استهلاك!C11+استهلاك!D11-'استهلاک ها'!L10-'استهلاک ها'!K10-'استهلاک ها'!J10-'استهلاک ها'!I10-'استهلاک ها'!H10-'استهلاک ها'!G10-'استهلاک ها'!F10-'استهلاک ها'!E10-'استهلاک ها'!D10-'استهلاک ها'!C10)-استهلاك!O11,(استهلاك!D11+استهلاك!C11-'استهلاک ها'!C10-D10-E10-F10-G10-H10-I10-J10-K10)*استهلاك!J11*استهلاك!$D$20/12))</f>
        <v>0</v>
      </c>
    </row>
    <row r="11" spans="2:13">
      <c r="B11" s="516" t="str">
        <f>استهلاك!B28</f>
        <v>هزينه‌هاي پيش‌بيني‌نشده‌</v>
      </c>
      <c r="C11" s="517">
        <f>IF(استهلاك!C28=0,0,استهلاك!M12*استهلاك!$C$20/12)</f>
        <v>0</v>
      </c>
      <c r="D11" s="517">
        <f>IF(استهلاك!D28=0,0,IF(استهلاك!E28=0,(استهلاك!C11+استهلاك!D11-'استهلاک ها'!C11)-استهلاك!O12,(استهلاك!D12+استهلاك!C12-'استهلاک ها'!C11)*استهلاك!J12*استهلاك!$D$20/12))</f>
        <v>466500</v>
      </c>
      <c r="E11" s="517">
        <f>IF(استهلاك!E28=0,0,IF(استهلاك!F28=0,(استهلاك!C11+استهلاك!D11-'استهلاک ها'!D11-'استهلاک ها'!C11)-استهلاك!O12,(استهلاك!D12+استهلاك!C12-'استهلاک ها'!C11-D11)*استهلاك!J12*استهلاك!$D$20/12))</f>
        <v>419850</v>
      </c>
      <c r="F11" s="517">
        <f>IF(استهلاك!F28=0,0,IF(استهلاك!G28=0,(استهلاك!C12+استهلاك!D12-'استهلاک ها'!E11-'استهلاک ها'!D11-'استهلاک ها'!C11)-استهلاك!O12,(استهلاك!D12+استهلاك!C12-'استهلاک ها'!C11-D11-E11)*استهلاك!J12*استهلاك!$D$20/12))</f>
        <v>377865</v>
      </c>
      <c r="G11" s="517">
        <f>IF(استهلاك!G28=0,0,IF(استهلاك!H28=0,(استهلاك!C12+استهلاك!D12-'استهلاک ها'!F11-'استهلاک ها'!E11-'استهلاک ها'!D11-'استهلاک ها'!C11)-استهلاك!O12,(استهلاك!D12+استهلاك!C12-'استهلاک ها'!C11-D11-E11-F11)*استهلاك!J12*استهلاك!$D$20/12))</f>
        <v>340078.5</v>
      </c>
      <c r="H11" s="517">
        <f>IF(استهلاك!H28=0,0,IF(استهلاك!I28=0,(استهلاك!C12+استهلاك!D12-'استهلاک ها'!G11-'استهلاک ها'!F11-'استهلاک ها'!E11-'استهلاک ها'!D11-'استهلاک ها'!C11)-استهلاك!O12,(استهلاك!D12+استهلاك!C12-'استهلاک ها'!C11-D11-E11-F11-G11)*استهلاك!J12*استهلاك!$D$20/12))</f>
        <v>306070.65000000002</v>
      </c>
      <c r="I11" s="517">
        <f>IF(استهلاك!I28=0,0,IF(استهلاك!J28=0,(استهلاك!C12+استهلاك!D12-'استهلاک ها'!H11-'استهلاک ها'!G11-'استهلاک ها'!F11-'استهلاک ها'!E11-'استهلاک ها'!D11-'استهلاک ها'!C11)-استهلاك!O12,(استهلاك!D12+استهلاك!C12-'استهلاک ها'!C11-D11-E11-F11-G11-H11)*استهلاك!J12*استهلاك!$D$20/12))</f>
        <v>275463.58500000002</v>
      </c>
      <c r="J11" s="517">
        <f>IF(استهلاك!K28=0,0,IF(استهلاك!K28=0,(استهلاك!C12+استهلاك!D12-'استهلاک ها'!I11-'استهلاک ها'!H11-'استهلاک ها'!G11-'استهلاک ها'!F11-'استهلاک ها'!E11-'استهلاک ها'!D11-'استهلاک ها'!C11)-استهلاك!O12,(استهلاك!D12+استهلاك!C12-'استهلاک ها'!C11-D11-E11-F11-G11-H11-I11)*استهلاك!J12*استهلاك!$D$20/12))</f>
        <v>247917.22650000002</v>
      </c>
      <c r="K11" s="517">
        <f>IF(استهلاك!L28=0,0,IF(استهلاك!L28=0,(استهلاك!C12+استهلاك!D12-'استهلاک ها'!J11-'استهلاک ها'!I11-'استهلاک ها'!H11-'استهلاک ها'!G11-'استهلاک ها'!F11-'استهلاک ها'!E11-'استهلاک ها'!D11-'استهلاک ها'!C11)-استهلاك!O12,(استهلاك!D12+استهلاك!C12-'استهلاک ها'!C11-D11-E11-F11-G11-H11-I11-J11)*استهلاك!J12*استهلاك!$D$20/12))</f>
        <v>223125.50385000007</v>
      </c>
      <c r="L11" s="517">
        <f>IF(استهلاك!M28=0,0,IF(استهلاك!M28=0,(استهلاك!C12+استهلاك!D12-'استهلاک ها'!K11-'استهلاک ها'!J11-'استهلاک ها'!I11-'استهلاک ها'!H11-'استهلاک ها'!G11-'استهلاک ها'!F11-'استهلاک ها'!E11-'استهلاک ها'!D11-'استهلاک ها'!C11)-استهلاك!O12,(استهلاك!D12+استهلاك!C12-'استهلاک ها'!C11-D11-E11-F11-G11-H11-I11-J11-K11)*استهلاك!J12*استهلاك!$D$20/12))</f>
        <v>0</v>
      </c>
      <c r="M11" s="517">
        <f>IF(استهلاك!M28=0,0,IF(استهلاك!N28=0,(استهلاك!C12+استهلاك!D12-'استهلاک ها'!L11-'استهلاک ها'!K11-'استهلاک ها'!J11-'استهلاک ها'!I11-'استهلاک ها'!H11-'استهلاک ها'!G11-'استهلاک ها'!F11-'استهلاک ها'!E11-'استهلاک ها'!D11-'استهلاک ها'!C11)-استهلاك!O12,(استهلاك!D12+استهلاك!C12-'استهلاک ها'!C11-D11-E11-F11-G11-H11-I11-J11-K11)*استهلاك!J12*استهلاك!$D$20/12))</f>
        <v>0</v>
      </c>
    </row>
    <row r="12" spans="2:13">
      <c r="B12" s="516" t="str">
        <f>استهلاك!B29</f>
        <v>هزينه هاي قبل از بهره برداري</v>
      </c>
      <c r="C12" s="517">
        <f>IF(استهلاك!C29=0,0,استهلاك!M13*استهلاك!$C$20/12)</f>
        <v>0</v>
      </c>
      <c r="D12" s="517">
        <f>IF(استهلاك!D29=0,0,IF(استهلاك!E29=0,(استهلاك!C12+استهلاك!D12-'استهلاک ها'!C12)-استهلاك!O13,(استهلاك!D13+استهلاك!C13-'استهلاک ها'!C12)*استهلاك!J13*استهلاك!$D$20/12))</f>
        <v>255000281.80039141</v>
      </c>
      <c r="E12" s="517">
        <f>IF(استهلاك!E29=0,0,IF(استهلاك!F29=0,(استهلاك!C12+استهلاك!D12-'استهلاک ها'!D12-'استهلاک ها'!C12)-استهلاك!O13,(استهلاك!D13+استهلاك!C13-'استهلاک ها'!C12-D12)*استهلاك!J13*استهلاك!$D$20/12))</f>
        <v>204000225.4403131</v>
      </c>
      <c r="F12" s="517">
        <f>IF(استهلاك!F29=0,0,IF(استهلاك!G29=0,(استهلاك!C13+استهلاك!D13-'استهلاک ها'!E12-'استهلاک ها'!D12-'استهلاک ها'!C12)-استهلاك!O13,(استهلاك!D13+استهلاك!C13-'استهلاک ها'!C12-D12-E12)*استهلاك!J13*استهلاك!$D$20/12))</f>
        <v>163200180.35225049</v>
      </c>
      <c r="G12" s="517">
        <f>IF(استهلاك!G29=0,0,IF(استهلاك!H29=0,(استهلاك!C13+استهلاك!D13-'استهلاک ها'!F12-'استهلاک ها'!E12-'استهلاک ها'!D12-'استهلاک ها'!C12)-استهلاك!O13,(استهلاك!D13+استهلاك!C13-'استهلاک ها'!C12-D12-E12-F12)*استهلاك!J13*استهلاك!$D$20/12))</f>
        <v>652800721.40900183</v>
      </c>
      <c r="H12" s="517">
        <f>IF(استهلاك!H29=0,0,IF(استهلاك!I29=0,(استهلاك!C13+استهلاك!D13-'استهلاک ها'!G12-'استهلاک ها'!F12-'استهلاک ها'!E12-'استهلاک ها'!D12-'استهلاک ها'!C12)-استهلاك!O13,(استهلاك!D13+استهلاك!C13-'استهلاک ها'!C12-D12-E12-F12-G12)*استهلاك!J13*استهلاك!$D$20/12))</f>
        <v>0</v>
      </c>
      <c r="I12" s="517">
        <f>IF(استهلاك!I29=0,0,IF(استهلاك!J29=0,(استهلاك!C13+استهلاك!D13-'استهلاک ها'!H12-'استهلاک ها'!G12-'استهلاک ها'!F12-'استهلاک ها'!E12-'استهلاک ها'!D12-'استهلاک ها'!C12)-استهلاك!O13,(استهلاك!D13+استهلاك!C13-'استهلاک ها'!C12-D12-E12-F12-G12-H12)*استهلاك!J13*استهلاك!$D$20/12))</f>
        <v>0</v>
      </c>
      <c r="J12" s="517">
        <f>IF(استهلاك!K29=0,0,IF(استهلاك!K29=0,(استهلاك!C13+استهلاك!D13-'استهلاک ها'!I12-'استهلاک ها'!H12-'استهلاک ها'!G12-'استهلاک ها'!F12-'استهلاک ها'!E12-'استهلاک ها'!D12-'استهلاک ها'!C12)-استهلاك!O13,(استهلاك!D13+استهلاك!C13-'استهلاک ها'!C12-D12-E12-F12-G12-H12-I12)*استهلاك!J13*استهلاك!$D$20/12))</f>
        <v>0</v>
      </c>
      <c r="K12" s="517">
        <f>IF(استهلاك!L29=0,0,IF(استهلاك!L29=0,(استهلاك!C13+استهلاك!D13-'استهلاک ها'!J12-'استهلاک ها'!I12-'استهلاک ها'!H12-'استهلاک ها'!G12-'استهلاک ها'!F12-'استهلاک ها'!E12-'استهلاک ها'!D12-'استهلاک ها'!C12)-استهلاك!O13,(استهلاك!D13+استهلاك!C13-'استهلاک ها'!C12-D12-E12-F12-G12-H12-I12-J12)*استهلاك!J13*استهلاك!$D$20/12))</f>
        <v>0</v>
      </c>
      <c r="L12" s="517">
        <f>IF(استهلاك!M29=0,0,IF(استهلاك!M29=0,(استهلاك!C13+استهلاك!D13-'استهلاک ها'!K12-'استهلاک ها'!J12-'استهلاک ها'!I12-'استهلاک ها'!H12-'استهلاک ها'!G12-'استهلاک ها'!F12-'استهلاک ها'!E12-'استهلاک ها'!D12-'استهلاک ها'!C12)-استهلاك!O13,(استهلاك!D13+استهلاك!C13-'استهلاک ها'!C12-D12-E12-F12-G12-H12-I12-J12-K12)*استهلاك!J13*استهلاك!$D$20/12))</f>
        <v>0</v>
      </c>
      <c r="M12" s="517">
        <f>IF(استهلاك!M29=0,0,IF(استهلاك!N29=0,(استهلاك!C13+استهلاك!D13-'استهلاک ها'!L12-'استهلاک ها'!K12-'استهلاک ها'!J12-'استهلاک ها'!I12-'استهلاک ها'!H12-'استهلاک ها'!G12-'استهلاک ها'!F12-'استهلاک ها'!E12-'استهلاک ها'!D12-'استهلاک ها'!C12)-استهلاك!O13,(استهلاك!D13+استهلاك!C13-'استهلاک ها'!C12-D12-E12-F12-G12-H12-I12-J12-K12)*استهلاك!J13*استهلاك!$D$20/12))</f>
        <v>0</v>
      </c>
    </row>
    <row r="13" spans="2:13" s="518" customFormat="1" ht="19.5" customHeight="1">
      <c r="B13" s="518" t="s">
        <v>8</v>
      </c>
      <c r="C13" s="519">
        <f>SUM(C4:C11)</f>
        <v>0</v>
      </c>
      <c r="D13" s="519">
        <f t="shared" ref="D13:L13" si="0">SUM(D4:D11)</f>
        <v>9006500</v>
      </c>
      <c r="E13" s="519">
        <f t="shared" si="0"/>
        <v>8068050.0000000009</v>
      </c>
      <c r="F13" s="519">
        <f t="shared" si="0"/>
        <v>7253391.0000000009</v>
      </c>
      <c r="G13" s="519">
        <f t="shared" si="0"/>
        <v>10843387.68</v>
      </c>
      <c r="H13" s="519">
        <f t="shared" si="0"/>
        <v>5059159.1874000011</v>
      </c>
      <c r="I13" s="519">
        <f t="shared" si="0"/>
        <v>4682057.8247819999</v>
      </c>
      <c r="J13" s="519">
        <f t="shared" si="0"/>
        <v>4333649.579497261</v>
      </c>
      <c r="K13" s="519">
        <f t="shared" si="0"/>
        <v>4011696.3311374523</v>
      </c>
      <c r="L13" s="519">
        <f t="shared" si="0"/>
        <v>3211999.5874773306</v>
      </c>
      <c r="M13" s="519">
        <f>SUM(M4:M11)</f>
        <v>42673708.805055961</v>
      </c>
    </row>
  </sheetData>
  <sheetProtection password="CC98" sheet="1" objects="1" scenarios="1"/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"/>
  <dimension ref="A1:O31"/>
  <sheetViews>
    <sheetView rightToLeft="1" view="pageBreakPreview" zoomScale="85" zoomScaleNormal="100" workbookViewId="0">
      <selection activeCell="L63" sqref="L63"/>
    </sheetView>
  </sheetViews>
  <sheetFormatPr defaultColWidth="9.109375" defaultRowHeight="17.399999999999999"/>
  <cols>
    <col min="1" max="1" width="3.33203125" style="249" customWidth="1"/>
    <col min="2" max="2" width="23.6640625" style="249" bestFit="1" customWidth="1"/>
    <col min="3" max="3" width="12.21875" style="249" bestFit="1" customWidth="1"/>
    <col min="4" max="4" width="13.44140625" style="249" bestFit="1" customWidth="1"/>
    <col min="5" max="5" width="21.44140625" style="249" bestFit="1" customWidth="1"/>
    <col min="6" max="6" width="12" style="249" bestFit="1" customWidth="1"/>
    <col min="7" max="7" width="20.88671875" style="249" bestFit="1" customWidth="1"/>
    <col min="8" max="8" width="22.44140625" style="249" bestFit="1" customWidth="1"/>
    <col min="9" max="9" width="10.88671875" style="249" bestFit="1" customWidth="1"/>
    <col min="10" max="10" width="10.6640625" style="249" bestFit="1" customWidth="1"/>
    <col min="11" max="11" width="20.88671875" style="249" bestFit="1" customWidth="1"/>
    <col min="12" max="13" width="10.6640625" style="249" bestFit="1" customWidth="1"/>
    <col min="14" max="15" width="9.109375" style="249"/>
    <col min="16" max="16" width="9.5546875" style="249" bestFit="1" customWidth="1"/>
    <col min="17" max="16384" width="9.109375" style="249"/>
  </cols>
  <sheetData>
    <row r="1" spans="1:15" ht="24.9" customHeight="1" thickBot="1">
      <c r="A1" s="896" t="s">
        <v>136</v>
      </c>
      <c r="B1" s="896"/>
      <c r="C1" s="896"/>
      <c r="D1" s="896"/>
      <c r="E1" s="896"/>
      <c r="F1" s="896"/>
      <c r="G1" s="896"/>
      <c r="H1" s="896"/>
      <c r="I1" s="896"/>
      <c r="J1" s="896"/>
    </row>
    <row r="2" spans="1:15" ht="39.75" customHeight="1">
      <c r="A2" s="920" t="s">
        <v>6</v>
      </c>
      <c r="B2" s="915" t="s">
        <v>7</v>
      </c>
      <c r="C2" s="918" t="s">
        <v>478</v>
      </c>
      <c r="D2" s="918"/>
      <c r="E2" s="918" t="s">
        <v>547</v>
      </c>
      <c r="F2" s="1031" t="s">
        <v>477</v>
      </c>
      <c r="G2" s="915" t="s">
        <v>260</v>
      </c>
      <c r="H2" s="1037" t="s">
        <v>548</v>
      </c>
      <c r="I2" s="918" t="s">
        <v>13</v>
      </c>
      <c r="J2" s="1031" t="s">
        <v>84</v>
      </c>
      <c r="K2" s="1040" t="s">
        <v>8</v>
      </c>
      <c r="L2" s="645"/>
      <c r="M2" s="645"/>
      <c r="N2" s="645"/>
      <c r="O2" s="645"/>
    </row>
    <row r="3" spans="1:15" ht="24.9" customHeight="1">
      <c r="A3" s="921"/>
      <c r="B3" s="906"/>
      <c r="C3" s="53" t="s">
        <v>101</v>
      </c>
      <c r="D3" s="45" t="s">
        <v>26</v>
      </c>
      <c r="E3" s="919"/>
      <c r="F3" s="907"/>
      <c r="G3" s="906"/>
      <c r="H3" s="1038"/>
      <c r="I3" s="919"/>
      <c r="J3" s="907"/>
      <c r="K3" s="1041"/>
      <c r="L3" s="646"/>
      <c r="M3" s="646"/>
      <c r="N3" s="645"/>
      <c r="O3" s="642"/>
    </row>
    <row r="4" spans="1:15" ht="24.9" customHeight="1">
      <c r="A4" s="177">
        <v>1</v>
      </c>
      <c r="B4" s="178" t="s">
        <v>480</v>
      </c>
      <c r="C4" s="652">
        <f>'سرمايه‌‌گذاري طرح'!D4</f>
        <v>0</v>
      </c>
      <c r="D4" s="652">
        <f>'سرمايه‌‌گذاري طرح'!E4</f>
        <v>0</v>
      </c>
      <c r="E4" s="700">
        <f>D4+C4</f>
        <v>0</v>
      </c>
      <c r="F4" s="698">
        <v>1</v>
      </c>
      <c r="G4" s="653">
        <f>F4*E4</f>
        <v>0</v>
      </c>
      <c r="H4" s="700">
        <f>E4-G4</f>
        <v>0</v>
      </c>
      <c r="I4" s="652">
        <f>IF(J4=0,0,1/J4)</f>
        <v>0</v>
      </c>
      <c r="J4" s="698">
        <v>0</v>
      </c>
      <c r="K4" s="697">
        <f t="shared" ref="K4:K13" si="0">J4*H4</f>
        <v>0</v>
      </c>
      <c r="L4" s="643"/>
      <c r="M4" s="643"/>
      <c r="N4" s="644"/>
      <c r="O4" s="643"/>
    </row>
    <row r="5" spans="1:15" ht="20.100000000000001" customHeight="1">
      <c r="A5" s="177">
        <v>1</v>
      </c>
      <c r="B5" s="178" t="str">
        <f>'سرمايه‌‌گذاري طرح'!B5</f>
        <v>محوطه سازي</v>
      </c>
      <c r="C5" s="652">
        <f>'سرمايه‌‌گذاري طرح'!D5</f>
        <v>0</v>
      </c>
      <c r="D5" s="652">
        <f>'سرمايه‌‌گذاري طرح'!E5</f>
        <v>0</v>
      </c>
      <c r="E5" s="700">
        <f t="shared" ref="E5:E13" si="1">D5+C5</f>
        <v>0</v>
      </c>
      <c r="F5" s="695">
        <v>0.1</v>
      </c>
      <c r="G5" s="653">
        <f t="shared" ref="G5:G13" si="2">F5*E5</f>
        <v>0</v>
      </c>
      <c r="H5" s="700">
        <f t="shared" ref="H5:H13" si="3">E5-G5</f>
        <v>0</v>
      </c>
      <c r="I5" s="652">
        <f>IF(J5=0,0,1/J5)</f>
        <v>14.285714285714285</v>
      </c>
      <c r="J5" s="695">
        <v>7.0000000000000007E-2</v>
      </c>
      <c r="K5" s="697">
        <f t="shared" si="0"/>
        <v>0</v>
      </c>
      <c r="L5" s="643"/>
      <c r="M5" s="643"/>
      <c r="N5" s="644"/>
      <c r="O5" s="643"/>
    </row>
    <row r="6" spans="1:15" ht="20.100000000000001" customHeight="1">
      <c r="A6" s="177">
        <v>1</v>
      </c>
      <c r="B6" s="178" t="str">
        <f>'سرمايه‌‌گذاري طرح'!B6</f>
        <v>ساختمان توليدي و اداري</v>
      </c>
      <c r="C6" s="652">
        <f>'سرمايه‌‌گذاري طرح'!D6</f>
        <v>57000000</v>
      </c>
      <c r="D6" s="652">
        <f>'سرمايه‌‌گذاري طرح'!E6</f>
        <v>25000000</v>
      </c>
      <c r="E6" s="700">
        <f t="shared" si="1"/>
        <v>82000000</v>
      </c>
      <c r="F6" s="695">
        <v>0.1</v>
      </c>
      <c r="G6" s="653">
        <f t="shared" si="2"/>
        <v>8200000</v>
      </c>
      <c r="H6" s="700">
        <f t="shared" si="3"/>
        <v>73800000</v>
      </c>
      <c r="I6" s="652">
        <f>IF(J6=0,0,1/J6)</f>
        <v>14.285714285714285</v>
      </c>
      <c r="J6" s="695">
        <v>7.0000000000000007E-2</v>
      </c>
      <c r="K6" s="697">
        <f t="shared" si="0"/>
        <v>5166000.0000000009</v>
      </c>
      <c r="L6" s="643"/>
      <c r="M6" s="643"/>
      <c r="N6" s="644"/>
      <c r="O6" s="643"/>
    </row>
    <row r="7" spans="1:15" ht="20.100000000000001" customHeight="1">
      <c r="A7" s="177">
        <v>1</v>
      </c>
      <c r="B7" s="178" t="str">
        <f>'سرمايه‌‌گذاري طرح'!B7</f>
        <v>تاسيسات و تجهيزات عمومي</v>
      </c>
      <c r="C7" s="652">
        <f>'سرمايه‌‌گذاري طرح'!D7</f>
        <v>0</v>
      </c>
      <c r="D7" s="652">
        <f>'سرمايه‌‌گذاري طرح'!E7</f>
        <v>0</v>
      </c>
      <c r="E7" s="700">
        <f t="shared" si="1"/>
        <v>0</v>
      </c>
      <c r="F7" s="695">
        <v>0.1</v>
      </c>
      <c r="G7" s="653">
        <f t="shared" si="2"/>
        <v>0</v>
      </c>
      <c r="H7" s="700">
        <f t="shared" si="3"/>
        <v>0</v>
      </c>
      <c r="I7" s="652">
        <f>IF(J7=0,0,1/J7)</f>
        <v>10</v>
      </c>
      <c r="J7" s="695">
        <v>0.1</v>
      </c>
      <c r="K7" s="697">
        <f t="shared" si="0"/>
        <v>0</v>
      </c>
      <c r="L7" s="643"/>
      <c r="M7" s="643"/>
      <c r="N7" s="644"/>
      <c r="O7" s="643"/>
    </row>
    <row r="8" spans="1:15" ht="20.100000000000001" customHeight="1">
      <c r="A8" s="177">
        <v>1</v>
      </c>
      <c r="B8" s="178" t="str">
        <f>'سرمايه‌‌گذاري طرح'!B8</f>
        <v xml:space="preserve">ماشين آلات و تجهيزات </v>
      </c>
      <c r="C8" s="652">
        <f>'سرمايه‌‌گذاري طرح'!D8</f>
        <v>0</v>
      </c>
      <c r="D8" s="652">
        <f>'سرمايه‌‌گذاري طرح'!E8</f>
        <v>0</v>
      </c>
      <c r="E8" s="700">
        <f t="shared" si="1"/>
        <v>0</v>
      </c>
      <c r="F8" s="695">
        <v>0.1</v>
      </c>
      <c r="G8" s="653">
        <f t="shared" si="2"/>
        <v>0</v>
      </c>
      <c r="H8" s="700">
        <f t="shared" si="3"/>
        <v>0</v>
      </c>
      <c r="I8" s="652">
        <f t="shared" ref="I8:I13" si="4">IF(J8=0,0,1/J8)</f>
        <v>10</v>
      </c>
      <c r="J8" s="695">
        <v>0.1</v>
      </c>
      <c r="K8" s="697">
        <f t="shared" si="0"/>
        <v>0</v>
      </c>
      <c r="L8" s="643"/>
      <c r="M8" s="643"/>
      <c r="N8" s="644"/>
      <c r="O8" s="643"/>
    </row>
    <row r="9" spans="1:15" ht="20.100000000000001" customHeight="1">
      <c r="A9" s="177">
        <v>1</v>
      </c>
      <c r="B9" s="178" t="str">
        <f>'سرمايه‌‌گذاري طرح'!B9</f>
        <v>اثاثيه و تجهيزات اداري</v>
      </c>
      <c r="C9" s="652">
        <f>'سرمايه‌‌گذاري طرح'!D9</f>
        <v>8400000</v>
      </c>
      <c r="D9" s="652">
        <f>'سرمايه‌‌گذاري طرح'!E9</f>
        <v>2100000</v>
      </c>
      <c r="E9" s="700">
        <f t="shared" si="1"/>
        <v>10500000</v>
      </c>
      <c r="F9" s="695">
        <v>0.1</v>
      </c>
      <c r="G9" s="653">
        <f t="shared" si="2"/>
        <v>1050000</v>
      </c>
      <c r="H9" s="700">
        <f t="shared" si="3"/>
        <v>9450000</v>
      </c>
      <c r="I9" s="652">
        <f t="shared" si="4"/>
        <v>5</v>
      </c>
      <c r="J9" s="695">
        <v>0.2</v>
      </c>
      <c r="K9" s="697">
        <f t="shared" si="0"/>
        <v>1890000</v>
      </c>
      <c r="L9" s="643"/>
      <c r="M9" s="643"/>
      <c r="N9" s="644"/>
      <c r="O9" s="643"/>
    </row>
    <row r="10" spans="1:15" ht="20.100000000000001" customHeight="1">
      <c r="A10" s="177">
        <v>1</v>
      </c>
      <c r="B10" s="178" t="str">
        <f>'سرمايه‌‌گذاري طرح'!B10</f>
        <v>وسائط نقليه</v>
      </c>
      <c r="C10" s="652">
        <f>'سرمايه‌‌گذاري طرح'!D10</f>
        <v>7000000</v>
      </c>
      <c r="D10" s="652">
        <f>'سرمايه‌‌گذاري طرح'!E10</f>
        <v>0</v>
      </c>
      <c r="E10" s="700">
        <f t="shared" si="1"/>
        <v>7000000</v>
      </c>
      <c r="F10" s="695">
        <v>0.1</v>
      </c>
      <c r="G10" s="653">
        <f t="shared" si="2"/>
        <v>700000</v>
      </c>
      <c r="H10" s="700">
        <f t="shared" si="3"/>
        <v>6300000</v>
      </c>
      <c r="I10" s="652">
        <f t="shared" si="4"/>
        <v>10</v>
      </c>
      <c r="J10" s="695">
        <v>0.1</v>
      </c>
      <c r="K10" s="697">
        <f t="shared" si="0"/>
        <v>630000</v>
      </c>
      <c r="L10" s="643"/>
      <c r="M10" s="643"/>
      <c r="N10" s="644"/>
      <c r="O10" s="643"/>
    </row>
    <row r="11" spans="1:15" ht="20.100000000000001" customHeight="1">
      <c r="A11" s="177">
        <v>1</v>
      </c>
      <c r="B11" s="178" t="str">
        <f>'سرمايه‌‌گذاري طرح'!B11</f>
        <v>ساير هزينه هاي بخش ثابت</v>
      </c>
      <c r="C11" s="652">
        <f>'سرمايه‌‌گذاري طرح'!D11</f>
        <v>480000</v>
      </c>
      <c r="D11" s="652">
        <f>'سرمايه‌‌گذاري طرح'!E11</f>
        <v>91200000</v>
      </c>
      <c r="E11" s="700">
        <f t="shared" si="1"/>
        <v>91680000</v>
      </c>
      <c r="F11" s="695">
        <v>0</v>
      </c>
      <c r="G11" s="653">
        <f t="shared" si="2"/>
        <v>0</v>
      </c>
      <c r="H11" s="700">
        <f t="shared" si="3"/>
        <v>91680000</v>
      </c>
      <c r="I11" s="652">
        <f t="shared" si="4"/>
        <v>0</v>
      </c>
      <c r="J11" s="695">
        <v>0</v>
      </c>
      <c r="K11" s="697">
        <f t="shared" si="0"/>
        <v>0</v>
      </c>
      <c r="L11" s="643"/>
      <c r="M11" s="643"/>
      <c r="N11" s="644"/>
      <c r="O11" s="643"/>
    </row>
    <row r="12" spans="1:15" ht="20.100000000000001" customHeight="1">
      <c r="A12" s="177">
        <v>1</v>
      </c>
      <c r="B12" s="178" t="str">
        <f>'سرمايه‌‌گذاري طرح'!B12</f>
        <v>هزينه‌هاي پيش‌بيني‌نشده‌</v>
      </c>
      <c r="C12" s="652">
        <f>'سرمايه‌‌گذاري طرح'!D12</f>
        <v>0</v>
      </c>
      <c r="D12" s="652">
        <f>'سرمايه‌‌گذاري طرح'!E12</f>
        <v>4665000</v>
      </c>
      <c r="E12" s="700">
        <f t="shared" si="1"/>
        <v>4665000</v>
      </c>
      <c r="F12" s="695">
        <v>0.1</v>
      </c>
      <c r="G12" s="653">
        <f t="shared" si="2"/>
        <v>466500</v>
      </c>
      <c r="H12" s="700">
        <f t="shared" si="3"/>
        <v>4198500</v>
      </c>
      <c r="I12" s="652">
        <f t="shared" si="4"/>
        <v>10</v>
      </c>
      <c r="J12" s="695">
        <v>0.1</v>
      </c>
      <c r="K12" s="697">
        <f t="shared" si="0"/>
        <v>419850</v>
      </c>
      <c r="L12" s="643"/>
      <c r="M12" s="643"/>
      <c r="N12" s="644"/>
      <c r="O12" s="643"/>
    </row>
    <row r="13" spans="1:15" ht="20.100000000000001" customHeight="1">
      <c r="A13" s="177">
        <v>1</v>
      </c>
      <c r="B13" s="178" t="s">
        <v>44</v>
      </c>
      <c r="C13" s="652">
        <f>'سرمايه‌‌گذاري طرح'!D14</f>
        <v>0</v>
      </c>
      <c r="D13" s="652">
        <f>'سرمايه‌‌گذاري طرح'!E14</f>
        <v>1275001409.0019569</v>
      </c>
      <c r="E13" s="700">
        <f t="shared" si="1"/>
        <v>1275001409.0019569</v>
      </c>
      <c r="F13" s="695">
        <v>0.1</v>
      </c>
      <c r="G13" s="653">
        <f t="shared" si="2"/>
        <v>127500140.9001957</v>
      </c>
      <c r="H13" s="700">
        <f t="shared" si="3"/>
        <v>1147501268.1017613</v>
      </c>
      <c r="I13" s="652">
        <f t="shared" si="4"/>
        <v>5</v>
      </c>
      <c r="J13" s="695">
        <v>0.2</v>
      </c>
      <c r="K13" s="697">
        <f t="shared" si="0"/>
        <v>229500253.62035227</v>
      </c>
      <c r="L13" s="643"/>
      <c r="M13" s="643"/>
      <c r="N13" s="644"/>
      <c r="O13" s="643"/>
    </row>
    <row r="14" spans="1:15" ht="24.9" customHeight="1" thickBot="1">
      <c r="A14" s="1033" t="s">
        <v>68</v>
      </c>
      <c r="B14" s="1034"/>
      <c r="C14" s="657">
        <f>SUM(C4:C13)</f>
        <v>72880000</v>
      </c>
      <c r="D14" s="657">
        <f>SUM(D4:D13)</f>
        <v>1397966409.0019569</v>
      </c>
      <c r="E14" s="657">
        <f>SUM(E4:E13)</f>
        <v>1470846409.0019569</v>
      </c>
      <c r="F14" s="699"/>
      <c r="G14" s="657">
        <f>SUM(G4:G13)</f>
        <v>137916640.90019572</v>
      </c>
      <c r="H14" s="657">
        <f>SUM(H4:H13)</f>
        <v>1332929768.1017613</v>
      </c>
      <c r="I14" s="657"/>
      <c r="J14" s="696"/>
      <c r="K14" s="658">
        <f>SUM(K4:K13)</f>
        <v>237606103.62035227</v>
      </c>
      <c r="L14" s="86"/>
      <c r="M14" s="86"/>
      <c r="N14" s="85"/>
      <c r="O14" s="86"/>
    </row>
    <row r="15" spans="1:15" ht="24.9" customHeight="1">
      <c r="M15" s="408"/>
    </row>
    <row r="16" spans="1:15" ht="24.9" customHeight="1">
      <c r="B16" s="1039" t="s">
        <v>322</v>
      </c>
      <c r="C16" s="1039"/>
      <c r="D16" s="1039"/>
      <c r="E16" s="1039"/>
      <c r="F16" s="1039"/>
      <c r="G16" s="1039"/>
      <c r="H16" s="1039"/>
      <c r="I16" s="1039"/>
      <c r="J16" s="1039"/>
      <c r="K16" s="1039"/>
      <c r="L16" s="1039"/>
      <c r="M16" s="1039"/>
    </row>
    <row r="17" spans="2:14" s="250" customFormat="1" ht="5.25" customHeight="1" thickBot="1">
      <c r="C17" s="250">
        <v>0</v>
      </c>
      <c r="D17" s="250">
        <v>1</v>
      </c>
      <c r="E17" s="250">
        <v>2</v>
      </c>
      <c r="F17" s="250">
        <v>3</v>
      </c>
      <c r="G17" s="250">
        <v>4</v>
      </c>
      <c r="H17" s="250">
        <v>5</v>
      </c>
      <c r="I17" s="250">
        <v>6</v>
      </c>
      <c r="J17" s="250">
        <v>7</v>
      </c>
      <c r="K17" s="250">
        <v>8</v>
      </c>
      <c r="L17" s="250">
        <v>9</v>
      </c>
      <c r="M17" s="250">
        <v>10</v>
      </c>
    </row>
    <row r="18" spans="2:14" s="199" customFormat="1" ht="24.9" customHeight="1">
      <c r="B18" s="251" t="s">
        <v>13</v>
      </c>
      <c r="C18" s="252" t="str">
        <f>'برآورد فروش'!B2</f>
        <v>سال بهره برداری</v>
      </c>
      <c r="D18" s="252" t="str">
        <f>'برآورد فروش'!C2</f>
        <v xml:space="preserve">سال اول </v>
      </c>
      <c r="E18" s="252" t="str">
        <f>'برآورد فروش'!D2</f>
        <v>سال دوم</v>
      </c>
      <c r="F18" s="252" t="str">
        <f>'برآورد فروش'!E2</f>
        <v>سال سوم</v>
      </c>
      <c r="G18" s="252" t="str">
        <f>'برآورد فروش'!F2</f>
        <v>سال چهارم</v>
      </c>
      <c r="H18" s="252" t="str">
        <f>'برآورد فروش'!G2</f>
        <v>سال پنجم</v>
      </c>
      <c r="I18" s="252" t="str">
        <f>'برآورد فروش'!H2</f>
        <v>سال ششم</v>
      </c>
      <c r="J18" s="252" t="str">
        <f>'برآورد فروش'!I2</f>
        <v>سال هفتم</v>
      </c>
      <c r="K18" s="252" t="str">
        <f>'برآورد فروش'!J2</f>
        <v>سال هشتم</v>
      </c>
      <c r="L18" s="252" t="str">
        <f>'برآورد فروش'!K2</f>
        <v>سال نهم</v>
      </c>
      <c r="M18" s="253" t="str">
        <f>'برآورد فروش'!L2</f>
        <v>سال دهم</v>
      </c>
    </row>
    <row r="19" spans="2:14" s="402" customFormat="1" ht="24.9" customHeight="1">
      <c r="B19" s="403"/>
      <c r="C19" s="404"/>
      <c r="D19" s="404">
        <v>1</v>
      </c>
      <c r="E19" s="404">
        <v>2</v>
      </c>
      <c r="F19" s="404">
        <v>3</v>
      </c>
      <c r="G19" s="404">
        <v>4</v>
      </c>
      <c r="H19" s="404">
        <v>5</v>
      </c>
      <c r="I19" s="404">
        <v>6</v>
      </c>
      <c r="J19" s="404">
        <v>7</v>
      </c>
      <c r="K19" s="404">
        <v>8</v>
      </c>
      <c r="L19" s="404">
        <v>9</v>
      </c>
      <c r="M19" s="405">
        <v>10</v>
      </c>
    </row>
    <row r="20" spans="2:14" ht="24.9" customHeight="1">
      <c r="B20" s="254" t="str">
        <f>'برآورد فروش'!A3</f>
        <v>تعداد ماههاي فعاليت</v>
      </c>
      <c r="C20" s="701">
        <f>'برآورد فروش'!B3</f>
        <v>12</v>
      </c>
      <c r="D20" s="701">
        <f>'برآورد فروش'!C3</f>
        <v>12</v>
      </c>
      <c r="E20" s="701">
        <f>'برآورد فروش'!D3</f>
        <v>12</v>
      </c>
      <c r="F20" s="701">
        <f>'برآورد فروش'!E3</f>
        <v>12</v>
      </c>
      <c r="G20" s="701">
        <f>'برآورد فروش'!F3</f>
        <v>12</v>
      </c>
      <c r="H20" s="701">
        <f>'برآورد فروش'!G3</f>
        <v>12</v>
      </c>
      <c r="I20" s="701">
        <f>H20</f>
        <v>12</v>
      </c>
      <c r="J20" s="701">
        <f>I20</f>
        <v>12</v>
      </c>
      <c r="K20" s="701">
        <f>J20</f>
        <v>12</v>
      </c>
      <c r="L20" s="701">
        <f>K20</f>
        <v>12</v>
      </c>
      <c r="M20" s="702">
        <f>L20</f>
        <v>12</v>
      </c>
    </row>
    <row r="21" spans="2:14" ht="20.100000000000001" customHeight="1">
      <c r="B21" s="177" t="str">
        <f t="shared" ref="B21:B29" si="5">B5</f>
        <v>محوطه سازي</v>
      </c>
      <c r="C21" s="703">
        <f t="shared" ref="C21:C29" si="6">K5*$C$20/12</f>
        <v>0</v>
      </c>
      <c r="D21" s="703">
        <f>IF(مفروضات!$T$7=TRUE,IF((I5*12-$C$20)&gt;0,IF((I5*12-$C$20)&gt;12,K5*$D$20/12,IF((K5*I5-C21)&gt;=K5,K5,(K5*I5-C21))),IF(I5*12-$C$20=0,IF(C21=K5*I5,0,K5*I5-C21),0)),'استهلاک ها'!D4)</f>
        <v>0</v>
      </c>
      <c r="E21" s="703">
        <f>IF(مفروضات!$T$7=TRUE,IF((I5*12-$D$20-$C$20)&gt;0,IF((I5*12-$D$20-$C$20)&gt;12,K5*$E$20/12,IF((K5*I5-D21-C21)&gt;=K5,K5,(K5*I5-D21-C21))),IF(I5*12-$D$20-$C$20=0,IF(C21+D21=K5*I5,0,K5*I5-D21-C21),0)),'استهلاک ها'!E4)</f>
        <v>0</v>
      </c>
      <c r="F21" s="703">
        <f>IF(مفروضات!$T$7=TRUE,IF((I5*12-$E$20-$D$20-$C$20)&gt;0,IF((I5*12-$E$20-$D$20-$C$20)&gt;12,K5*$F$20/12,IF((K5*I5-E21-D21-C21)&gt;=K5,K5,(K5*I5-E21-D21-C21))),IF(I5*12-$E$20-$D$20-$C$20=0,IF(C21+D21+E21=K5*I5,0,K5*I5-E21-D21-C21),0)),'استهلاک ها'!F4)</f>
        <v>0</v>
      </c>
      <c r="G21" s="703">
        <f>IF(مفروضات!$T$7=TRUE,IF((I5*12-$F$20-$E$20-$D$20-$C$20)&gt;0,IF((I5*12-$F$20-$E$20-$D$20-$C$20)&gt;12,K5*$G$20/12,IF((K5*I5-F21-E21-D21-C21)&gt;=K5,K5,(K5*I5-F21-E21-D21-C21))),IF(I5*12-$F$20-$E$20-$D$20-$C$20=0,IF(C21+D21+E21+F21=K5*I5,0,K5*I5-F21-E21-D21-C21),0)),'استهلاک ها'!G4)</f>
        <v>0</v>
      </c>
      <c r="H21" s="703">
        <f>IF(مفروضات!$T$7=TRUE,IF((I5*12-$G$20-$F$20-$E$20-$D$20-$C$20)&gt;0,IF((I5*12-$G$20-$F$20-$E$20-$D$20-$C$20)&gt;12,K5*$H$20/12,IF((K5*I5-G21-F21-E21-D21-C21)&gt;=K5,K5,(K5*I5-G21-F21-E21-D21-C21))),IF(I5*12-$G$20-$F$20-$E$20-$D$20-$C$20=0,IF(C21+D21+E21+F21+G21=K5*I5,0,K5*I5-G21-F21-E21-D21-C21),0)),'استهلاک ها'!H4)</f>
        <v>0</v>
      </c>
      <c r="I21" s="703">
        <f>IF(مفروضات!$T$7=TRUE,IF((I5*12-$H$20-$G$20-$F$20-$E$20-$D$20-$C$20)&gt;0,IF((I5*12-$H$20-$G$20-$F$20-$E$20-$D$20-$C$20)&gt;12,K5*$H$20/12,IF((K5*I5-H21-G21-F21-E21-D21-C21)&gt;=K5,K5,(K5*I5-H21-G21-F21-E21-D21-C21))),IF(I5*12-$H$20-$G$20-$F$20-$E$20-$D$20-$C$20=0,IF(C21+D21+E21+F21+G21+H21=K5*I5,0,K5*I5-H21-G21-F21-E21-D21-C21),0)),'استهلاک ها'!I4)</f>
        <v>0</v>
      </c>
      <c r="J21" s="703">
        <f>IF(مفروضات!$T$7=TRUE,IF((I5*12-$I$20-$H$20-$G$20-$F$20-$E$20-$D$20-$C$20)&gt;0,IF((I5*12-$I$20-$H$20-$G$20-$F$20-$E$20-$D$20-$C$20)&gt;12,K5*$J$20/12,IF((K5*I5-I21-H21-G21-F21-E21-D21-C21)&gt;=K5,K5,(K5*I5-I21-H21-G21-F21-E21-D21-C21))),IF(I5*12-$I$20-$H$20-$G$20-$F$20-$E$20-$D$20-$C$20=0,IF(C21+D21+E21+F21+G21+H21+I21=K5*I5,0,K5*I5-I21-H21-G21-F21-E21-D21-C21),0)),'استهلاک ها'!J4)</f>
        <v>0</v>
      </c>
      <c r="K21" s="703">
        <f>IF(مفروضات!$T$7=TRUE,IF((I5*12-$J$20-$I$20-$H$20-$G$20-$F$20-$E$20-$D$20-$C$20)&gt;0,IF((I5*12-$J$20-$I$20-$H$20-$G$20-$F$20-$E$20-$D$20-$C$20)&gt;12,K5*$K$20/12,IF((K5*I5-J21-I21-H21-G21-F21-E21-D21-C21)&gt;=K5,K5,(K5*I5-J21-I21-H21-G21-F21-E21-D21-C21))),IF(I5*12-$J$20-$I$20-$H$20-$G$20-$F$20-$E$20-$D$20-$C$20=0,IF(C21+D21+E21+F21+G21+H21+I21+J21=K5*I5,0,K5*I5-J21-I21-H21-G21-F21-E21-D21-C21),0)),'استهلاک ها'!K4)</f>
        <v>0</v>
      </c>
      <c r="L21" s="703">
        <f>IF(مفروضات!$T$7=TRUE,IF((I5*12-$K$20-$J$20-$I$20-$H$20-$G$20-$F$20-$E$20-$D$20-$C$20)&gt;0,IF((I5*12-$K$20-$J$20-$I$20-$H$20-$G$20-$F$20-$E$20-$D$20-$C$20)&gt;12,K5*$L$20/12,IF((K5*I5-K21-J21-I21-H21-G21-F21-E21-D21-C21)&gt;=K5,K5,(K5*I5-K21-J21-I21-H21-G21-F21-E21-D21-C21))),IF(I5*12-$K$20-$J$20-$I$20-$H$20-$G$20-$F$20-$E$20-$D$20-$C$20=0,IF(C21+D21+E21+F21+G21+H21+I21+J21+K21=K5*I5,0,K5*I5-K21-J21-I21-H21-G21-F21-E21-D21-C21),0)),'استهلاک ها'!L4)</f>
        <v>0</v>
      </c>
      <c r="M21" s="703">
        <f>IF(مفروضات!$T$7=TRUE,IF((I5*12-$L$20-$K$20-$J$20-$I$20-$H$20-$G$20-$F$20-$E$20-$D$20-$C$20)&gt;0,IF((I5*12-$L$20-$K$20-$J$20-$I$20-$H$20-$G$20-$F$20-$E$20-$D$20-$C$20)&gt;12,K5*$M$20/12,IF((K5*I5-L21-K21-J21-I21-H21-G21-F21-E21-D21-C21)&gt;=K5,K5,(K5*I5-L21-K21-J21-I21-H21-G21-F21-E21-D21-C21))),IF(I5*12-$L$20-$K$20-$J$20-$I$20-$H$20-$G$20-$F$20-$E$20-$D$20-$C$20=0,IF(C21+D21+E21+F21+G21+H21+I21+J21+K21+L21=K5*I5,0,K5*I5-L21-K21-J21-I21-H21-G21-F21-E21-D21-C21),0)),'استهلاک ها'!M4)</f>
        <v>0</v>
      </c>
      <c r="N21" s="408"/>
    </row>
    <row r="22" spans="2:14" ht="20.100000000000001" customHeight="1">
      <c r="B22" s="177" t="str">
        <f t="shared" si="5"/>
        <v>ساختمان توليدي و اداري</v>
      </c>
      <c r="C22" s="703">
        <f t="shared" si="6"/>
        <v>5166000.0000000009</v>
      </c>
      <c r="D22" s="703">
        <f>IF(مفروضات!$T$7=TRUE,IF((I6*12-$C$20)&gt;0,IF((I6*12-$C$20)&gt;12,K6*$D$20/12,IF((K6*I6-C22)&gt;=K6,K6,(K6*I6-C22))),IF(I6*12-$C$20=0,IF(C22=K6*I6,0,K6*I6-C22),0)),'استهلاک ها'!D5)</f>
        <v>5166000.0000000009</v>
      </c>
      <c r="E22" s="703">
        <f>IF(مفروضات!$T$7=TRUE,IF((I6*12-$D$20-$C$20)&gt;0,IF((I6*12-$D$20-$C$20)&gt;12,K6*$E$20/12,IF((K6*I6-D22-C22)&gt;=K6,K6,(K6*I6-D22-C22))),IF(I6*12-$D$20-$C$20=0,IF(C22+D22=K6*I6,0,K6*I6-D22-C22),0)),'استهلاک ها'!E5)</f>
        <v>5166000.0000000009</v>
      </c>
      <c r="F22" s="703">
        <f>IF(مفروضات!$T$7=TRUE,IF((I6*12-$E$20-$D$20-$C$20)&gt;0,IF((I6*12-$E$20-$D$20-$C$20)&gt;12,K6*$F$20/12,IF((K6*I6-E22-D22-C22)&gt;=K6,K6,(K6*I6-E22-D22-C22))),IF(I6*12-$E$20-$D$20-$C$20=0,IF(C22+D22+E22=K6*I6,0,K6*I6-E22-D22-C22),0)),'استهلاک ها'!F5)</f>
        <v>5166000.0000000009</v>
      </c>
      <c r="G22" s="703">
        <f>IF(مفروضات!$T$7=TRUE,IF((I6*12-$F$20-$E$20-$D$20-$C$20)&gt;0,IF((I6*12-$F$20-$E$20-$D$20-$C$20)&gt;12,K6*$G$20/12,IF((K6*I6-F22-E22-D22-C22)&gt;=K6,K6,(K6*I6-F22-E22-D22-C22))),IF(I6*12-$F$20-$E$20-$D$20-$C$20=0,IF(C22+D22+E22+F22=K6*I6,0,K6*I6-F22-E22-D22-C22),0)),'استهلاک ها'!G5)</f>
        <v>5166000.0000000009</v>
      </c>
      <c r="H22" s="703">
        <f>IF(مفروضات!$T$7=TRUE,IF((I6*12-$G$20-$F$20-$E$20-$D$20-$C$20)&gt;0,IF((I6*12-$G$20-$F$20-$E$20-$D$20-$C$20)&gt;12,K6*$H$20/12,IF((K6*I6-G22-F22-E22-D22-C22)&gt;=K6,K6,(K6*I6-G22-F22-E22-D22-C22))),IF(I6*12-$G$20-$F$20-$E$20-$D$20-$C$20=0,IF(C22+D22+E22+F22+G22=K6*I6,0,K6*I6-G22-F22-E22-D22-C22),0)),'استهلاک ها'!H5)</f>
        <v>5166000.0000000009</v>
      </c>
      <c r="I22" s="703">
        <f>IF(مفروضات!$T$7=TRUE,IF((I6*12-$H$20-$G$20-$F$20-$E$20-$D$20-$C$20)&gt;0,IF((I6*12-$H$20-$G$20-$F$20-$E$20-$D$20-$C$20)&gt;12,K6*$H$20/12,IF((K6*I6-H22-G22-F22-E22-D22-C22)&gt;=K6,K6,(K6*I6-H22-G22-F22-E22-D22-C22))),IF(I6*12-$H$20-$G$20-$F$20-$E$20-$D$20-$C$20=0,IF(C22+D22+E22+F22+G22+H22=K6*I6,0,K6*I6-H22-G22-F22-E22-D22-C22),0)),'استهلاک ها'!I5)</f>
        <v>5166000.0000000009</v>
      </c>
      <c r="J22" s="703">
        <f>IF(مفروضات!$T$7=TRUE,IF((I6*12-$I$20-$H$20-$G$20-$F$20-$E$20-$D$20-$C$20)&gt;0,IF((I6*12-$I$20-$H$20-$G$20-$F$20-$E$20-$D$20-$C$20)&gt;12,K6*$J$20/12,IF((K6*I6-I22-H22-G22-F22-E22-D22-C22)&gt;=K6,K6,(K6*I6-I22-H22-G22-F22-E22-D22-C22))),IF(I6*12-$I$20-$H$20-$G$20-$F$20-$E$20-$D$20-$C$20=0,IF(C22+D22+E22+F22+G22+H22+I22=K6*I6,0,K6*I6-I22-H22-G22-F22-E22-D22-C22),0)),'استهلاک ها'!J5)</f>
        <v>5166000.0000000009</v>
      </c>
      <c r="K22" s="703">
        <f>IF(مفروضات!$T$7=TRUE,IF((I6*12-$J$20-$I$20-$H$20-$G$20-$F$20-$E$20-$D$20-$C$20)&gt;0,IF((I6*12-$J$20-$I$20-$H$20-$G$20-$F$20-$E$20-$D$20-$C$20)&gt;12,K6*$K$20/12,IF((K6*I6-J22-I22-H22-G22-F22-E22-D22-C22)&gt;=K6,K6,(K6*I6-J22-I22-H22-G22-F22-E22-D22-C22))),IF(I6*12-$J$20-$I$20-$H$20-$G$20-$F$20-$E$20-$D$20-$C$20=0,IF(C22+D22+E22+F22+G22+H22+I22+J22=K6*I6,0,K6*I6-J22-I22-H22-G22-F22-E22-D22-C22),0)),'استهلاک ها'!K5)</f>
        <v>5166000.0000000009</v>
      </c>
      <c r="L22" s="703">
        <f>IF(مفروضات!$T$7=TRUE,IF((I6*12-$K$20-$J$20-$I$20-$H$20-$G$20-$F$20-$E$20-$D$20-$C$20)&gt;0,IF((I6*12-$K$20-$J$20-$I$20-$H$20-$G$20-$F$20-$E$20-$D$20-$C$20)&gt;12,K6*$L$20/12,IF((K6*I6-K22-J22-I22-H22-G22-F22-E22-D22-C22)&gt;=K6,K6,(K6*I6-K22-J22-I22-H22-G22-F22-E22-D22-C22))),IF(I6*12-$K$20-$J$20-$I$20-$H$20-$G$20-$F$20-$E$20-$D$20-$C$20=0,IF(C22+D22+E22+F22+G22+H22+I22+J22+K22=K6*I6,0,K6*I6-K22-J22-I22-H22-G22-F22-E22-D22-C22),0)),'استهلاک ها'!L5)</f>
        <v>5166000.0000000009</v>
      </c>
      <c r="M22" s="703">
        <f>IF(مفروضات!$T$7=TRUE,IF((I6*12-$L$20-$K$20-$J$20-$I$20-$H$20-$G$20-$F$20-$E$20-$D$20-$C$20)&gt;0,IF((I6*12-$L$20-$K$20-$J$20-$I$20-$H$20-$G$20-$F$20-$E$20-$D$20-$C$20)&gt;12,K6*$M$20/12,IF((K6*I6-L22-K22-J22-I22-H22-G22-F22-E22-D22-C22)&gt;=K6,K6,(K6*I6-L22-K22-J22-I22-H22-G22-F22-E22-D22-C22))),IF(I6*12-$L$20-$K$20-$J$20-$I$20-$H$20-$G$20-$F$20-$E$20-$D$20-$C$20=0,IF(C22+D22+E22+F22+G22+H22+I22+J22+K22+L22=K6*I6,0,K6*I6-L22-K22-J22-I22-H22-G22-F22-E22-D22-C22),0)),'استهلاک ها'!M5)</f>
        <v>5166000.0000000009</v>
      </c>
      <c r="N22" s="408"/>
    </row>
    <row r="23" spans="2:14" ht="20.100000000000001" customHeight="1">
      <c r="B23" s="177" t="str">
        <f t="shared" si="5"/>
        <v>تاسيسات و تجهيزات عمومي</v>
      </c>
      <c r="C23" s="703">
        <f t="shared" si="6"/>
        <v>0</v>
      </c>
      <c r="D23" s="703">
        <f>IF(مفروضات!$T$7=TRUE,IF((I7*12-$C$20)&gt;0,IF((I7*12-$C$20)&gt;12,K7*$D$20/12,IF((K7*I7-C23)&gt;=K7,K7,(K7*I7-C23))),IF(I7*12-$C$20=0,IF(C23=K7*I7,0,K7*I7-C23),0)),'استهلاک ها'!D6)</f>
        <v>0</v>
      </c>
      <c r="E23" s="703">
        <f>IF(مفروضات!$T$7=TRUE,IF((I7*12-$D$20-$C$20)&gt;0,IF((I7*12-$D$20-$C$20)&gt;12,K7*$E$20/12,IF((K7*I7-D23-C23)&gt;=K7,K7,(K7*I7-D23-C23))),IF(I7*12-$D$20-$C$20=0,IF(C23+D23=K7*I7,0,K7*I7-D23-C23),0)),'استهلاک ها'!E6)</f>
        <v>0</v>
      </c>
      <c r="F23" s="703">
        <f>IF(مفروضات!$T$7=TRUE,IF((I7*12-$E$20-$D$20-$C$20)&gt;0,IF((I7*12-$E$20-$D$20-$C$20)&gt;12,K7*$F$20/12,IF((K7*I7-E23-D23-C23)&gt;=K7,K7,(K7*I7-E23-D23-C23))),IF(I7*12-$E$20-$D$20-$C$20=0,IF(C23+D23+E23=K7*I7,0,K7*I7-E23-D23-C23),0)),'استهلاک ها'!F6)</f>
        <v>0</v>
      </c>
      <c r="G23" s="703">
        <f>IF(مفروضات!$T$7=TRUE,IF((I7*12-$F$20-$E$20-$D$20-$C$20)&gt;0,IF((I7*12-$F$20-$E$20-$D$20-$C$20)&gt;12,K7*$G$20/12,IF((K7*I7-F23-E23-D23-C23)&gt;=K7,K7,(K7*I7-F23-E23-D23-C23))),IF(I7*12-$F$20-$E$20-$D$20-$C$20=0,IF(C23+D23+E23+F23=K7*I7,0,K7*I7-F23-E23-D23-C23),0)),'استهلاک ها'!G6)</f>
        <v>0</v>
      </c>
      <c r="H23" s="703">
        <f>IF(مفروضات!$T$7=TRUE,IF((I7*12-$G$20-$F$20-$E$20-$D$20-$C$20)&gt;0,IF((I7*12-$G$20-$F$20-$E$20-$D$20-$C$20)&gt;12,K7*$H$20/12,IF((K7*I7-G23-F23-E23-D23-C23)&gt;=K7,K7,(K7*I7-G23-F23-E23-D23-C23))),IF(I7*12-$G$20-$F$20-$E$20-$D$20-$C$20=0,IF(C23+D23+E23+F23+G23=K7*I7,0,K7*I7-G23-F23-E23-D23-C23),0)),'استهلاک ها'!H6)</f>
        <v>0</v>
      </c>
      <c r="I23" s="703">
        <f>IF(مفروضات!$T$7=TRUE,IF((I7*12-$H$20-$G$20-$F$20-$E$20-$D$20-$C$20)&gt;0,IF((I7*12-$H$20-$G$20-$F$20-$E$20-$D$20-$C$20)&gt;12,K7*$H$20/12,IF((K7*I7-H23-G23-F23-E23-D23-C23)&gt;=K7,K7,(K7*I7-H23-G23-F23-E23-D23-C23))),IF(I7*12-$H$20-$G$20-$F$20-$E$20-$D$20-$C$20=0,IF(C23+D23+E23+F23+G23+H23=K7*I7,0,K7*I7-H23-G23-F23-E23-D23-C23),0)),'استهلاک ها'!I6)</f>
        <v>0</v>
      </c>
      <c r="J23" s="703">
        <f>IF(مفروضات!$T$7=TRUE,IF((I7*12-$I$20-$H$20-$G$20-$F$20-$E$20-$D$20-$C$20)&gt;0,IF((I7*12-$I$20-$H$20-$G$20-$F$20-$E$20-$D$20-$C$20)&gt;12,K7*$J$20/12,IF((K7*I7-I23-H23-G23-F23-E23-D23-C23)&gt;=K7,K7,(K7*I7-I23-H23-G23-F23-E23-D23-C23))),IF(I7*12-$I$20-$H$20-$G$20-$F$20-$E$20-$D$20-$C$20=0,IF(C23+D23+E23+F23+G23+H23+I23=K7*I7,0,K7*I7-I23-H23-G23-F23-E23-D23-C23),0)),'استهلاک ها'!J6)</f>
        <v>0</v>
      </c>
      <c r="K23" s="703">
        <f>IF(مفروضات!$T$7=TRUE,IF((I7*12-$J$20-$I$20-$H$20-$G$20-$F$20-$E$20-$D$20-$C$20)&gt;0,IF((I7*12-$J$20-$I$20-$H$20-$G$20-$F$20-$E$20-$D$20-$C$20)&gt;12,K7*$K$20/12,IF((K7*I7-J23-I23-H23-G23-F23-E23-D23-C23)&gt;=K7,K7,(K7*I7-J23-I23-H23-G23-F23-E23-D23-C23))),IF(I7*12-$J$20-$I$20-$H$20-$G$20-$F$20-$E$20-$D$20-$C$20=0,IF(C23+D23+E23+F23+G23+H23+I23+J23=K7*I7,0,K7*I7-J23-I23-H23-G23-F23-E23-D23-C23),0)),'استهلاک ها'!K6)</f>
        <v>0</v>
      </c>
      <c r="L23" s="703">
        <f>IF(مفروضات!$T$7=TRUE,IF((I7*12-$K$20-$J$20-$I$20-$H$20-$G$20-$F$20-$E$20-$D$20-$C$20)&gt;0,IF((I7*12-$K$20-$J$20-$I$20-$H$20-$G$20-$F$20-$E$20-$D$20-$C$20)&gt;12,K7*$L$20/12,IF((K7*I7-K23-J23-I23-H23-G23-F23-E23-D23-C23)&gt;=K7,K7,(K7*I7-K23-J23-I23-H23-G23-F23-E23-D23-C23))),IF(I7*12-$K$20-$J$20-$I$20-$H$20-$G$20-$F$20-$E$20-$D$20-$C$20=0,IF(C23+D23+E23+F23+G23+H23+I23+J23+K23=K7*I7,0,K7*I7-K23-J23-I23-H23-G23-F23-E23-D23-C23),0)),'استهلاک ها'!L6)</f>
        <v>0</v>
      </c>
      <c r="M23" s="703">
        <f>IF(مفروضات!$T$7=TRUE,IF((I7*12-$L$20-$K$20-$J$20-$I$20-$H$20-$G$20-$F$20-$E$20-$D$20-$C$20)&gt;0,IF((I7*12-$L$20-$K$20-$J$20-$I$20-$H$20-$G$20-$F$20-$E$20-$D$20-$C$20)&gt;12,K7*$M$20/12,IF((K7*I7-L23-K23-J23-I23-H23-G23-F23-E23-D23-C23)&gt;=K7,K7,(K7*I7-L23-K23-J23-I23-H23-G23-F23-E23-D23-C23))),IF(I7*12-$L$20-$K$20-$J$20-$I$20-$H$20-$G$20-$F$20-$E$20-$D$20-$C$20=0,IF(C23+D23+E23+F23+G23+H23+I23+J23+K23+L23=K7*I7,0,K7*I7-L23-K23-J23-I23-H23-G23-F23-E23-D23-C23),0)),'استهلاک ها'!M6)</f>
        <v>0</v>
      </c>
      <c r="N23" s="408"/>
    </row>
    <row r="24" spans="2:14" ht="20.100000000000001" customHeight="1">
      <c r="B24" s="177" t="str">
        <f t="shared" si="5"/>
        <v xml:space="preserve">ماشين آلات و تجهيزات </v>
      </c>
      <c r="C24" s="703">
        <f t="shared" si="6"/>
        <v>0</v>
      </c>
      <c r="D24" s="703">
        <f>IF(مفروضات!$T$7=TRUE,IF((I8*12-$C$20)&gt;0,IF((I8*12-$C$20)&gt;12,K8*$D$20/12,IF((K8*I8-C24)&gt;=K8,K8,(K8*I8-C24))),IF(I8*12-$C$20=0,IF(C24=K8*I8,0,K8*I8-C24),0)),'استهلاک ها'!D7)</f>
        <v>0</v>
      </c>
      <c r="E24" s="703">
        <f>IF(مفروضات!$T$7=TRUE,IF((I8*12-$D$20-$C$20)&gt;0,IF((I8*12-$D$20-$C$20)&gt;12,K8*$E$20/12,IF((K8*I8-D24-C24)&gt;=K8,K8,(K8*I8-D24-C24))),IF(I8*12-$D$20-$C$20=0,IF(C24+D24=K8*I8,0,K8*I8-D24-C24),0)),'استهلاک ها'!E7)</f>
        <v>0</v>
      </c>
      <c r="F24" s="703">
        <f>IF(مفروضات!$T$7=TRUE,IF((I8*12-$E$20-$D$20-$C$20)&gt;0,IF((I8*12-$E$20-$D$20-$C$20)&gt;12,K8*$F$20/12,IF((K8*I8-E24-D24-C24)&gt;=K8,K8,(K8*I8-E24-D24-C24))),IF(I8*12-$E$20-$D$20-$C$20=0,IF(C24+D24+E24=K8*I8,0,K8*I8-E24-D24-C24),0)),'استهلاک ها'!F7)</f>
        <v>0</v>
      </c>
      <c r="G24" s="703">
        <f>IF(مفروضات!$T$7=TRUE,IF((I8*12-$F$20-$E$20-$D$20-$C$20)&gt;0,IF((I8*12-$F$20-$E$20-$D$20-$C$20)&gt;12,K8*$G$20/12,IF((K8*I8-F24-E24-D24-C24)&gt;=K8,K8,(K8*I8-F24-E24-D24-C24))),IF(I8*12-$F$20-$E$20-$D$20-$C$20=0,IF(C24+D24+E24+F24=K8*I8,0,K8*I8-F24-E24-D24-C24),0)),'استهلاک ها'!G7)</f>
        <v>0</v>
      </c>
      <c r="H24" s="703">
        <f>IF(مفروضات!$T$7=TRUE,IF((I8*12-$G$20-$F$20-$E$20-$D$20-$C$20)&gt;0,IF((I8*12-$G$20-$F$20-$E$20-$D$20-$C$20)&gt;12,K8*$H$20/12,IF((K8*I8-G24-F24-E24-D24-C24)&gt;=K8,K8,(K8*I8-G24-F24-E24-D24-C24))),IF(I8*12-$G$20-$F$20-$E$20-$D$20-$C$20=0,IF(C24+D24+E24+F24+G24=K8*I8,0,K8*I8-G24-F24-E24-D24-C24),0)),'استهلاک ها'!H7)</f>
        <v>0</v>
      </c>
      <c r="I24" s="703">
        <f>IF(مفروضات!$T$7=TRUE,IF((I8*12-$H$20-$G$20-$F$20-$E$20-$D$20-$C$20)&gt;0,IF((I8*12-$H$20-$G$20-$F$20-$E$20-$D$20-$C$20)&gt;12,K8*$H$20/12,IF((K8*I8-H24-G24-F24-E24-D24-C24)&gt;=K8,K8,(K8*I8-H24-G24-F24-E24-D24-C24))),IF(I8*12-$H$20-$G$20-$F$20-$E$20-$D$20-$C$20=0,IF(C24+D24+E24+F24+G24+H24=K8*I8,0,K8*I8-H24-G24-F24-E24-D24-C24),0)),'استهلاک ها'!I7)</f>
        <v>0</v>
      </c>
      <c r="J24" s="703">
        <f>IF(مفروضات!$T$7=TRUE,IF((I8*12-$I$20-$H$20-$G$20-$F$20-$E$20-$D$20-$C$20)&gt;0,IF((I8*12-$I$20-$H$20-$G$20-$F$20-$E$20-$D$20-$C$20)&gt;12,K8*$J$20/12,IF((K8*I8-I24-H24-G24-F24-E24-D24-C24)&gt;=K8,K8,(K8*I8-I24-H24-G24-F24-E24-D24-C24))),IF(I8*12-$I$20-$H$20-$G$20-$F$20-$E$20-$D$20-$C$20=0,IF(C24+D24+E24+F24+G24+H24+I24=K8*I8,0,K8*I8-I24-H24-G24-F24-E24-D24-C24),0)),'استهلاک ها'!J7)</f>
        <v>0</v>
      </c>
      <c r="K24" s="703">
        <f>IF(مفروضات!$T$7=TRUE,IF((I8*12-$J$20-$I$20-$H$20-$G$20-$F$20-$E$20-$D$20-$C$20)&gt;0,IF((I8*12-$J$20-$I$20-$H$20-$G$20-$F$20-$E$20-$D$20-$C$20)&gt;12,K8*$K$20/12,IF((K8*I8-J24-I24-H24-G24-F24-E24-D24-C24)&gt;=K8,K8,(K8*I8-J24-I24-H24-G24-F24-E24-D24-C24))),IF(I8*12-$J$20-$I$20-$H$20-$G$20-$F$20-$E$20-$D$20-$C$20=0,IF(C24+D24+E24+F24+G24+H24+I24+J24=K8*I8,0,K8*I8-J24-I24-H24-G24-F24-E24-D24-C24),0)),'استهلاک ها'!K7)</f>
        <v>0</v>
      </c>
      <c r="L24" s="703">
        <f>IF(مفروضات!$T$7=TRUE,IF((I8*12-$K$20-$J$20-$I$20-$H$20-$G$20-$F$20-$E$20-$D$20-$C$20)&gt;0,IF((I8*12-$K$20-$J$20-$I$20-$H$20-$G$20-$F$20-$E$20-$D$20-$C$20)&gt;12,K8*$L$20/12,IF((K8*I8-K24-J24-I24-H24-G24-F24-E24-D24-C24)&gt;=K8,K8,(K8*I8-K24-J24-I24-H24-G24-F24-E24-D24-C24))),IF(I8*12-$K$20-$J$20-$I$20-$H$20-$G$20-$F$20-$E$20-$D$20-$C$20=0,IF(C24+D24+E24+F24+G24+H24+I24+J24+K24=K8*I8,0,K8*I8-K24-J24-I24-H24-G24-F24-E24-D24-C24),0)),'استهلاک ها'!L7)</f>
        <v>0</v>
      </c>
      <c r="M24" s="703">
        <f>IF(مفروضات!$T$7=TRUE,IF((I8*12-$L$20-$K$20-$J$20-$I$20-$H$20-$G$20-$F$20-$E$20-$D$20-$C$20)&gt;0,IF((I8*12-$L$20-$K$20-$J$20-$I$20-$H$20-$G$20-$F$20-$E$20-$D$20-$C$20)&gt;12,K8*$M$20/12,IF((K8*I8-L24-K24-J24-I24-H24-G24-F24-E24-D24-C24)&gt;=K8,K8,(K8*I8-L24-K24-J24-I24-H24-G24-F24-E24-D24-C24))),IF(I8*12-$L$20-$K$20-$J$20-$I$20-$H$20-$G$20-$F$20-$E$20-$D$20-$C$20=0,IF(C24+D24+E24+F24+G24+H24+I24+J24+K24+L24=K8*I8,0,K8*I8-L24-K24-J24-I24-H24-G24-F24-E24-D24-C24),0)),'استهلاک ها'!M7)</f>
        <v>0</v>
      </c>
      <c r="N24" s="408"/>
    </row>
    <row r="25" spans="2:14" ht="20.100000000000001" customHeight="1">
      <c r="B25" s="177" t="str">
        <f t="shared" si="5"/>
        <v>اثاثيه و تجهيزات اداري</v>
      </c>
      <c r="C25" s="703">
        <f t="shared" si="6"/>
        <v>1890000</v>
      </c>
      <c r="D25" s="703">
        <f>IF(مفروضات!$T$7=TRUE,IF((I9*12-$C$20)&gt;0,IF((I9*12-$C$20)&gt;12,K9*$D$20/12,IF((K9*I9-C25)&gt;=K9,K9,(K9*I9-C25))),IF(I9*12-$C$20=0,IF(C25=K9*I9,0,K9*I9-C25),0)),'استهلاک ها'!D8)</f>
        <v>1890000</v>
      </c>
      <c r="E25" s="703">
        <f>IF(مفروضات!$T$7=TRUE,IF((I9*12-$D$20-$C$20)&gt;0,IF((I9*12-$D$20-$C$20)&gt;12,K9*$E$20/12,IF((K9*I9-D25-C25)&gt;=K9,K9,(K9*I9-D25-C25))),IF(I9*12-$D$20-$C$20=0,IF(C25+D25=K9*I9,0,K9*I9-D25-C25),0)),'استهلاک ها'!E8)</f>
        <v>1890000</v>
      </c>
      <c r="F25" s="703">
        <f>IF(مفروضات!$T$7=TRUE,IF((I9*12-$E$20-$D$20-$C$20)&gt;0,IF((I9*12-$E$20-$D$20-$C$20)&gt;12,K9*$F$20/12,IF((K9*I9-E25-D25-C25)&gt;=K9,K9,(K9*I9-E25-D25-C25))),IF(I9*12-$E$20-$D$20-$C$20=0,IF(C25+D25+E25=K9*I9,0,K9*I9-E25-D25-C25),0)),'استهلاک ها'!F8)</f>
        <v>1890000</v>
      </c>
      <c r="G25" s="703">
        <f>IF(مفروضات!$T$7=TRUE,IF((I9*12-$F$20-$E$20-$D$20-$C$20)&gt;0,IF((I9*12-$F$20-$E$20-$D$20-$C$20)&gt;12,K9*$G$20/12,IF((K9*I9-F25-E25-D25-C25)&gt;=K9,K9,(K9*I9-F25-E25-D25-C25))),IF(I9*12-$F$20-$E$20-$D$20-$C$20=0,IF(C25+D25+E25+F25=K9*I9,0,K9*I9-F25-E25-D25-C25),0)),'استهلاک ها'!G8)</f>
        <v>1890000</v>
      </c>
      <c r="H25" s="703">
        <f>IF(مفروضات!$T$7=TRUE,IF((I9*12-$G$20-$F$20-$E$20-$D$20-$C$20)&gt;0,IF((I9*12-$G$20-$F$20-$E$20-$D$20-$C$20)&gt;12,K9*$H$20/12,IF((K9*I9-G25-F25-E25-D25-C25)&gt;=K9,K9,(K9*I9-G25-F25-E25-D25-C25))),IF(I9*12-$G$20-$F$20-$E$20-$D$20-$C$20=0,IF(C25+D25+E25+F25+G25=K9*I9,0,K9*I9-G25-F25-E25-D25-C25),0)),'استهلاک ها'!H8)</f>
        <v>0</v>
      </c>
      <c r="I25" s="703">
        <f>IF(مفروضات!$T$7=TRUE,IF((I9*12-$H$20-$G$20-$F$20-$E$20-$D$20-$C$20)&gt;0,IF((I9*12-$H$20-$G$20-$F$20-$E$20-$D$20-$C$20)&gt;12,K9*$H$20/12,IF((K9*I9-H25-G25-F25-E25-D25-C25)&gt;=K9,K9,(K9*I9-H25-G25-F25-E25-D25-C25))),IF(I9*12-$H$20-$G$20-$F$20-$E$20-$D$20-$C$20=0,IF(C25+D25+E25+F25+G25+H25=K9*I9,0,K9*I9-H25-G25-F25-E25-D25-C25),0)),'استهلاک ها'!I8)</f>
        <v>0</v>
      </c>
      <c r="J25" s="703">
        <f>IF(مفروضات!$T$7=TRUE,IF((I9*12-$I$20-$H$20-$G$20-$F$20-$E$20-$D$20-$C$20)&gt;0,IF((I9*12-$I$20-$H$20-$G$20-$F$20-$E$20-$D$20-$C$20)&gt;12,K9*$J$20/12,IF((K9*I9-I25-H25-G25-F25-E25-D25-C25)&gt;=K9,K9,(K9*I9-I25-H25-G25-F25-E25-D25-C25))),IF(I9*12-$I$20-$H$20-$G$20-$F$20-$E$20-$D$20-$C$20=0,IF(C25+D25+E25+F25+G25+H25+I25=K9*I9,0,K9*I9-I25-H25-G25-F25-E25-D25-C25),0)),'استهلاک ها'!J8)</f>
        <v>0</v>
      </c>
      <c r="K25" s="703">
        <f>IF(مفروضات!$T$7=TRUE,IF((I9*12-$J$20-$I$20-$H$20-$G$20-$F$20-$E$20-$D$20-$C$20)&gt;0,IF((I9*12-$J$20-$I$20-$H$20-$G$20-$F$20-$E$20-$D$20-$C$20)&gt;12,K9*$K$20/12,IF((K9*I9-J25-I25-H25-G25-F25-E25-D25-C25)&gt;=K9,K9,(K9*I9-J25-I25-H25-G25-F25-E25-D25-C25))),IF(I9*12-$J$20-$I$20-$H$20-$G$20-$F$20-$E$20-$D$20-$C$20=0,IF(C25+D25+E25+F25+G25+H25+I25+J25=K9*I9,0,K9*I9-J25-I25-H25-G25-F25-E25-D25-C25),0)),'استهلاک ها'!K8)</f>
        <v>0</v>
      </c>
      <c r="L25" s="703">
        <f>IF(مفروضات!$T$7=TRUE,IF((I9*12-$K$20-$J$20-$I$20-$H$20-$G$20-$F$20-$E$20-$D$20-$C$20)&gt;0,IF((I9*12-$K$20-$J$20-$I$20-$H$20-$G$20-$F$20-$E$20-$D$20-$C$20)&gt;12,K9*$L$20/12,IF((K9*I9-K25-J25-I25-H25-G25-F25-E25-D25-C25)&gt;=K9,K9,(K9*I9-K25-J25-I25-H25-G25-F25-E25-D25-C25))),IF(I9*12-$K$20-$J$20-$I$20-$H$20-$G$20-$F$20-$E$20-$D$20-$C$20=0,IF(C25+D25+E25+F25+G25+H25+I25+J25+K25=K9*I9,0,K9*I9-K25-J25-I25-H25-G25-F25-E25-D25-C25),0)),'استهلاک ها'!L8)</f>
        <v>0</v>
      </c>
      <c r="M25" s="703">
        <f>IF(مفروضات!$T$7=TRUE,IF((I9*12-$L$20-$K$20-$J$20-$I$20-$H$20-$G$20-$F$20-$E$20-$D$20-$C$20)&gt;0,IF((I9*12-$L$20-$K$20-$J$20-$I$20-$H$20-$G$20-$F$20-$E$20-$D$20-$C$20)&gt;12,K9*$M$20/12,IF((K9*I9-L25-K25-J25-I25-H25-G25-F25-E25-D25-C25)&gt;=K9,K9,(K9*I9-L25-K25-J25-I25-H25-G25-F25-E25-D25-C25))),IF(I9*12-$L$20-$K$20-$J$20-$I$20-$H$20-$G$20-$F$20-$E$20-$D$20-$C$20=0,IF(C25+D25+E25+F25+G25+H25+I25+J25+K25+L25=K9*I9,0,K9*I9-L25-K25-J25-I25-H25-G25-F25-E25-D25-C25),0)),'استهلاک ها'!M8)</f>
        <v>0</v>
      </c>
      <c r="N25" s="408"/>
    </row>
    <row r="26" spans="2:14" ht="20.100000000000001" customHeight="1">
      <c r="B26" s="177" t="str">
        <f t="shared" si="5"/>
        <v>وسائط نقليه</v>
      </c>
      <c r="C26" s="703">
        <f t="shared" si="6"/>
        <v>630000</v>
      </c>
      <c r="D26" s="703">
        <f>IF(مفروضات!$T$7=TRUE,IF((I10*12-$C$20)&gt;0,IF((I10*12-$C$20)&gt;12,K10*$D$20/12,IF((K10*I10-C26)&gt;=K10,K10,(K10*I10-C26))),IF(I10*12-$C$20=0,IF(C26=K10*I10,0,K10*I10-C26),0)),'استهلاک ها'!D9)</f>
        <v>630000</v>
      </c>
      <c r="E26" s="703">
        <f>IF(مفروضات!$T$7=TRUE,IF((I10*12-$D$20-$C$20)&gt;0,IF((I10*12-$D$20-$C$20)&gt;12,K10*$E$20/12,IF((K10*I10-D26-C26)&gt;=K10,K10,(K10*I10-D26-C26))),IF(I10*12-$D$20-$C$20=0,IF(C26+D26=K10*I10,0,K10*I10-D26-C26),0)),'استهلاک ها'!E9)</f>
        <v>630000</v>
      </c>
      <c r="F26" s="703">
        <f>IF(مفروضات!$T$7=TRUE,IF((I10*12-$E$20-$D$20-$C$20)&gt;0,IF((I10*12-$E$20-$D$20-$C$20)&gt;12,K10*$F$20/12,IF((K10*I10-E26-D26-C26)&gt;=K10,K10,(K10*I10-E26-D26-C26))),IF(I10*12-$E$20-$D$20-$C$20=0,IF(C26+D26+E26=K10*I10,0,K10*I10-E26-D26-C26),0)),'استهلاک ها'!F9)</f>
        <v>630000</v>
      </c>
      <c r="G26" s="703">
        <f>IF(مفروضات!$T$7=TRUE,IF((I10*12-$F$20-$E$20-$D$20-$C$20)&gt;0,IF((I10*12-$F$20-$E$20-$D$20-$C$20)&gt;12,K10*$G$20/12,IF((K10*I10-F26-E26-D26-C26)&gt;=K10,K10,(K10*I10-F26-E26-D26-C26))),IF(I10*12-$F$20-$E$20-$D$20-$C$20=0,IF(C26+D26+E26+F26=K10*I10,0,K10*I10-F26-E26-D26-C26),0)),'استهلاک ها'!G9)</f>
        <v>630000</v>
      </c>
      <c r="H26" s="703">
        <f>IF(مفروضات!$T$7=TRUE,IF((I10*12-$G$20-$F$20-$E$20-$D$20-$C$20)&gt;0,IF((I10*12-$G$20-$F$20-$E$20-$D$20-$C$20)&gt;12,K10*$H$20/12,IF((K10*I10-G26-F26-E26-D26-C26)&gt;=K10,K10,(K10*I10-G26-F26-E26-D26-C26))),IF(I10*12-$G$20-$F$20-$E$20-$D$20-$C$20=0,IF(C26+D26+E26+F26+G26=K10*I10,0,K10*I10-G26-F26-E26-D26-C26),0)),'استهلاک ها'!H9)</f>
        <v>630000</v>
      </c>
      <c r="I26" s="703">
        <f>IF(مفروضات!$T$7=TRUE,IF((I10*12-$H$20-$G$20-$F$20-$E$20-$D$20-$C$20)&gt;0,IF((I10*12-$H$20-$G$20-$F$20-$E$20-$D$20-$C$20)&gt;12,K10*$H$20/12,IF((K10*I10-H26-G26-F26-E26-D26-C26)&gt;=K10,K10,(K10*I10-H26-G26-F26-E26-D26-C26))),IF(I10*12-$H$20-$G$20-$F$20-$E$20-$D$20-$C$20=0,IF(C26+D26+E26+F26+G26+H26=K10*I10,0,K10*I10-H26-G26-F26-E26-D26-C26),0)),'استهلاک ها'!I9)</f>
        <v>630000</v>
      </c>
      <c r="J26" s="703">
        <f>IF(مفروضات!$T$7=TRUE,IF((I10*12-$I$20-$H$20-$G$20-$F$20-$E$20-$D$20-$C$20)&gt;0,IF((I10*12-$I$20-$H$20-$G$20-$F$20-$E$20-$D$20-$C$20)&gt;12,K10*$J$20/12,IF((K10*I10-I26-H26-G26-F26-E26-D26-C26)&gt;=K10,K10,(K10*I10-I26-H26-G26-F26-E26-D26-C26))),IF(I10*12-$I$20-$H$20-$G$20-$F$20-$E$20-$D$20-$C$20=0,IF(C26+D26+E26+F26+G26+H26+I26=K10*I10,0,K10*I10-I26-H26-G26-F26-E26-D26-C26),0)),'استهلاک ها'!J9)</f>
        <v>630000</v>
      </c>
      <c r="K26" s="703">
        <f>IF(مفروضات!$T$7=TRUE,IF((I10*12-$J$20-$I$20-$H$20-$G$20-$F$20-$E$20-$D$20-$C$20)&gt;0,IF((I10*12-$J$20-$I$20-$H$20-$G$20-$F$20-$E$20-$D$20-$C$20)&gt;12,K10*$K$20/12,IF((K10*I10-J26-I26-H26-G26-F26-E26-D26-C26)&gt;=K10,K10,(K10*I10-J26-I26-H26-G26-F26-E26-D26-C26))),IF(I10*12-$J$20-$I$20-$H$20-$G$20-$F$20-$E$20-$D$20-$C$20=0,IF(C26+D26+E26+F26+G26+H26+I26+J26=K10*I10,0,K10*I10-J26-I26-H26-G26-F26-E26-D26-C26),0)),'استهلاک ها'!K9)</f>
        <v>630000</v>
      </c>
      <c r="L26" s="703">
        <f>IF(مفروضات!$T$7=TRUE,IF((I10*12-$K$20-$J$20-$I$20-$H$20-$G$20-$F$20-$E$20-$D$20-$C$20)&gt;0,IF((I10*12-$K$20-$J$20-$I$20-$H$20-$G$20-$F$20-$E$20-$D$20-$C$20)&gt;12,K10*$L$20/12,IF((K10*I10-K26-J26-I26-H26-G26-F26-E26-D26-C26)&gt;=K10,K10,(K10*I10-K26-J26-I26-H26-G26-F26-E26-D26-C26))),IF(I10*12-$K$20-$J$20-$I$20-$H$20-$G$20-$F$20-$E$20-$D$20-$C$20=0,IF(C26+D26+E26+F26+G26+H26+I26+J26+K26=K10*I10,0,K10*I10-K26-J26-I26-H26-G26-F26-E26-D26-C26),0)),'استهلاک ها'!L9)</f>
        <v>630000</v>
      </c>
      <c r="M26" s="703">
        <f>IF(مفروضات!$T$7=TRUE,IF((I10*12-$L$20-$K$20-$J$20-$I$20-$H$20-$G$20-$F$20-$E$20-$D$20-$C$20)&gt;0,IF((I10*12-$L$20-$K$20-$J$20-$I$20-$H$20-$G$20-$F$20-$E$20-$D$20-$C$20)&gt;12,K10*$M$20/12,IF((K10*I10-L26-K26-J26-I26-H26-G26-F26-E26-D26-C26)&gt;=K10,K10,(K10*I10-L26-K26-J26-I26-H26-G26-F26-E26-D26-C26))),IF(I10*12-$L$20-$K$20-$J$20-$I$20-$H$20-$G$20-$F$20-$E$20-$D$20-$C$20=0,IF(C26+D26+E26+F26+G26+H26+I26+J26+K26+L26=K10*I10,0,K10*I10-L26-K26-J26-I26-H26-G26-F26-E26-D26-C26),0)),'استهلاک ها'!M9)</f>
        <v>0</v>
      </c>
      <c r="N26" s="408"/>
    </row>
    <row r="27" spans="2:14" ht="20.100000000000001" customHeight="1">
      <c r="B27" s="177" t="str">
        <f t="shared" si="5"/>
        <v>ساير هزينه هاي بخش ثابت</v>
      </c>
      <c r="C27" s="703">
        <f t="shared" si="6"/>
        <v>0</v>
      </c>
      <c r="D27" s="703">
        <f>IF(مفروضات!$T$7=TRUE,IF((I11*12-$C$20)&gt;0,IF((I11*12-$C$20)&gt;12,K11*$D$20/12,IF((K11*I11-C27)&gt;=K11,K11,(K11*I11-C27))),IF(I11*12-$C$20=0,IF(C27=K11*I11,0,K11*I11-C27),0)),'استهلاک ها'!D10)</f>
        <v>0</v>
      </c>
      <c r="E27" s="703">
        <f>IF(مفروضات!$T$7=TRUE,IF((I11*12-$D$20-$C$20)&gt;0,IF((I11*12-$D$20-$C$20)&gt;12,K11*$E$20/12,IF((K11*I11-D27-C27)&gt;=K11,K11,(K11*I11-D27-C27))),IF(I11*12-$D$20-$C$20=0,IF(C27+D27=K11*I11,0,K11*I11-D27-C27),0)),'استهلاک ها'!E10)</f>
        <v>0</v>
      </c>
      <c r="F27" s="703">
        <f>IF(مفروضات!$T$7=TRUE,IF((I11*12-$E$20-$D$20-$C$20)&gt;0,IF((I11*12-$E$20-$D$20-$C$20)&gt;12,K11*$F$20/12,IF((K11*I11-E27-D27-C27)&gt;=K11,K11,(K11*I11-E27-D27-C27))),IF(I11*12-$E$20-$D$20-$C$20=0,IF(C27+D27+E27=K11*I11,0,K11*I11-E27-D27-C27),0)),'استهلاک ها'!F10)</f>
        <v>0</v>
      </c>
      <c r="G27" s="703">
        <f>IF(مفروضات!$T$7=TRUE,IF((I11*12-$F$20-$E$20-$D$20-$C$20)&gt;0,IF((I11*12-$F$20-$E$20-$D$20-$C$20)&gt;12,K11*$G$20/12,IF((K11*I11-F27-E27-D27-C27)&gt;=K11,K11,(K11*I11-F27-E27-D27-C27))),IF(I11*12-$F$20-$E$20-$D$20-$C$20=0,IF(C27+D27+E27+F27=K11*I11,0,K11*I11-F27-E27-D27-C27),0)),'استهلاک ها'!G10)</f>
        <v>0</v>
      </c>
      <c r="H27" s="703">
        <f>IF(مفروضات!$T$7=TRUE,IF((I11*12-$G$20-$F$20-$E$20-$D$20-$C$20)&gt;0,IF((I11*12-$G$20-$F$20-$E$20-$D$20-$C$20)&gt;12,K11*$H$20/12,IF((K11*I11-G27-F27-E27-D27-C27)&gt;=K11,K11,(K11*I11-G27-F27-E27-D27-C27))),IF(I11*12-$G$20-$F$20-$E$20-$D$20-$C$20=0,IF(C27+D27+E27+F27+G27=K11*I11,0,K11*I11-G27-F27-E27-D27-C27),0)),'استهلاک ها'!H10)</f>
        <v>0</v>
      </c>
      <c r="I27" s="703">
        <f>IF(مفروضات!$T$7=TRUE,IF((I11*12-$H$20-$G$20-$F$20-$E$20-$D$20-$C$20)&gt;0,IF((I11*12-$H$20-$G$20-$F$20-$E$20-$D$20-$C$20)&gt;12,K11*$H$20/12,IF((K11*I11-H27-G27-F27-E27-D27-C27)&gt;=K11,K11,(K11*I11-H27-G27-F27-E27-D27-C27))),IF(I11*12-$H$20-$G$20-$F$20-$E$20-$D$20-$C$20=0,IF(C27+D27+E27+F27+G27+H27=K11*I11,0,K11*I11-H27-G27-F27-E27-D27-C27),0)),'استهلاک ها'!I10)</f>
        <v>0</v>
      </c>
      <c r="J27" s="703">
        <f>IF(مفروضات!$T$7=TRUE,IF((I11*12-$I$20-$H$20-$G$20-$F$20-$E$20-$D$20-$C$20)&gt;0,IF((I11*12-$I$20-$H$20-$G$20-$F$20-$E$20-$D$20-$C$20)&gt;12,K11*$J$20/12,IF((K11*I11-I27-H27-G27-F27-E27-D27-C27)&gt;=K11,K11,(K11*I11-I27-H27-G27-F27-E27-D27-C27))),IF(I11*12-$I$20-$H$20-$G$20-$F$20-$E$20-$D$20-$C$20=0,IF(C27+D27+E27+F27+G27+H27+I27=K11*I11,0,K11*I11-I27-H27-G27-F27-E27-D27-C27),0)),'استهلاک ها'!J10)</f>
        <v>0</v>
      </c>
      <c r="K27" s="703">
        <f>IF(مفروضات!$T$7=TRUE,IF((I11*12-$J$20-$I$20-$H$20-$G$20-$F$20-$E$20-$D$20-$C$20)&gt;0,IF((I11*12-$J$20-$I$20-$H$20-$G$20-$F$20-$E$20-$D$20-$C$20)&gt;12,K11*$K$20/12,IF((K11*I11-J27-I27-H27-G27-F27-E27-D27-C27)&gt;=K11,K11,(K11*I11-J27-I27-H27-G27-F27-E27-D27-C27))),IF(I11*12-$J$20-$I$20-$H$20-$G$20-$F$20-$E$20-$D$20-$C$20=0,IF(C27+D27+E27+F27+G27+H27+I27+J27=K11*I11,0,K11*I11-J27-I27-H27-G27-F27-E27-D27-C27),0)),'استهلاک ها'!K10)</f>
        <v>0</v>
      </c>
      <c r="L27" s="703">
        <f>IF(مفروضات!$T$7=TRUE,IF((I11*12-$K$20-$J$20-$I$20-$H$20-$G$20-$F$20-$E$20-$D$20-$C$20)&gt;0,IF((I11*12-$K$20-$J$20-$I$20-$H$20-$G$20-$F$20-$E$20-$D$20-$C$20)&gt;12,K11*$L$20/12,IF((K11*I11-K27-J27-I27-H27-G27-F27-E27-D27-C27)&gt;=K11,K11,(K11*I11-K27-J27-I27-H27-G27-F27-E27-D27-C27))),IF(I11*12-$K$20-$J$20-$I$20-$H$20-$G$20-$F$20-$E$20-$D$20-$C$20=0,IF(C27+D27+E27+F27+G27+H27+I27+J27+K27=K11*I11,0,K11*I11-K27-J27-I27-H27-G27-F27-E27-D27-C27),0)),'استهلاک ها'!L10)</f>
        <v>0</v>
      </c>
      <c r="M27" s="703">
        <f>IF(مفروضات!$T$7=TRUE,IF((I11*12-$L$20-$K$20-$J$20-$I$20-$H$20-$G$20-$F$20-$E$20-$D$20-$C$20)&gt;0,IF((I11*12-$L$20-$K$20-$J$20-$I$20-$H$20-$G$20-$F$20-$E$20-$D$20-$C$20)&gt;12,K11*$M$20/12,IF((K11*I11-L27-K27-J27-I27-H27-G27-F27-E27-D27-C27)&gt;=K11,K11,(K11*I11-L27-K27-J27-I27-H27-G27-F27-E27-D27-C27))),IF(I11*12-$L$20-$K$20-$J$20-$I$20-$H$20-$G$20-$F$20-$E$20-$D$20-$C$20=0,IF(C27+D27+E27+F27+G27+H27+I27+J27+K27+L27=K11*I11,0,K11*I11-L27-K27-J27-I27-H27-G27-F27-E27-D27-C27),0)),'استهلاک ها'!M10)</f>
        <v>0</v>
      </c>
      <c r="N27" s="408"/>
    </row>
    <row r="28" spans="2:14" ht="20.100000000000001" customHeight="1">
      <c r="B28" s="177" t="str">
        <f t="shared" si="5"/>
        <v>هزينه‌هاي پيش‌بيني‌نشده‌</v>
      </c>
      <c r="C28" s="703">
        <f t="shared" si="6"/>
        <v>419850</v>
      </c>
      <c r="D28" s="703">
        <f>IF(مفروضات!$T$7=TRUE,IF((I12*12-$C$20)&gt;0,IF((I12*12-$C$20)&gt;12,K12*$D$20/12,IF((K12*I12-C28)&gt;=K12,K12,(K12*I12-C28))),IF(I12*12-$C$20=0,IF(C28=K12*I12,0,K12*I12-C28),0)),'استهلاک ها'!D11)</f>
        <v>419850</v>
      </c>
      <c r="E28" s="703">
        <f>IF(مفروضات!$T$7=TRUE,IF((I12*12-$D$20-$C$20)&gt;0,IF((I12*12-$D$20-$C$20)&gt;12,K12*$E$20/12,IF((K12*I12-D28-C28)&gt;=K12,K12,(K12*I12-D28-C28))),IF(I12*12-$D$20-$C$20=0,IF(C28+D28=K12*I12,0,K12*I12-D28-C28),0)),'استهلاک ها'!E11)</f>
        <v>419850</v>
      </c>
      <c r="F28" s="703">
        <f>IF(مفروضات!$T$7=TRUE,IF((I12*12-$E$20-$D$20-$C$20)&gt;0,IF((I12*12-$E$20-$D$20-$C$20)&gt;12,K12*$F$20/12,IF((K12*I12-E28-D28-C28)&gt;=K12,K12,(K12*I12-E28-D28-C28))),IF(I12*12-$E$20-$D$20-$C$20=0,IF(C28+D28+E28=K12*I12,0,K12*I12-E28-D28-C28),0)),'استهلاک ها'!F11)</f>
        <v>419850</v>
      </c>
      <c r="G28" s="703">
        <f>IF(مفروضات!$T$7=TRUE,IF((I12*12-$F$20-$E$20-$D$20-$C$20)&gt;0,IF((I12*12-$F$20-$E$20-$D$20-$C$20)&gt;12,K12*$G$20/12,IF((K12*I12-F28-E28-D28-C28)&gt;=K12,K12,(K12*I12-F28-E28-D28-C28))),IF(I12*12-$F$20-$E$20-$D$20-$C$20=0,IF(C28+D28+E28+F28=K12*I12,0,K12*I12-F28-E28-D28-C28),0)),'استهلاک ها'!G11)</f>
        <v>419850</v>
      </c>
      <c r="H28" s="703">
        <f>IF(مفروضات!$T$7=TRUE,IF((I12*12-$G$20-$F$20-$E$20-$D$20-$C$20)&gt;0,IF((I12*12-$G$20-$F$20-$E$20-$D$20-$C$20)&gt;12,K12*$H$20/12,IF((K12*I12-G28-F28-E28-D28-C28)&gt;=K12,K12,(K12*I12-G28-F28-E28-D28-C28))),IF(I12*12-$G$20-$F$20-$E$20-$D$20-$C$20=0,IF(C28+D28+E28+F28+G28=K12*I12,0,K12*I12-G28-F28-E28-D28-C28),0)),'استهلاک ها'!H11)</f>
        <v>419850</v>
      </c>
      <c r="I28" s="703">
        <f>IF(مفروضات!$T$7=TRUE,IF((I12*12-$H$20-$G$20-$F$20-$E$20-$D$20-$C$20)&gt;0,IF((I12*12-$H$20-$G$20-$F$20-$E$20-$D$20-$C$20)&gt;12,K12*$H$20/12,IF((K12*I12-H28-G28-F28-E28-D28-C28)&gt;=K12,K12,(K12*I12-H28-G28-F28-E28-D28-C28))),IF(I12*12-$H$20-$G$20-$F$20-$E$20-$D$20-$C$20=0,IF(C28+D28+E28+F28+G28+H28=K12*I12,0,K12*I12-H28-G28-F28-E28-D28-C28),0)),'استهلاک ها'!I11)</f>
        <v>419850</v>
      </c>
      <c r="J28" s="703">
        <f>IF(مفروضات!$T$7=TRUE,IF((I12*12-$I$20-$H$20-$G$20-$F$20-$E$20-$D$20-$C$20)&gt;0,IF((I12*12-$I$20-$H$20-$G$20-$F$20-$E$20-$D$20-$C$20)&gt;12,K12*$J$20/12,IF((K12*I12-I28-H28-G28-F28-E28-D28-C28)&gt;=K12,K12,(K12*I12-I28-H28-G28-F28-E28-D28-C28))),IF(I12*12-$I$20-$H$20-$G$20-$F$20-$E$20-$D$20-$C$20=0,IF(C28+D28+E28+F28+G28+H28+I28=K12*I12,0,K12*I12-I28-H28-G28-F28-E28-D28-C28),0)),'استهلاک ها'!J11)</f>
        <v>419850</v>
      </c>
      <c r="K28" s="703">
        <f>IF(مفروضات!$T$7=TRUE,IF((I12*12-$J$20-$I$20-$H$20-$G$20-$F$20-$E$20-$D$20-$C$20)&gt;0,IF((I12*12-$J$20-$I$20-$H$20-$G$20-$F$20-$E$20-$D$20-$C$20)&gt;12,K12*$K$20/12,IF((K12*I12-J28-I28-H28-G28-F28-E28-D28-C28)&gt;=K12,K12,(K12*I12-J28-I28-H28-G28-F28-E28-D28-C28))),IF(I12*12-$J$20-$I$20-$H$20-$G$20-$F$20-$E$20-$D$20-$C$20=0,IF(C28+D28+E28+F28+G28+H28+I28+J28=K12*I12,0,K12*I12-J28-I28-H28-G28-F28-E28-D28-C28),0)),'استهلاک ها'!K11)</f>
        <v>419850</v>
      </c>
      <c r="L28" s="703">
        <f>IF(مفروضات!$T$7=TRUE,IF((I12*12-$K$20-$J$20-$I$20-$H$20-$G$20-$F$20-$E$20-$D$20-$C$20)&gt;0,IF((I12*12-$K$20-$J$20-$I$20-$H$20-$G$20-$F$20-$E$20-$D$20-$C$20)&gt;12,K12*$L$20/12,IF((K12*I12-K28-J28-I28-H28-G28-F28-E28-D28-C28)&gt;=K12,K12,(K12*I12-K28-J28-I28-H28-G28-F28-E28-D28-C28))),IF(I12*12-$K$20-$J$20-$I$20-$H$20-$G$20-$F$20-$E$20-$D$20-$C$20=0,IF(C28+D28+E28+F28+G28+H28+I28+J28+K28=K12*I12,0,K12*I12-K28-J28-I28-H28-G28-F28-E28-D28-C28),0)),'استهلاک ها'!L11)</f>
        <v>419850</v>
      </c>
      <c r="M28" s="703">
        <f>IF(مفروضات!$T$7=TRUE,IF((I12*12-$L$20-$K$20-$J$20-$I$20-$H$20-$G$20-$F$20-$E$20-$D$20-$C$20)&gt;0,IF((I12*12-$L$20-$K$20-$J$20-$I$20-$H$20-$G$20-$F$20-$E$20-$D$20-$C$20)&gt;12,K12*$M$20/12,IF((K12*I12-L28-K28-J28-I28-H28-G28-F28-E28-D28-C28)&gt;=K12,K12,(K12*I12-L28-K28-J28-I28-H28-G28-F28-E28-D28-C28))),IF(I12*12-$L$20-$K$20-$J$20-$I$20-$H$20-$G$20-$F$20-$E$20-$D$20-$C$20=0,IF(C28+D28+E28+F28+G28+H28+I28+J28+K28+L28=K12*I12,0,K12*I12-L28-K28-J28-I28-H28-G28-F28-E28-D28-C28),0)),'استهلاک ها'!M11)</f>
        <v>0</v>
      </c>
      <c r="N28" s="408"/>
    </row>
    <row r="29" spans="2:14" ht="20.100000000000001" customHeight="1">
      <c r="B29" s="177" t="str">
        <f t="shared" si="5"/>
        <v>هزينه هاي قبل از بهره برداري</v>
      </c>
      <c r="C29" s="703">
        <f t="shared" si="6"/>
        <v>229500253.62035227</v>
      </c>
      <c r="D29" s="703">
        <f>IF(مفروضات!$T$7=TRUE,IF((I13*12-$C$20)&gt;0,IF((I13*12-$C$20)&gt;12,K13*$D$20/12,IF((K13*I13-C29)&gt;=K13,K13,(K13*I13-C29))),IF(I13*12-$C$20=0,IF(C29=K13*I13,0,K13*I13-C29),0)),'استهلاک ها'!D12)</f>
        <v>229500253.62035227</v>
      </c>
      <c r="E29" s="703">
        <f>IF(مفروضات!$T$7=TRUE,IF((I13*12-$D$20-$C$20)&gt;0,IF((I13*12-$D$20-$C$20)&gt;12,K13*$E$20/12,IF((K13*I13-D29-C29)&gt;=K13,K13,(K13*I13-D29-C29))),IF(I13*12-$D$20-$C$20=0,IF(C29+D29=K13*I13,0,K13*I13-D29-C29),0)),'استهلاک ها'!E12)</f>
        <v>229500253.62035227</v>
      </c>
      <c r="F29" s="703">
        <f>IF(مفروضات!$T$7=TRUE,IF((I13*12-$E$20-$D$20-$C$20)&gt;0,IF((I13*12-$E$20-$D$20-$C$20)&gt;12,K13*$F$20/12,IF((K13*I13-E29-D29-C29)&gt;=K13,K13,(K13*I13-E29-D29-C29))),IF(I13*12-$E$20-$D$20-$C$20=0,IF(C29+D29+E29=K13*I13,0,K13*I13-E29-D29-C29),0)),'استهلاک ها'!F12)</f>
        <v>229500253.62035227</v>
      </c>
      <c r="G29" s="703">
        <f>IF(مفروضات!$T$7=TRUE,IF((I13*12-$F$20-$E$20-$D$20-$C$20)&gt;0,IF((I13*12-$F$20-$E$20-$D$20-$C$20)&gt;12,K13*$G$20/12,IF((K13*I13-F29-E29-D29-C29)&gt;=K13,K13,(K13*I13-F29-E29-D29-C29))),IF(I13*12-$F$20-$E$20-$D$20-$C$20=0,IF(C29+D29+E29+F29=K13*I13,0,K13*I13-F29-E29-D29-C29),0)),'استهلاک ها'!G12)</f>
        <v>229500253.62035227</v>
      </c>
      <c r="H29" s="703">
        <f>IF(مفروضات!$T$7=TRUE,IF((I13*12-$G$20-$F$20-$E$20-$D$20-$C$20)&gt;0,IF((I13*12-$G$20-$F$20-$E$20-$D$20-$C$20)&gt;12,K13*$H$20/12,IF((K13*I13-G29-F29-E29-D29-C29)&gt;=K13,K13,(K13*I13-G29-F29-E29-D29-C29))),IF(I13*12-$G$20-$F$20-$E$20-$D$20-$C$20=0,IF(C29+D29+E29+F29+G29=K13*I13,0,K13*I13-G29-F29-E29-D29-C29),0)),'استهلاک ها'!H12)</f>
        <v>0</v>
      </c>
      <c r="I29" s="703">
        <f>IF(مفروضات!$T$7=TRUE,IF((I13*12-$H$20-$G$20-$F$20-$E$20-$D$20-$C$20)&gt;0,IF((I13*12-$H$20-$G$20-$F$20-$E$20-$D$20-$C$20)&gt;12,K13*$H$20/12,IF((K13*I13-H29-G29-F29-E29-D29-C29)&gt;=K13,K13,(K13*I13-H29-G29-F29-E29-D29-C29))),IF(I13*12-$H$20-$G$20-$F$20-$E$20-$D$20-$C$20=0,IF(C29+D29+E29+F29+G29+H29=K13*I13,0,K13*I13-H29-G29-F29-E29-D29-C29),0)),'استهلاک ها'!I12)</f>
        <v>0</v>
      </c>
      <c r="J29" s="703">
        <f>IF(مفروضات!$T$7=TRUE,IF((I13*12-$I$20-$H$20-$G$20-$F$20-$E$20-$D$20-$C$20)&gt;0,IF((I13*12-$I$20-$H$20-$G$20-$F$20-$E$20-$D$20-$C$20)&gt;12,K13*$J$20/12,IF((K13*I13-I29-H29-G29-F29-E29-D29-C29)&gt;=K13,K13,(K13*I13-I29-H29-G29-F29-E29-D29-C29))),IF(I13*12-$I$20-$H$20-$G$20-$F$20-$E$20-$D$20-$C$20=0,IF(C29+D29+E29+F29+G29+H29+I29=K13*I13,0,K13*I13-I29-H29-G29-F29-E29-D29-C29),0)),'استهلاک ها'!J12)</f>
        <v>0</v>
      </c>
      <c r="K29" s="703">
        <f>IF(مفروضات!$T$7=TRUE,IF((I13*12-$J$20-$I$20-$H$20-$G$20-$F$20-$E$20-$D$20-$C$20)&gt;0,IF((I13*12-$J$20-$I$20-$H$20-$G$20-$F$20-$E$20-$D$20-$C$20)&gt;12,K13*$K$20/12,IF((K13*I13-J29-I29-H29-G29-F29-E29-D29-C29)&gt;=K13,K13,(K13*I13-J29-I29-H29-G29-F29-E29-D29-C29))),IF(I13*12-$J$20-$I$20-$H$20-$G$20-$F$20-$E$20-$D$20-$C$20=0,IF(C29+D29+E29+F29+G29+H29+I29+J29=K13*I13,0,K13*I13-J29-I29-H29-G29-F29-E29-D29-C29),0)),'استهلاک ها'!K12)</f>
        <v>0</v>
      </c>
      <c r="L29" s="703">
        <f>IF(مفروضات!$T$7=TRUE,IF((I13*12-$K$20-$J$20-$I$20-$H$20-$G$20-$F$20-$E$20-$D$20-$C$20)&gt;0,IF((I13*12-$K$20-$J$20-$I$20-$H$20-$G$20-$F$20-$E$20-$D$20-$C$20)&gt;12,K13*$L$20/12,IF((K13*I13-K29-J29-I29-H29-G29-F29-E29-D29-C29)&gt;=K13,K13,(K13*I13-K29-J29-I29-H29-G29-F29-E29-D29-C29))),IF(I13*12-$K$20-$J$20-$I$20-$H$20-$G$20-$F$20-$E$20-$D$20-$C$20=0,IF(C29+D29+E29+F29+G29+H29+I29+J29+K29=K13*I13,0,K13*I13-K29-J29-I29-H29-G29-F29-E29-D29-C29),0)),'استهلاک ها'!L12)</f>
        <v>0</v>
      </c>
      <c r="M29" s="703">
        <f>IF(مفروضات!$T$7=TRUE,IF((I13*12-$L$20-$K$20-$J$20-$I$20-$H$20-$G$20-$F$20-$E$20-$D$20-$C$20)&gt;0,IF((I13*12-$L$20-$K$20-$J$20-$I$20-$H$20-$G$20-$F$20-$E$20-$D$20-$C$20)&gt;12,K13*$M$20/12,IF((K13*I13-L29-K29-J29-I29-H29-G29-F29-E29-D29-C29)&gt;=K13,K13,(K13*I13-L29-K29-J29-I29-H29-G29-F29-E29-D29-C29))),IF(I13*12-$L$20-$K$20-$J$20-$I$20-$H$20-$G$20-$F$20-$E$20-$D$20-$C$20=0,IF(C29+D29+E29+F29+G29+H29+I29+J29+K29+L29=K13*I13,0,K13*I13-L29-K29-J29-I29-H29-G29-F29-E29-D29-C29),0)),'استهلاک ها'!M12)</f>
        <v>0</v>
      </c>
      <c r="N29" s="408"/>
    </row>
    <row r="30" spans="2:14" ht="24.9" customHeight="1" thickBot="1">
      <c r="B30" s="257" t="s">
        <v>8</v>
      </c>
      <c r="C30" s="656">
        <f>SUM(C21:C29)</f>
        <v>237606103.62035227</v>
      </c>
      <c r="D30" s="656">
        <f t="shared" ref="D30:M30" si="7">SUM(D21:D29)</f>
        <v>237606103.62035227</v>
      </c>
      <c r="E30" s="656">
        <f t="shared" si="7"/>
        <v>237606103.62035227</v>
      </c>
      <c r="F30" s="656">
        <f t="shared" si="7"/>
        <v>237606103.62035227</v>
      </c>
      <c r="G30" s="656">
        <f t="shared" si="7"/>
        <v>237606103.62035227</v>
      </c>
      <c r="H30" s="656">
        <f t="shared" si="7"/>
        <v>6215850.0000000009</v>
      </c>
      <c r="I30" s="656">
        <f t="shared" si="7"/>
        <v>6215850.0000000009</v>
      </c>
      <c r="J30" s="656">
        <f t="shared" si="7"/>
        <v>6215850.0000000009</v>
      </c>
      <c r="K30" s="656">
        <f t="shared" si="7"/>
        <v>6215850.0000000009</v>
      </c>
      <c r="L30" s="656">
        <f t="shared" si="7"/>
        <v>6215850.0000000009</v>
      </c>
      <c r="M30" s="656">
        <f t="shared" si="7"/>
        <v>5166000.0000000009</v>
      </c>
      <c r="N30" s="408"/>
    </row>
    <row r="31" spans="2:14">
      <c r="N31" s="408"/>
    </row>
  </sheetData>
  <mergeCells count="13">
    <mergeCell ref="B16:M16"/>
    <mergeCell ref="A14:B14"/>
    <mergeCell ref="A2:A3"/>
    <mergeCell ref="B2:B3"/>
    <mergeCell ref="C2:D2"/>
    <mergeCell ref="J2:J3"/>
    <mergeCell ref="I2:I3"/>
    <mergeCell ref="K2:K3"/>
    <mergeCell ref="A1:J1"/>
    <mergeCell ref="E2:E3"/>
    <mergeCell ref="F2:F3"/>
    <mergeCell ref="G2:G3"/>
    <mergeCell ref="H2:H3"/>
  </mergeCells>
  <phoneticPr fontId="0" type="noConversion"/>
  <printOptions horizontalCentered="1" verticalCentered="1"/>
  <pageMargins left="0.78740157480314965" right="1.5748031496062993" top="0.39370078740157483" bottom="0.39370078740157483" header="0" footer="0"/>
  <pageSetup paperSize="9" scale="62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2"/>
  <dimension ref="A1:G22"/>
  <sheetViews>
    <sheetView rightToLeft="1" view="pageBreakPreview" zoomScale="115" zoomScaleNormal="115" zoomScaleSheetLayoutView="115" workbookViewId="0">
      <selection activeCell="M21" sqref="M21"/>
    </sheetView>
  </sheetViews>
  <sheetFormatPr defaultColWidth="9.109375" defaultRowHeight="18.600000000000001"/>
  <cols>
    <col min="1" max="1" width="3.5546875" style="96" customWidth="1"/>
    <col min="2" max="2" width="45" style="248" customWidth="1"/>
    <col min="3" max="3" width="4.88671875" style="248" customWidth="1"/>
    <col min="4" max="4" width="16.44140625" style="248" customWidth="1"/>
    <col min="5" max="5" width="20.33203125" style="64" customWidth="1"/>
    <col min="6" max="6" width="8.5546875" style="64" hidden="1" customWidth="1"/>
    <col min="7" max="16384" width="9.109375" style="64"/>
  </cols>
  <sheetData>
    <row r="1" spans="1:7" ht="27.75" customHeight="1" thickBot="1">
      <c r="A1" s="1043" t="s">
        <v>180</v>
      </c>
      <c r="B1" s="1043"/>
      <c r="C1" s="1043"/>
      <c r="D1" s="1043"/>
      <c r="E1" s="1043"/>
      <c r="F1" s="1043"/>
    </row>
    <row r="2" spans="1:7" ht="50.25" customHeight="1">
      <c r="A2" s="475" t="s">
        <v>6</v>
      </c>
      <c r="B2" s="1044" t="s">
        <v>7</v>
      </c>
      <c r="C2" s="1044"/>
      <c r="D2" s="476" t="s">
        <v>171</v>
      </c>
      <c r="E2" s="476" t="s">
        <v>319</v>
      </c>
      <c r="F2" s="477" t="s">
        <v>24</v>
      </c>
    </row>
    <row r="3" spans="1:7" ht="23.25" customHeight="1">
      <c r="A3" s="478">
        <v>1</v>
      </c>
      <c r="B3" s="1042" t="s">
        <v>137</v>
      </c>
      <c r="C3" s="1042"/>
      <c r="D3" s="652">
        <f>'مواد اوليه'!K64</f>
        <v>0</v>
      </c>
      <c r="E3" s="652">
        <f>D3*'برآورد فروش'!$G$4</f>
        <v>0</v>
      </c>
      <c r="F3" s="704">
        <f>E3/$E$20</f>
        <v>0</v>
      </c>
    </row>
    <row r="4" spans="1:7" ht="23.25" customHeight="1">
      <c r="A4" s="478">
        <v>2</v>
      </c>
      <c r="B4" s="1042" t="s">
        <v>79</v>
      </c>
      <c r="C4" s="1042"/>
      <c r="D4" s="652">
        <f>'نيروي انساني'!P34</f>
        <v>5028000</v>
      </c>
      <c r="E4" s="652">
        <f>D4*'برآورد فروش'!$G$4</f>
        <v>5028000</v>
      </c>
      <c r="F4" s="704">
        <f t="shared" ref="F4:F20" si="0">E4/$E$20</f>
        <v>1.704928682949158E-2</v>
      </c>
    </row>
    <row r="5" spans="1:7" ht="23.25" customHeight="1">
      <c r="A5" s="478">
        <v>3</v>
      </c>
      <c r="B5" s="1042" t="s">
        <v>80</v>
      </c>
      <c r="C5" s="1042"/>
      <c r="D5" s="652">
        <f>'نيروي انساني'!P17</f>
        <v>15084000</v>
      </c>
      <c r="E5" s="652">
        <f>D5*'برآورد فروش'!$G$4</f>
        <v>15084000</v>
      </c>
      <c r="F5" s="704">
        <f t="shared" si="0"/>
        <v>5.1147860488474736E-2</v>
      </c>
      <c r="G5" s="534"/>
    </row>
    <row r="6" spans="1:7" ht="23.25" customHeight="1">
      <c r="A6" s="478">
        <v>4</v>
      </c>
      <c r="B6" s="1042" t="s">
        <v>138</v>
      </c>
      <c r="C6" s="1042"/>
      <c r="D6" s="652">
        <f>' مصرفي'!K15</f>
        <v>0</v>
      </c>
      <c r="E6" s="652">
        <f>D6*'برآورد فروش'!$G$4</f>
        <v>0</v>
      </c>
      <c r="F6" s="704">
        <f t="shared" si="0"/>
        <v>0</v>
      </c>
    </row>
    <row r="7" spans="1:7" ht="23.25" customHeight="1">
      <c r="A7" s="478">
        <v>5</v>
      </c>
      <c r="B7" s="1042" t="s">
        <v>100</v>
      </c>
      <c r="C7" s="1042"/>
      <c r="D7" s="652">
        <f>'تعميرات و نگهداري '!H12</f>
        <v>3904500</v>
      </c>
      <c r="E7" s="652">
        <f>D7*'برآورد فروش'!$G$4</f>
        <v>3904500</v>
      </c>
      <c r="F7" s="704">
        <f t="shared" si="0"/>
        <v>1.32396460671738E-2</v>
      </c>
    </row>
    <row r="8" spans="1:7" ht="23.25" customHeight="1">
      <c r="A8" s="478">
        <v>6</v>
      </c>
      <c r="B8" s="1042" t="s">
        <v>37</v>
      </c>
      <c r="C8" s="1042"/>
      <c r="D8" s="652">
        <f>استهلاك!K14-استهلاك!K13</f>
        <v>8105850</v>
      </c>
      <c r="E8" s="652">
        <f>D8</f>
        <v>8105850</v>
      </c>
      <c r="F8" s="704">
        <f t="shared" si="0"/>
        <v>2.7485871449251055E-2</v>
      </c>
    </row>
    <row r="9" spans="1:7" ht="23.25" customHeight="1">
      <c r="A9" s="478">
        <v>7</v>
      </c>
      <c r="B9" s="1042" t="s">
        <v>73</v>
      </c>
      <c r="C9" s="1042"/>
      <c r="D9" s="652">
        <f>('سرمايه‌‌گذاري طرح'!F13-'سرمايه‌‌گذاري طرح'!F4)*1.5/100</f>
        <v>2937675</v>
      </c>
      <c r="E9" s="652">
        <f>D9*'برآورد فروش'!$G$4</f>
        <v>2937675</v>
      </c>
      <c r="F9" s="704">
        <f t="shared" si="0"/>
        <v>9.9612696274516046E-3</v>
      </c>
    </row>
    <row r="10" spans="1:7" ht="23.25" customHeight="1">
      <c r="A10" s="478">
        <v>8</v>
      </c>
      <c r="B10" s="247" t="s">
        <v>460</v>
      </c>
      <c r="C10" s="875">
        <v>0.1</v>
      </c>
      <c r="D10" s="652">
        <f>(SUM(D3:D7)+D9)*C10</f>
        <v>2695417.5</v>
      </c>
      <c r="E10" s="652">
        <f>D10*'برآورد فروش'!$G$4</f>
        <v>2695417.5</v>
      </c>
      <c r="F10" s="704">
        <f t="shared" si="0"/>
        <v>9.1398063012591724E-3</v>
      </c>
    </row>
    <row r="11" spans="1:7" ht="30.75" customHeight="1">
      <c r="A11" s="1050" t="s">
        <v>39</v>
      </c>
      <c r="B11" s="1042"/>
      <c r="C11" s="1042"/>
      <c r="D11" s="652">
        <f>SUM(D3:D10)</f>
        <v>37755442.5</v>
      </c>
      <c r="E11" s="652">
        <f>SUM(E3:E10)</f>
        <v>37755442.5</v>
      </c>
      <c r="F11" s="705">
        <f t="shared" si="0"/>
        <v>0.12802374076310194</v>
      </c>
    </row>
    <row r="12" spans="1:7" ht="23.25" customHeight="1">
      <c r="A12" s="478">
        <v>1</v>
      </c>
      <c r="B12" s="1042" t="s">
        <v>78</v>
      </c>
      <c r="C12" s="1042"/>
      <c r="D12" s="652">
        <f>'نيروي انساني'!P52</f>
        <v>27654000</v>
      </c>
      <c r="E12" s="652">
        <f>D12</f>
        <v>27654000</v>
      </c>
      <c r="F12" s="704">
        <f t="shared" si="0"/>
        <v>9.3771077562203681E-2</v>
      </c>
      <c r="G12" s="535"/>
    </row>
    <row r="13" spans="1:7" ht="23.25" customHeight="1">
      <c r="A13" s="478">
        <v>2</v>
      </c>
      <c r="B13" s="474" t="s">
        <v>462</v>
      </c>
      <c r="C13" s="875">
        <v>0.01</v>
      </c>
      <c r="D13" s="652">
        <f>'برآورد فروش'!A39*C13/'برآورد فروش'!H4</f>
        <v>0.12</v>
      </c>
      <c r="E13" s="652">
        <f>D13*'برآورد فروش'!$G$4</f>
        <v>0.12</v>
      </c>
      <c r="F13" s="704">
        <f t="shared" si="0"/>
        <v>4.0690422027426201E-10</v>
      </c>
      <c r="G13" s="535"/>
    </row>
    <row r="14" spans="1:7" ht="29.25" customHeight="1">
      <c r="A14" s="1046" t="s">
        <v>87</v>
      </c>
      <c r="B14" s="1047"/>
      <c r="C14" s="1047"/>
      <c r="D14" s="652">
        <f>SUM(D12:D13)</f>
        <v>27654000.120000001</v>
      </c>
      <c r="E14" s="652">
        <f>SUM(E12:E13)</f>
        <v>27654000.120000001</v>
      </c>
      <c r="F14" s="705">
        <f t="shared" si="0"/>
        <v>9.3771077969107899E-2</v>
      </c>
    </row>
    <row r="15" spans="1:7" ht="24.75" customHeight="1">
      <c r="A15" s="478">
        <v>1</v>
      </c>
      <c r="B15" s="1042" t="s">
        <v>242</v>
      </c>
      <c r="C15" s="1042"/>
      <c r="D15" s="652">
        <f>استهلاك!K13</f>
        <v>229500253.62035227</v>
      </c>
      <c r="E15" s="652">
        <f>D15</f>
        <v>229500253.62035227</v>
      </c>
      <c r="F15" s="704">
        <f t="shared" si="0"/>
        <v>0.77820518126779015</v>
      </c>
    </row>
    <row r="16" spans="1:7" ht="24.75" customHeight="1">
      <c r="A16" s="478">
        <v>2</v>
      </c>
      <c r="B16" s="1042" t="s">
        <v>38</v>
      </c>
      <c r="C16" s="1042"/>
      <c r="D16" s="652">
        <f>'منابع تامين سرمايه گذاري'!E34+'منابع تامين سرمايه گذاري'!E47</f>
        <v>0</v>
      </c>
      <c r="E16" s="652">
        <f>D16</f>
        <v>0</v>
      </c>
      <c r="F16" s="704">
        <f>E16/$E$20</f>
        <v>0</v>
      </c>
    </row>
    <row r="17" spans="1:6" ht="24.75" customHeight="1">
      <c r="A17" s="478">
        <v>3</v>
      </c>
      <c r="B17" s="1051" t="s">
        <v>286</v>
      </c>
      <c r="C17" s="1051"/>
      <c r="D17" s="651"/>
      <c r="E17" s="651"/>
      <c r="F17" s="704">
        <f t="shared" si="0"/>
        <v>0</v>
      </c>
    </row>
    <row r="18" spans="1:6" ht="24.75" customHeight="1">
      <c r="A18" s="478">
        <v>4</v>
      </c>
      <c r="B18" s="1051" t="s">
        <v>306</v>
      </c>
      <c r="C18" s="1051"/>
      <c r="D18" s="651">
        <v>0</v>
      </c>
      <c r="E18" s="651">
        <f>D18</f>
        <v>0</v>
      </c>
      <c r="F18" s="704">
        <f t="shared" si="0"/>
        <v>0</v>
      </c>
    </row>
    <row r="19" spans="1:6" ht="28.5" customHeight="1">
      <c r="A19" s="1046" t="s">
        <v>77</v>
      </c>
      <c r="B19" s="1047"/>
      <c r="C19" s="1047"/>
      <c r="D19" s="652">
        <f>SUM(D15:D18)</f>
        <v>229500253.62035227</v>
      </c>
      <c r="E19" s="652">
        <f>SUM(E15:E18)</f>
        <v>229500253.62035227</v>
      </c>
      <c r="F19" s="705">
        <f t="shared" si="0"/>
        <v>0.77820518126779015</v>
      </c>
    </row>
    <row r="20" spans="1:6" ht="28.5" customHeight="1" thickBot="1">
      <c r="A20" s="1048" t="s">
        <v>81</v>
      </c>
      <c r="B20" s="1049"/>
      <c r="C20" s="1049"/>
      <c r="D20" s="707">
        <f>D11+D14+D19</f>
        <v>294909696.24035227</v>
      </c>
      <c r="E20" s="707">
        <f>E11+E14+E19</f>
        <v>294909696.24035227</v>
      </c>
      <c r="F20" s="706">
        <f t="shared" si="0"/>
        <v>1</v>
      </c>
    </row>
    <row r="21" spans="1:6" ht="22.5" customHeight="1">
      <c r="A21" s="1045"/>
      <c r="B21" s="1045"/>
      <c r="C21" s="1045"/>
      <c r="D21" s="1045"/>
      <c r="E21" s="1045"/>
    </row>
    <row r="22" spans="1:6" ht="22.5" customHeight="1"/>
  </sheetData>
  <mergeCells count="19">
    <mergeCell ref="A21:E21"/>
    <mergeCell ref="A19:C19"/>
    <mergeCell ref="A20:C20"/>
    <mergeCell ref="A11:C11"/>
    <mergeCell ref="A14:C14"/>
    <mergeCell ref="B15:C15"/>
    <mergeCell ref="B16:C16"/>
    <mergeCell ref="B17:C17"/>
    <mergeCell ref="B18:C18"/>
    <mergeCell ref="B12:C12"/>
    <mergeCell ref="B8:C8"/>
    <mergeCell ref="A1:F1"/>
    <mergeCell ref="B9:C9"/>
    <mergeCell ref="B4:C4"/>
    <mergeCell ref="B5:C5"/>
    <mergeCell ref="B6:C6"/>
    <mergeCell ref="B7:C7"/>
    <mergeCell ref="B2:C2"/>
    <mergeCell ref="B3:C3"/>
  </mergeCells>
  <phoneticPr fontId="0" type="noConversion"/>
  <printOptions horizontalCentered="1"/>
  <pageMargins left="0.59055118110236227" right="0.59055118110236227" top="1.7716535433070868" bottom="0.39370078740157483" header="0" footer="0"/>
  <pageSetup paperSize="9" scale="8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4"/>
  <dimension ref="A1:S41"/>
  <sheetViews>
    <sheetView rightToLeft="1" view="pageBreakPreview" zoomScale="90" zoomScaleNormal="100" zoomScaleSheetLayoutView="90" workbookViewId="0">
      <selection activeCell="E6" sqref="E6"/>
    </sheetView>
  </sheetViews>
  <sheetFormatPr defaultColWidth="15.33203125" defaultRowHeight="17.399999999999999"/>
  <cols>
    <col min="1" max="1" width="23.88671875" style="220" customWidth="1"/>
    <col min="2" max="2" width="15.109375" style="220" customWidth="1"/>
    <col min="3" max="12" width="16" style="220" bestFit="1" customWidth="1"/>
    <col min="13" max="13" width="16.109375" style="220" bestFit="1" customWidth="1"/>
    <col min="14" max="14" width="8.88671875" style="220" bestFit="1" customWidth="1"/>
    <col min="15" max="15" width="13.5546875" style="220" customWidth="1"/>
    <col min="16" max="17" width="6.5546875" style="220" bestFit="1" customWidth="1"/>
    <col min="18" max="18" width="7.44140625" style="220" bestFit="1" customWidth="1"/>
    <col min="19" max="19" width="12.44140625" style="220" bestFit="1" customWidth="1"/>
    <col min="20" max="20" width="6.5546875" style="220" bestFit="1" customWidth="1"/>
    <col min="21" max="21" width="11.5546875" style="220" bestFit="1" customWidth="1"/>
    <col min="22" max="22" width="6.5546875" style="220" bestFit="1" customWidth="1"/>
    <col min="23" max="23" width="8.109375" style="220" bestFit="1" customWidth="1"/>
    <col min="24" max="24" width="11" style="220" customWidth="1"/>
    <col min="25" max="16384" width="15.33203125" style="220"/>
  </cols>
  <sheetData>
    <row r="1" spans="1:14" ht="26.25" customHeight="1" thickBot="1">
      <c r="A1" s="1052" t="s">
        <v>140</v>
      </c>
      <c r="B1" s="1052"/>
      <c r="C1" s="1052"/>
      <c r="D1" s="1052"/>
      <c r="E1" s="1052"/>
      <c r="F1" s="1052"/>
      <c r="G1" s="1052"/>
      <c r="H1" s="1052"/>
      <c r="I1" s="1052"/>
      <c r="J1" s="1052"/>
      <c r="K1" s="1052"/>
      <c r="L1" s="1052"/>
      <c r="M1" s="1052"/>
    </row>
    <row r="2" spans="1:14" ht="26.25" customHeight="1">
      <c r="A2" s="221" t="s">
        <v>13</v>
      </c>
      <c r="B2" s="222" t="s">
        <v>557</v>
      </c>
      <c r="C2" s="222" t="s">
        <v>164</v>
      </c>
      <c r="D2" s="222" t="s">
        <v>165</v>
      </c>
      <c r="E2" s="222" t="s">
        <v>166</v>
      </c>
      <c r="F2" s="222" t="s">
        <v>167</v>
      </c>
      <c r="G2" s="222" t="s">
        <v>168</v>
      </c>
      <c r="H2" s="222" t="s">
        <v>243</v>
      </c>
      <c r="I2" s="222" t="s">
        <v>244</v>
      </c>
      <c r="J2" s="222" t="s">
        <v>245</v>
      </c>
      <c r="K2" s="222" t="s">
        <v>246</v>
      </c>
      <c r="L2" s="222" t="s">
        <v>247</v>
      </c>
      <c r="M2" s="223" t="s">
        <v>92</v>
      </c>
      <c r="N2" s="220" t="s">
        <v>588</v>
      </c>
    </row>
    <row r="3" spans="1:14" s="201" customFormat="1" ht="26.25" customHeight="1">
      <c r="A3" s="224" t="s">
        <v>96</v>
      </c>
      <c r="B3" s="665">
        <v>12</v>
      </c>
      <c r="C3" s="665">
        <v>12</v>
      </c>
      <c r="D3" s="665">
        <v>12</v>
      </c>
      <c r="E3" s="665">
        <v>12</v>
      </c>
      <c r="F3" s="665">
        <v>12</v>
      </c>
      <c r="G3" s="665">
        <v>12</v>
      </c>
      <c r="H3" s="665">
        <f t="shared" ref="H3:L5" si="0">G3</f>
        <v>12</v>
      </c>
      <c r="I3" s="708">
        <f t="shared" si="0"/>
        <v>12</v>
      </c>
      <c r="J3" s="708">
        <f t="shared" si="0"/>
        <v>12</v>
      </c>
      <c r="K3" s="708">
        <f t="shared" si="0"/>
        <v>12</v>
      </c>
      <c r="L3" s="708">
        <f>K3</f>
        <v>12</v>
      </c>
      <c r="M3" s="709"/>
    </row>
    <row r="4" spans="1:14" s="226" customFormat="1" ht="26.25" customHeight="1">
      <c r="A4" s="225" t="s">
        <v>99</v>
      </c>
      <c r="B4" s="710">
        <v>1</v>
      </c>
      <c r="C4" s="710">
        <v>1</v>
      </c>
      <c r="D4" s="710">
        <v>1</v>
      </c>
      <c r="E4" s="710">
        <f>G4*E5/G5</f>
        <v>1</v>
      </c>
      <c r="F4" s="710">
        <f>G4*F5/G5</f>
        <v>1</v>
      </c>
      <c r="G4" s="710">
        <f>H4*G5/H5</f>
        <v>1</v>
      </c>
      <c r="H4" s="695">
        <v>1</v>
      </c>
      <c r="I4" s="698">
        <f t="shared" si="0"/>
        <v>1</v>
      </c>
      <c r="J4" s="698">
        <f t="shared" si="0"/>
        <v>1</v>
      </c>
      <c r="K4" s="698">
        <f t="shared" si="0"/>
        <v>1</v>
      </c>
      <c r="L4" s="698">
        <f t="shared" si="0"/>
        <v>1</v>
      </c>
      <c r="M4" s="711"/>
    </row>
    <row r="5" spans="1:14" s="226" customFormat="1" ht="26.25" customHeight="1">
      <c r="A5" s="225" t="s">
        <v>98</v>
      </c>
      <c r="B5" s="695">
        <v>1</v>
      </c>
      <c r="C5" s="695">
        <v>1</v>
      </c>
      <c r="D5" s="695">
        <v>1</v>
      </c>
      <c r="E5" s="695">
        <v>1</v>
      </c>
      <c r="F5" s="695">
        <v>1</v>
      </c>
      <c r="G5" s="695">
        <v>1</v>
      </c>
      <c r="H5" s="695">
        <v>1</v>
      </c>
      <c r="I5" s="698">
        <f t="shared" si="0"/>
        <v>1</v>
      </c>
      <c r="J5" s="698">
        <f t="shared" si="0"/>
        <v>1</v>
      </c>
      <c r="K5" s="698">
        <f t="shared" si="0"/>
        <v>1</v>
      </c>
      <c r="L5" s="698">
        <f t="shared" si="0"/>
        <v>1</v>
      </c>
      <c r="M5" s="711"/>
    </row>
    <row r="6" spans="1:14" ht="26.25" customHeight="1">
      <c r="A6" s="227" t="s">
        <v>93</v>
      </c>
      <c r="B6" s="649">
        <f>SUM(B7:B16)</f>
        <v>12</v>
      </c>
      <c r="C6" s="649">
        <v>12</v>
      </c>
      <c r="D6" s="649">
        <v>12</v>
      </c>
      <c r="E6" s="649">
        <v>12</v>
      </c>
      <c r="F6" s="649">
        <v>12</v>
      </c>
      <c r="G6" s="649">
        <v>12</v>
      </c>
      <c r="H6" s="649">
        <v>12</v>
      </c>
      <c r="I6" s="649">
        <v>12</v>
      </c>
      <c r="J6" s="649">
        <v>12</v>
      </c>
      <c r="K6" s="649">
        <v>12</v>
      </c>
      <c r="L6" s="649">
        <v>12</v>
      </c>
      <c r="M6" s="689">
        <f>SUM(M7:M16)</f>
        <v>0</v>
      </c>
    </row>
    <row r="7" spans="1:14" ht="26.25" customHeight="1">
      <c r="A7" s="894" t="s">
        <v>612</v>
      </c>
      <c r="B7" s="652">
        <v>12</v>
      </c>
      <c r="C7" s="710">
        <v>1</v>
      </c>
      <c r="D7" s="710">
        <v>1</v>
      </c>
      <c r="E7" s="710">
        <v>1</v>
      </c>
      <c r="F7" s="710">
        <v>1</v>
      </c>
      <c r="G7" s="710">
        <v>1</v>
      </c>
      <c r="H7" s="695">
        <v>1</v>
      </c>
      <c r="I7" s="698">
        <f t="shared" ref="I7" si="1">H7</f>
        <v>1</v>
      </c>
      <c r="J7" s="698">
        <f t="shared" ref="J7" si="2">I7</f>
        <v>1</v>
      </c>
      <c r="K7" s="698">
        <f t="shared" ref="K7" si="3">J7</f>
        <v>1</v>
      </c>
      <c r="L7" s="698">
        <f t="shared" ref="L7" si="4">K7</f>
        <v>1</v>
      </c>
      <c r="M7" s="712"/>
      <c r="N7" s="877"/>
    </row>
    <row r="8" spans="1:14" ht="26.25" customHeight="1">
      <c r="A8" s="110"/>
      <c r="B8" s="652">
        <f>'برآورد فروش'!$M$8*'برآورد فروش'!B4</f>
        <v>0</v>
      </c>
      <c r="C8" s="652">
        <f>'برآورد فروش'!$M$8*'برآورد فروش'!C4</f>
        <v>0</v>
      </c>
      <c r="D8" s="652">
        <f>'برآورد فروش'!$M$8*'برآورد فروش'!D4</f>
        <v>0</v>
      </c>
      <c r="E8" s="652">
        <f>'برآورد فروش'!$M$8*'برآورد فروش'!E4</f>
        <v>0</v>
      </c>
      <c r="F8" s="652">
        <f>'برآورد فروش'!$M$8*'برآورد فروش'!F4</f>
        <v>0</v>
      </c>
      <c r="G8" s="652">
        <f>'برآورد فروش'!$M$8*'برآورد فروش'!G4</f>
        <v>0</v>
      </c>
      <c r="H8" s="652">
        <f>'برآورد فروش'!$M$8*'برآورد فروش'!H4</f>
        <v>0</v>
      </c>
      <c r="I8" s="652">
        <f>'برآورد فروش'!$M$8*'برآورد فروش'!I4</f>
        <v>0</v>
      </c>
      <c r="J8" s="652">
        <f>'برآورد فروش'!$M$8*'برآورد فروش'!J4</f>
        <v>0</v>
      </c>
      <c r="K8" s="652">
        <f>'برآورد فروش'!$M$8*'برآورد فروش'!K4</f>
        <v>0</v>
      </c>
      <c r="L8" s="652">
        <f>'برآورد فروش'!$M$8*'برآورد فروش'!L4</f>
        <v>0</v>
      </c>
      <c r="M8" s="712"/>
      <c r="N8" s="877"/>
    </row>
    <row r="9" spans="1:14" ht="41.25" customHeight="1">
      <c r="A9" s="892"/>
      <c r="B9" s="652">
        <f>'برآورد فروش'!$M$9*'برآورد فروش'!B4</f>
        <v>0</v>
      </c>
      <c r="C9" s="652">
        <f>'برآورد فروش'!$M$9*'برآورد فروش'!C4</f>
        <v>0</v>
      </c>
      <c r="D9" s="652">
        <f>'برآورد فروش'!$M$9*'برآورد فروش'!D4</f>
        <v>0</v>
      </c>
      <c r="E9" s="652">
        <f>'برآورد فروش'!$M$9*'برآورد فروش'!E4</f>
        <v>0</v>
      </c>
      <c r="F9" s="652">
        <f>'برآورد فروش'!$M$9*'برآورد فروش'!F4</f>
        <v>0</v>
      </c>
      <c r="G9" s="652">
        <f>'برآورد فروش'!$M$9*'برآورد فروش'!G4</f>
        <v>0</v>
      </c>
      <c r="H9" s="652">
        <f>'برآورد فروش'!$M$9*'برآورد فروش'!H4</f>
        <v>0</v>
      </c>
      <c r="I9" s="652">
        <f>'برآورد فروش'!$M$9*'برآورد فروش'!I4</f>
        <v>0</v>
      </c>
      <c r="J9" s="652">
        <f>'برآورد فروش'!$M$9*'برآورد فروش'!J4</f>
        <v>0</v>
      </c>
      <c r="K9" s="652">
        <f>'برآورد فروش'!$M$9*'برآورد فروش'!K4</f>
        <v>0</v>
      </c>
      <c r="L9" s="652">
        <f>'برآورد فروش'!$M$9*'برآورد فروش'!L4</f>
        <v>0</v>
      </c>
      <c r="M9" s="712"/>
      <c r="N9" s="877"/>
    </row>
    <row r="10" spans="1:14" ht="26.25" customHeight="1">
      <c r="A10" s="110"/>
      <c r="B10" s="652">
        <f>'برآورد فروش'!$M$10*'برآورد فروش'!B4</f>
        <v>0</v>
      </c>
      <c r="C10" s="652">
        <f>'برآورد فروش'!$M$10*'برآورد فروش'!C4</f>
        <v>0</v>
      </c>
      <c r="D10" s="652">
        <f>'برآورد فروش'!$M$10*'برآورد فروش'!D4</f>
        <v>0</v>
      </c>
      <c r="E10" s="652">
        <f>'برآورد فروش'!$M$10*'برآورد فروش'!E4</f>
        <v>0</v>
      </c>
      <c r="F10" s="652">
        <f>'برآورد فروش'!$M$10*'برآورد فروش'!F4</f>
        <v>0</v>
      </c>
      <c r="G10" s="652">
        <f>'برآورد فروش'!$M$10*'برآورد فروش'!G4</f>
        <v>0</v>
      </c>
      <c r="H10" s="652">
        <f>'برآورد فروش'!$M$10*'برآورد فروش'!H4</f>
        <v>0</v>
      </c>
      <c r="I10" s="652">
        <f>'برآورد فروش'!$M$10*'برآورد فروش'!I4</f>
        <v>0</v>
      </c>
      <c r="J10" s="652">
        <f>'برآورد فروش'!$M$10*'برآورد فروش'!J4</f>
        <v>0</v>
      </c>
      <c r="K10" s="652">
        <f>'برآورد فروش'!$M$10*'برآورد فروش'!K4</f>
        <v>0</v>
      </c>
      <c r="L10" s="652">
        <f>'برآورد فروش'!$M$10*'برآورد فروش'!L4</f>
        <v>0</v>
      </c>
      <c r="M10" s="712"/>
      <c r="N10" s="877"/>
    </row>
    <row r="11" spans="1:14" ht="26.25" customHeight="1">
      <c r="A11" s="110"/>
      <c r="B11" s="652">
        <f>'برآورد فروش'!$M$11*'برآورد فروش'!B4</f>
        <v>0</v>
      </c>
      <c r="C11" s="652">
        <f>'برآورد فروش'!$M$11*'برآورد فروش'!C4</f>
        <v>0</v>
      </c>
      <c r="D11" s="652">
        <f>'برآورد فروش'!$M$11*'برآورد فروش'!D4</f>
        <v>0</v>
      </c>
      <c r="E11" s="652">
        <f>'برآورد فروش'!$M$11*'برآورد فروش'!E4</f>
        <v>0</v>
      </c>
      <c r="F11" s="652">
        <f>'برآورد فروش'!$M$11*'برآورد فروش'!F4</f>
        <v>0</v>
      </c>
      <c r="G11" s="652">
        <f>'برآورد فروش'!$M$11*'برآورد فروش'!G4</f>
        <v>0</v>
      </c>
      <c r="H11" s="652">
        <f>'برآورد فروش'!$M$11*'برآورد فروش'!H4</f>
        <v>0</v>
      </c>
      <c r="I11" s="652">
        <f>'برآورد فروش'!$M$11*'برآورد فروش'!I4</f>
        <v>0</v>
      </c>
      <c r="J11" s="652">
        <f>'برآورد فروش'!$M$11*'برآورد فروش'!J4</f>
        <v>0</v>
      </c>
      <c r="K11" s="652">
        <f>'برآورد فروش'!$M$11*'برآورد فروش'!K4</f>
        <v>0</v>
      </c>
      <c r="L11" s="652">
        <f>'برآورد فروش'!$M$11*'برآورد فروش'!L4</f>
        <v>0</v>
      </c>
      <c r="M11" s="712"/>
      <c r="N11" s="877"/>
    </row>
    <row r="12" spans="1:14" ht="26.25" customHeight="1">
      <c r="A12" s="110"/>
      <c r="B12" s="652">
        <f>'برآورد فروش'!$M$12*'برآورد فروش'!B4</f>
        <v>0</v>
      </c>
      <c r="C12" s="652">
        <f>'برآورد فروش'!$M$12*'برآورد فروش'!C4</f>
        <v>0</v>
      </c>
      <c r="D12" s="652">
        <f>'برآورد فروش'!$M$12*'برآورد فروش'!D4</f>
        <v>0</v>
      </c>
      <c r="E12" s="652">
        <f>'برآورد فروش'!$M$12*'برآورد فروش'!E4</f>
        <v>0</v>
      </c>
      <c r="F12" s="652">
        <f>'برآورد فروش'!$M$12*'برآورد فروش'!F4</f>
        <v>0</v>
      </c>
      <c r="G12" s="652">
        <f>'برآورد فروش'!$M$12*'برآورد فروش'!G4</f>
        <v>0</v>
      </c>
      <c r="H12" s="652">
        <f>'برآورد فروش'!$M$12*'برآورد فروش'!H4</f>
        <v>0</v>
      </c>
      <c r="I12" s="652">
        <f>'برآورد فروش'!$M$12*'برآورد فروش'!I4</f>
        <v>0</v>
      </c>
      <c r="J12" s="652">
        <f>'برآورد فروش'!$M$12*'برآورد فروش'!J4</f>
        <v>0</v>
      </c>
      <c r="K12" s="652">
        <f>'برآورد فروش'!$M$12*'برآورد فروش'!K4</f>
        <v>0</v>
      </c>
      <c r="L12" s="652">
        <f>'برآورد فروش'!$M$12*'برآورد فروش'!L4</f>
        <v>0</v>
      </c>
      <c r="M12" s="712"/>
      <c r="N12" s="877"/>
    </row>
    <row r="13" spans="1:14" ht="26.25" customHeight="1">
      <c r="A13" s="110"/>
      <c r="B13" s="652">
        <f>'برآورد فروش'!$M$13*'برآورد فروش'!B4</f>
        <v>0</v>
      </c>
      <c r="C13" s="652">
        <f>'برآورد فروش'!$M$13*'برآورد فروش'!C4</f>
        <v>0</v>
      </c>
      <c r="D13" s="652">
        <f>'برآورد فروش'!$M$13*'برآورد فروش'!D4</f>
        <v>0</v>
      </c>
      <c r="E13" s="652">
        <f>'برآورد فروش'!$M$13*'برآورد فروش'!E4</f>
        <v>0</v>
      </c>
      <c r="F13" s="652">
        <f>'برآورد فروش'!$M$13*'برآورد فروش'!F4</f>
        <v>0</v>
      </c>
      <c r="G13" s="652">
        <f>'برآورد فروش'!$M$13*'برآورد فروش'!G4</f>
        <v>0</v>
      </c>
      <c r="H13" s="652">
        <f>'برآورد فروش'!$M$13*'برآورد فروش'!H4</f>
        <v>0</v>
      </c>
      <c r="I13" s="652">
        <f>'برآورد فروش'!$M$13*'برآورد فروش'!I4</f>
        <v>0</v>
      </c>
      <c r="J13" s="652">
        <f>'برآورد فروش'!$M$13*'برآورد فروش'!J4</f>
        <v>0</v>
      </c>
      <c r="K13" s="652">
        <f>'برآورد فروش'!$M$13*'برآورد فروش'!K4</f>
        <v>0</v>
      </c>
      <c r="L13" s="652">
        <f>'برآورد فروش'!$M$13*'برآورد فروش'!L4</f>
        <v>0</v>
      </c>
      <c r="M13" s="712">
        <v>0</v>
      </c>
      <c r="N13" s="877"/>
    </row>
    <row r="14" spans="1:14" ht="26.25" customHeight="1">
      <c r="A14" s="110"/>
      <c r="B14" s="652">
        <f>'برآورد فروش'!$M$14*'برآورد فروش'!B4</f>
        <v>0</v>
      </c>
      <c r="C14" s="652">
        <f>'برآورد فروش'!$M$14*'برآورد فروش'!C4</f>
        <v>0</v>
      </c>
      <c r="D14" s="652">
        <f>'برآورد فروش'!$M$14*'برآورد فروش'!D4</f>
        <v>0</v>
      </c>
      <c r="E14" s="652">
        <f>'برآورد فروش'!$M$14*'برآورد فروش'!E4</f>
        <v>0</v>
      </c>
      <c r="F14" s="652">
        <f>'برآورد فروش'!$M$14*'برآورد فروش'!F4</f>
        <v>0</v>
      </c>
      <c r="G14" s="652">
        <f>'برآورد فروش'!$M$14*'برآورد فروش'!G4</f>
        <v>0</v>
      </c>
      <c r="H14" s="652">
        <f>'برآورد فروش'!$M$14*'برآورد فروش'!H4</f>
        <v>0</v>
      </c>
      <c r="I14" s="652">
        <f>'برآورد فروش'!$M$14*'برآورد فروش'!I4</f>
        <v>0</v>
      </c>
      <c r="J14" s="652">
        <f>'برآورد فروش'!$M$14*'برآورد فروش'!J4</f>
        <v>0</v>
      </c>
      <c r="K14" s="652">
        <f>'برآورد فروش'!$M$14*'برآورد فروش'!K4</f>
        <v>0</v>
      </c>
      <c r="L14" s="652">
        <f>'برآورد فروش'!$M$14*'برآورد فروش'!L4</f>
        <v>0</v>
      </c>
      <c r="M14" s="712">
        <v>0</v>
      </c>
      <c r="N14" s="877"/>
    </row>
    <row r="15" spans="1:14" ht="26.25" customHeight="1">
      <c r="A15" s="110"/>
      <c r="B15" s="652">
        <f>'برآورد فروش'!$M$15*'برآورد فروش'!B4</f>
        <v>0</v>
      </c>
      <c r="C15" s="652">
        <f>'برآورد فروش'!$M$15*'برآورد فروش'!C4</f>
        <v>0</v>
      </c>
      <c r="D15" s="652">
        <f>'برآورد فروش'!$M$15*'برآورد فروش'!D4</f>
        <v>0</v>
      </c>
      <c r="E15" s="652">
        <f>'برآورد فروش'!$M$15*'برآورد فروش'!E4</f>
        <v>0</v>
      </c>
      <c r="F15" s="652">
        <f>'برآورد فروش'!$M$15*'برآورد فروش'!F4</f>
        <v>0</v>
      </c>
      <c r="G15" s="652">
        <f>'برآورد فروش'!$M$15*'برآورد فروش'!G4</f>
        <v>0</v>
      </c>
      <c r="H15" s="652">
        <f>'برآورد فروش'!$M$15*'برآورد فروش'!H4</f>
        <v>0</v>
      </c>
      <c r="I15" s="652">
        <f>'برآورد فروش'!$M$15*'برآورد فروش'!I4</f>
        <v>0</v>
      </c>
      <c r="J15" s="652">
        <f>'برآورد فروش'!$M$15*'برآورد فروش'!J4</f>
        <v>0</v>
      </c>
      <c r="K15" s="652">
        <f>'برآورد فروش'!$M$15*'برآورد فروش'!K4</f>
        <v>0</v>
      </c>
      <c r="L15" s="652">
        <f>'برآورد فروش'!$M$15*'برآورد فروش'!L4</f>
        <v>0</v>
      </c>
      <c r="M15" s="712"/>
      <c r="N15" s="877"/>
    </row>
    <row r="16" spans="1:14" ht="27" customHeight="1">
      <c r="A16" s="110"/>
      <c r="B16" s="652">
        <f>'برآورد فروش'!$M$16*'برآورد فروش'!B4</f>
        <v>0</v>
      </c>
      <c r="C16" s="652">
        <f>'برآورد فروش'!$M$16*'برآورد فروش'!C4</f>
        <v>0</v>
      </c>
      <c r="D16" s="652">
        <f>'برآورد فروش'!$M$16*'برآورد فروش'!D4</f>
        <v>0</v>
      </c>
      <c r="E16" s="652">
        <f>'برآورد فروش'!$M$16*'برآورد فروش'!E4</f>
        <v>0</v>
      </c>
      <c r="F16" s="652">
        <f>'برآورد فروش'!$M$16*'برآورد فروش'!F4</f>
        <v>0</v>
      </c>
      <c r="G16" s="652">
        <f>'برآورد فروش'!$M$16*'برآورد فروش'!G4</f>
        <v>0</v>
      </c>
      <c r="H16" s="652">
        <f>'برآورد فروش'!$M$16*'برآورد فروش'!H4</f>
        <v>0</v>
      </c>
      <c r="I16" s="652">
        <f>'برآورد فروش'!$M$16*'برآورد فروش'!I4</f>
        <v>0</v>
      </c>
      <c r="J16" s="652">
        <f>'برآورد فروش'!$M$16*'برآورد فروش'!J4</f>
        <v>0</v>
      </c>
      <c r="K16" s="652">
        <f>'برآورد فروش'!$M$16*'برآورد فروش'!K4</f>
        <v>0</v>
      </c>
      <c r="L16" s="652">
        <f>'برآورد فروش'!$M$16*'برآورد فروش'!L4</f>
        <v>0</v>
      </c>
      <c r="M16" s="712"/>
      <c r="N16" s="238"/>
    </row>
    <row r="17" spans="1:19" ht="26.25" customHeight="1" thickBot="1">
      <c r="A17" s="228" t="s">
        <v>94</v>
      </c>
      <c r="B17" s="713">
        <v>0</v>
      </c>
      <c r="C17" s="713">
        <v>0</v>
      </c>
      <c r="D17" s="713">
        <v>0</v>
      </c>
      <c r="E17" s="713">
        <v>0</v>
      </c>
      <c r="F17" s="713">
        <v>0</v>
      </c>
      <c r="G17" s="713">
        <v>0</v>
      </c>
      <c r="H17" s="713">
        <v>0</v>
      </c>
      <c r="I17" s="713">
        <v>0</v>
      </c>
      <c r="J17" s="713">
        <v>0</v>
      </c>
      <c r="K17" s="713">
        <v>0</v>
      </c>
      <c r="L17" s="713">
        <v>0</v>
      </c>
      <c r="M17" s="714"/>
    </row>
    <row r="18" spans="1:19" ht="23.25" customHeight="1">
      <c r="A18" s="1053"/>
      <c r="B18" s="1053"/>
      <c r="C18" s="1053"/>
      <c r="D18" s="1053"/>
      <c r="E18" s="1053"/>
      <c r="F18" s="1053"/>
      <c r="G18" s="1053"/>
      <c r="H18" s="1053"/>
      <c r="I18" s="1053"/>
      <c r="J18" s="1053"/>
      <c r="K18" s="1053"/>
      <c r="L18" s="1053"/>
      <c r="M18" s="1053"/>
      <c r="O18" s="877"/>
    </row>
    <row r="19" spans="1:19" ht="23.25" customHeight="1">
      <c r="A19" s="1054"/>
      <c r="B19" s="1054"/>
      <c r="C19" s="1054"/>
      <c r="D19" s="1054"/>
      <c r="E19" s="1054"/>
      <c r="F19" s="1054"/>
      <c r="G19" s="1054"/>
      <c r="H19" s="1054"/>
      <c r="I19" s="1054"/>
      <c r="J19" s="1054"/>
      <c r="K19" s="1054"/>
      <c r="L19" s="1054"/>
      <c r="M19" s="1054"/>
      <c r="O19" s="634"/>
    </row>
    <row r="20" spans="1:19" ht="27" customHeight="1" thickBot="1">
      <c r="A20" s="1052" t="s">
        <v>181</v>
      </c>
      <c r="B20" s="1052"/>
      <c r="C20" s="1052"/>
      <c r="D20" s="1052"/>
      <c r="E20" s="1052"/>
      <c r="F20" s="1052"/>
      <c r="G20" s="1052"/>
      <c r="H20" s="1052"/>
      <c r="I20" s="1052"/>
      <c r="J20" s="1052"/>
      <c r="K20" s="1052"/>
      <c r="L20" s="1052"/>
      <c r="M20" s="1052"/>
    </row>
    <row r="21" spans="1:19" ht="40.5" customHeight="1">
      <c r="A21" s="221" t="s">
        <v>13</v>
      </c>
      <c r="B21" s="222" t="str">
        <f>B2</f>
        <v>سال بهره برداری</v>
      </c>
      <c r="C21" s="222" t="str">
        <f t="shared" ref="C21:L21" si="5">C2</f>
        <v xml:space="preserve">سال اول </v>
      </c>
      <c r="D21" s="222" t="str">
        <f t="shared" si="5"/>
        <v>سال دوم</v>
      </c>
      <c r="E21" s="222" t="str">
        <f t="shared" si="5"/>
        <v>سال سوم</v>
      </c>
      <c r="F21" s="222" t="str">
        <f t="shared" si="5"/>
        <v>سال چهارم</v>
      </c>
      <c r="G21" s="222" t="str">
        <f t="shared" si="5"/>
        <v>سال پنجم</v>
      </c>
      <c r="H21" s="222" t="str">
        <f t="shared" si="5"/>
        <v>سال ششم</v>
      </c>
      <c r="I21" s="222" t="str">
        <f t="shared" si="5"/>
        <v>سال هفتم</v>
      </c>
      <c r="J21" s="222" t="str">
        <f>J2</f>
        <v>سال هشتم</v>
      </c>
      <c r="K21" s="222" t="str">
        <f t="shared" si="5"/>
        <v>سال نهم</v>
      </c>
      <c r="L21" s="222" t="str">
        <f t="shared" si="5"/>
        <v>سال دهم</v>
      </c>
      <c r="M21" s="231" t="s">
        <v>325</v>
      </c>
    </row>
    <row r="22" spans="1:19" ht="31.5" customHeight="1" thickBot="1">
      <c r="A22" s="227" t="s">
        <v>95</v>
      </c>
      <c r="B22" s="649">
        <v>12</v>
      </c>
      <c r="C22" s="649">
        <v>12</v>
      </c>
      <c r="D22" s="649">
        <v>12</v>
      </c>
      <c r="E22" s="649">
        <v>12</v>
      </c>
      <c r="F22" s="649">
        <f>SUM(F23:F32)</f>
        <v>12</v>
      </c>
      <c r="G22" s="649">
        <f t="shared" ref="G22:L22" si="6">SUM(G23:G32)</f>
        <v>12</v>
      </c>
      <c r="H22" s="649">
        <f t="shared" si="6"/>
        <v>12</v>
      </c>
      <c r="I22" s="649">
        <f t="shared" si="6"/>
        <v>12</v>
      </c>
      <c r="J22" s="649">
        <f t="shared" si="6"/>
        <v>12</v>
      </c>
      <c r="K22" s="649">
        <f t="shared" si="6"/>
        <v>12</v>
      </c>
      <c r="L22" s="649">
        <f t="shared" si="6"/>
        <v>12</v>
      </c>
      <c r="M22" s="715"/>
    </row>
    <row r="23" spans="1:19" ht="31.5" customHeight="1" thickBot="1">
      <c r="A23" s="232" t="s">
        <v>613</v>
      </c>
      <c r="B23" s="652">
        <v>300000000</v>
      </c>
      <c r="C23" s="652">
        <v>450000000</v>
      </c>
      <c r="D23" s="652">
        <v>600000000</v>
      </c>
      <c r="E23" s="652">
        <v>850000000</v>
      </c>
      <c r="F23" s="652">
        <v>12</v>
      </c>
      <c r="G23" s="652">
        <v>12</v>
      </c>
      <c r="H23" s="652">
        <v>12</v>
      </c>
      <c r="I23" s="652">
        <v>12</v>
      </c>
      <c r="J23" s="652">
        <v>12</v>
      </c>
      <c r="K23" s="652">
        <v>12</v>
      </c>
      <c r="L23" s="652">
        <v>12</v>
      </c>
      <c r="M23" s="716">
        <v>100000000</v>
      </c>
      <c r="N23" s="536"/>
      <c r="O23" s="264"/>
      <c r="Q23" s="641"/>
      <c r="R23" s="634"/>
    </row>
    <row r="24" spans="1:19" ht="31.5" customHeight="1">
      <c r="A24" s="232">
        <f>A8</f>
        <v>0</v>
      </c>
      <c r="B24" s="652">
        <f>'برآورد فروش'!$M$24*'برآورد فروش'!B8/1000</f>
        <v>0</v>
      </c>
      <c r="C24" s="652">
        <f>'برآورد فروش'!$M$24*'برآورد فروش'!C8/1000</f>
        <v>0</v>
      </c>
      <c r="D24" s="652">
        <f>'برآورد فروش'!$M$24*'برآورد فروش'!D8/1000</f>
        <v>0</v>
      </c>
      <c r="E24" s="652">
        <f>'برآورد فروش'!$M$24*'برآورد فروش'!E8/1000</f>
        <v>0</v>
      </c>
      <c r="F24" s="652">
        <f>'برآورد فروش'!$M$24*'برآورد فروش'!F8/1000</f>
        <v>0</v>
      </c>
      <c r="G24" s="652">
        <f>'برآورد فروش'!$M$24*'برآورد فروش'!G8/1000</f>
        <v>0</v>
      </c>
      <c r="H24" s="652">
        <f>'برآورد فروش'!$M$24*'برآورد فروش'!H8/1000</f>
        <v>0</v>
      </c>
      <c r="I24" s="652">
        <f>'برآورد فروش'!$M$24*'برآورد فروش'!I8/1000</f>
        <v>0</v>
      </c>
      <c r="J24" s="652">
        <f>'برآورد فروش'!$M$24*'برآورد فروش'!J8/1000</f>
        <v>0</v>
      </c>
      <c r="K24" s="652">
        <f>'برآورد فروش'!$M$24*'برآورد فروش'!K8/1000</f>
        <v>0</v>
      </c>
      <c r="L24" s="652">
        <f>'برآورد فروش'!$M$24*'برآورد فروش'!L8/1000</f>
        <v>0</v>
      </c>
      <c r="M24" s="716"/>
      <c r="N24" s="536"/>
      <c r="R24" s="634"/>
    </row>
    <row r="25" spans="1:19" ht="31.5" customHeight="1">
      <c r="A25" s="232">
        <f t="shared" ref="A25:A32" si="7">A9</f>
        <v>0</v>
      </c>
      <c r="B25" s="652">
        <f>'برآورد فروش'!$M$25*'برآورد فروش'!B9/1000</f>
        <v>0</v>
      </c>
      <c r="C25" s="652">
        <f>'برآورد فروش'!$M$25*'برآورد فروش'!C9/1000</f>
        <v>0</v>
      </c>
      <c r="D25" s="652">
        <f>'برآورد فروش'!$M$25*'برآورد فروش'!D9/1000</f>
        <v>0</v>
      </c>
      <c r="E25" s="652">
        <f>'برآورد فروش'!$M$25*'برآورد فروش'!E9/1000</f>
        <v>0</v>
      </c>
      <c r="F25" s="652">
        <f>'برآورد فروش'!$M$25*'برآورد فروش'!F9/1000</f>
        <v>0</v>
      </c>
      <c r="G25" s="652">
        <f>'برآورد فروش'!$M$25*'برآورد فروش'!G9/1000</f>
        <v>0</v>
      </c>
      <c r="H25" s="652">
        <f>'برآورد فروش'!$M$25*'برآورد فروش'!H9/1000</f>
        <v>0</v>
      </c>
      <c r="I25" s="652">
        <f>'برآورد فروش'!$M$25*'برآورد فروش'!I9/1000</f>
        <v>0</v>
      </c>
      <c r="J25" s="652">
        <f>'برآورد فروش'!$M$25*'برآورد فروش'!J9/1000</f>
        <v>0</v>
      </c>
      <c r="K25" s="652">
        <f>'برآورد فروش'!$M$25*'برآورد فروش'!K9/1000</f>
        <v>0</v>
      </c>
      <c r="L25" s="652">
        <f>'برآورد فروش'!$M$25*'برآورد فروش'!L9/1000</f>
        <v>0</v>
      </c>
      <c r="M25" s="716"/>
      <c r="N25" s="536"/>
      <c r="R25" s="634"/>
    </row>
    <row r="26" spans="1:19" ht="31.5" customHeight="1">
      <c r="A26" s="232">
        <f t="shared" si="7"/>
        <v>0</v>
      </c>
      <c r="B26" s="652">
        <f>'برآورد فروش'!$M$26*'برآورد فروش'!B10/1000</f>
        <v>0</v>
      </c>
      <c r="C26" s="652">
        <f>'برآورد فروش'!$M$26*'برآورد فروش'!C10/1000</f>
        <v>0</v>
      </c>
      <c r="D26" s="652">
        <f>'برآورد فروش'!$M$26*'برآورد فروش'!D10/1000</f>
        <v>0</v>
      </c>
      <c r="E26" s="652">
        <f>'برآورد فروش'!$M$26*'برآورد فروش'!E10/1000</f>
        <v>0</v>
      </c>
      <c r="F26" s="652">
        <f>'برآورد فروش'!$M$26*'برآورد فروش'!F10/1000</f>
        <v>0</v>
      </c>
      <c r="G26" s="652">
        <f>'برآورد فروش'!$M$26*'برآورد فروش'!G10/1000</f>
        <v>0</v>
      </c>
      <c r="H26" s="652">
        <f>'برآورد فروش'!$M$26*'برآورد فروش'!H10/1000</f>
        <v>0</v>
      </c>
      <c r="I26" s="652">
        <f>'برآورد فروش'!$M$26*'برآورد فروش'!I10/1000</f>
        <v>0</v>
      </c>
      <c r="J26" s="652">
        <f>'برآورد فروش'!$M$26*'برآورد فروش'!J10/1000</f>
        <v>0</v>
      </c>
      <c r="K26" s="652">
        <f>'برآورد فروش'!$M$26*'برآورد فروش'!K10/1000</f>
        <v>0</v>
      </c>
      <c r="L26" s="652">
        <f>'برآورد فروش'!$M$26*'برآورد فروش'!L10/1000</f>
        <v>0</v>
      </c>
      <c r="M26" s="716"/>
      <c r="N26" s="536"/>
      <c r="R26" s="634"/>
    </row>
    <row r="27" spans="1:19" ht="31.5" customHeight="1">
      <c r="A27" s="232">
        <f t="shared" si="7"/>
        <v>0</v>
      </c>
      <c r="B27" s="652">
        <f>'برآورد فروش'!$M$27*'برآورد فروش'!B11/1000</f>
        <v>0</v>
      </c>
      <c r="C27" s="652">
        <f>'برآورد فروش'!$M$27*'برآورد فروش'!C11/1000</f>
        <v>0</v>
      </c>
      <c r="D27" s="652">
        <f>'برآورد فروش'!$M$27*'برآورد فروش'!D11/1000</f>
        <v>0</v>
      </c>
      <c r="E27" s="652">
        <f>'برآورد فروش'!$M$27*'برآورد فروش'!E11/1000</f>
        <v>0</v>
      </c>
      <c r="F27" s="652">
        <f>'برآورد فروش'!$M$27*'برآورد فروش'!F11/1000</f>
        <v>0</v>
      </c>
      <c r="G27" s="652">
        <f>'برآورد فروش'!$M$27*'برآورد فروش'!G11/1000</f>
        <v>0</v>
      </c>
      <c r="H27" s="652">
        <f>'برآورد فروش'!$M$27*'برآورد فروش'!H11/1000</f>
        <v>0</v>
      </c>
      <c r="I27" s="652">
        <f>'برآورد فروش'!$M$27*'برآورد فروش'!I11/1000</f>
        <v>0</v>
      </c>
      <c r="J27" s="652">
        <f>'برآورد فروش'!$M$27*'برآورد فروش'!J11/1000</f>
        <v>0</v>
      </c>
      <c r="K27" s="652">
        <f>'برآورد فروش'!$M$27*'برآورد فروش'!K11/1000</f>
        <v>0</v>
      </c>
      <c r="L27" s="652">
        <f>'برآورد فروش'!$M$27*'برآورد فروش'!L11/1000</f>
        <v>0</v>
      </c>
      <c r="M27" s="716"/>
      <c r="N27" s="536"/>
      <c r="R27" s="634"/>
      <c r="S27" s="876">
        <f>2240*18750000</f>
        <v>42000000000</v>
      </c>
    </row>
    <row r="28" spans="1:19" ht="31.5" customHeight="1">
      <c r="A28" s="232">
        <f t="shared" si="7"/>
        <v>0</v>
      </c>
      <c r="B28" s="652">
        <f>'برآورد فروش'!$M$28*'برآورد فروش'!B12/1000</f>
        <v>0</v>
      </c>
      <c r="C28" s="652">
        <f>'برآورد فروش'!$M$28*'برآورد فروش'!C12/1000</f>
        <v>0</v>
      </c>
      <c r="D28" s="652">
        <f>'برآورد فروش'!$M$28*'برآورد فروش'!D12/1000</f>
        <v>0</v>
      </c>
      <c r="E28" s="652">
        <f>'برآورد فروش'!$M$28*'برآورد فروش'!E12/1000</f>
        <v>0</v>
      </c>
      <c r="F28" s="652">
        <f>'برآورد فروش'!$M$28*'برآورد فروش'!F12/1000</f>
        <v>0</v>
      </c>
      <c r="G28" s="652">
        <f>'برآورد فروش'!$M$28*'برآورد فروش'!G12/1000</f>
        <v>0</v>
      </c>
      <c r="H28" s="652">
        <f>'برآورد فروش'!$M$28*'برآورد فروش'!H12/1000</f>
        <v>0</v>
      </c>
      <c r="I28" s="652">
        <f>'برآورد فروش'!$M$28*'برآورد فروش'!I12/1000</f>
        <v>0</v>
      </c>
      <c r="J28" s="652">
        <f>'برآورد فروش'!$M$28*'برآورد فروش'!J12/1000</f>
        <v>0</v>
      </c>
      <c r="K28" s="652">
        <f>'برآورد فروش'!$M$28*'برآورد فروش'!K12/1000</f>
        <v>0</v>
      </c>
      <c r="L28" s="652">
        <f>'برآورد فروش'!$M$28*'برآورد فروش'!L12/1000</f>
        <v>0</v>
      </c>
      <c r="M28" s="716"/>
      <c r="N28" s="233"/>
      <c r="R28" s="634"/>
    </row>
    <row r="29" spans="1:19" ht="31.5" customHeight="1">
      <c r="A29" s="232">
        <f t="shared" si="7"/>
        <v>0</v>
      </c>
      <c r="B29" s="652">
        <f>'برآورد فروش'!$M$29*'برآورد فروش'!B13/1000</f>
        <v>0</v>
      </c>
      <c r="C29" s="652">
        <f>'برآورد فروش'!$M$29*'برآورد فروش'!C13/1000</f>
        <v>0</v>
      </c>
      <c r="D29" s="652">
        <f>'برآورد فروش'!$M$29*'برآورد فروش'!D13/1000</f>
        <v>0</v>
      </c>
      <c r="E29" s="652">
        <f>'برآورد فروش'!$M$29*'برآورد فروش'!E13/1000</f>
        <v>0</v>
      </c>
      <c r="F29" s="652">
        <f>'برآورد فروش'!$M$29*'برآورد فروش'!F13/1000</f>
        <v>0</v>
      </c>
      <c r="G29" s="652">
        <f>'برآورد فروش'!$M$29*'برآورد فروش'!G13/1000</f>
        <v>0</v>
      </c>
      <c r="H29" s="652">
        <f>'برآورد فروش'!$M$29*'برآورد فروش'!H13/1000</f>
        <v>0</v>
      </c>
      <c r="I29" s="652">
        <f>'برآورد فروش'!$M$29*'برآورد فروش'!I13/1000</f>
        <v>0</v>
      </c>
      <c r="J29" s="652">
        <f>'برآورد فروش'!$M$29*'برآورد فروش'!J13/1000</f>
        <v>0</v>
      </c>
      <c r="K29" s="652">
        <f>'برآورد فروش'!$M$29*'برآورد فروش'!K13/1000</f>
        <v>0</v>
      </c>
      <c r="L29" s="652">
        <f>'برآورد فروش'!$M$29*'برآورد فروش'!L13/1000</f>
        <v>0</v>
      </c>
      <c r="M29" s="716"/>
      <c r="N29" s="233"/>
      <c r="R29" s="634"/>
    </row>
    <row r="30" spans="1:19" ht="31.5" customHeight="1">
      <c r="A30" s="232">
        <f t="shared" si="7"/>
        <v>0</v>
      </c>
      <c r="B30" s="652">
        <f>'برآورد فروش'!$M$30*'برآورد فروش'!B14/1000</f>
        <v>0</v>
      </c>
      <c r="C30" s="652">
        <f>'برآورد فروش'!$M$30*'برآورد فروش'!C14/1000</f>
        <v>0</v>
      </c>
      <c r="D30" s="652">
        <f>'برآورد فروش'!$M$30*'برآورد فروش'!D14/1000</f>
        <v>0</v>
      </c>
      <c r="E30" s="652">
        <f>'برآورد فروش'!$M$30*'برآورد فروش'!E14/1000</f>
        <v>0</v>
      </c>
      <c r="F30" s="652">
        <f>'برآورد فروش'!$M$30*'برآورد فروش'!F14/1000</f>
        <v>0</v>
      </c>
      <c r="G30" s="652">
        <f>'برآورد فروش'!$M$30*'برآورد فروش'!G14/1000</f>
        <v>0</v>
      </c>
      <c r="H30" s="652">
        <f>'برآورد فروش'!$M$30*'برآورد فروش'!H14/1000</f>
        <v>0</v>
      </c>
      <c r="I30" s="652">
        <f>'برآورد فروش'!$M$30*'برآورد فروش'!I14/1000</f>
        <v>0</v>
      </c>
      <c r="J30" s="652">
        <f>'برآورد فروش'!$M$30*'برآورد فروش'!J14/1000</f>
        <v>0</v>
      </c>
      <c r="K30" s="652">
        <f>'برآورد فروش'!$M$30*'برآورد فروش'!K14/1000</f>
        <v>0</v>
      </c>
      <c r="L30" s="652">
        <f>'برآورد فروش'!$M$30*'برآورد فروش'!L14/1000</f>
        <v>0</v>
      </c>
      <c r="M30" s="716"/>
      <c r="N30" s="233"/>
    </row>
    <row r="31" spans="1:19" ht="31.5" customHeight="1">
      <c r="A31" s="232">
        <f t="shared" si="7"/>
        <v>0</v>
      </c>
      <c r="B31" s="652">
        <f>'برآورد فروش'!$M$31*'برآورد فروش'!B15/1000</f>
        <v>0</v>
      </c>
      <c r="C31" s="652">
        <f>'برآورد فروش'!$M$31*'برآورد فروش'!C15/1000</f>
        <v>0</v>
      </c>
      <c r="D31" s="652">
        <f>'برآورد فروش'!$M$31*'برآورد فروش'!D15/1000</f>
        <v>0</v>
      </c>
      <c r="E31" s="652">
        <f>'برآورد فروش'!$M$31*'برآورد فروش'!E15/1000</f>
        <v>0</v>
      </c>
      <c r="F31" s="652">
        <f>'برآورد فروش'!$M$31*'برآورد فروش'!F15/1000</f>
        <v>0</v>
      </c>
      <c r="G31" s="652">
        <f>'برآورد فروش'!$M$31*'برآورد فروش'!G15/1000</f>
        <v>0</v>
      </c>
      <c r="H31" s="652">
        <f>'برآورد فروش'!$M$31*'برآورد فروش'!H15/1000</f>
        <v>0</v>
      </c>
      <c r="I31" s="652">
        <f>'برآورد فروش'!$M$31*'برآورد فروش'!I15/1000</f>
        <v>0</v>
      </c>
      <c r="J31" s="652">
        <f>'برآورد فروش'!$M$31*'برآورد فروش'!J15/1000</f>
        <v>0</v>
      </c>
      <c r="K31" s="652">
        <f>'برآورد فروش'!$M$31*'برآورد فروش'!K15/1000</f>
        <v>0</v>
      </c>
      <c r="L31" s="652">
        <f>'برآورد فروش'!$M$31*'برآورد فروش'!L15/1000</f>
        <v>0</v>
      </c>
      <c r="M31" s="716"/>
      <c r="N31" s="233"/>
    </row>
    <row r="32" spans="1:19" ht="31.5" customHeight="1">
      <c r="A32" s="232">
        <f t="shared" si="7"/>
        <v>0</v>
      </c>
      <c r="B32" s="652">
        <f>'برآورد فروش'!$M$32*'برآورد فروش'!B16/1000</f>
        <v>0</v>
      </c>
      <c r="C32" s="652">
        <f>'برآورد فروش'!$M$32*'برآورد فروش'!C16/1000</f>
        <v>0</v>
      </c>
      <c r="D32" s="652">
        <f>'برآورد فروش'!$M$32*'برآورد فروش'!D16/1000</f>
        <v>0</v>
      </c>
      <c r="E32" s="652">
        <f>'برآورد فروش'!$M$32*'برآورد فروش'!E16/1000</f>
        <v>0</v>
      </c>
      <c r="F32" s="652">
        <f>'برآورد فروش'!$M$32*'برآورد فروش'!F16/1000</f>
        <v>0</v>
      </c>
      <c r="G32" s="652">
        <f>'برآورد فروش'!$M$32*'برآورد فروش'!G16/1000</f>
        <v>0</v>
      </c>
      <c r="H32" s="652">
        <f>'برآورد فروش'!$M$32*'برآورد فروش'!H16/1000</f>
        <v>0</v>
      </c>
      <c r="I32" s="652">
        <f>'برآورد فروش'!$M$32*'برآورد فروش'!I16/1000</f>
        <v>0</v>
      </c>
      <c r="J32" s="652">
        <f>'برآورد فروش'!$M$32*'برآورد فروش'!J16/1000</f>
        <v>0</v>
      </c>
      <c r="K32" s="652">
        <f>'برآورد فروش'!$M$32*'برآورد فروش'!K16/1000</f>
        <v>0</v>
      </c>
      <c r="L32" s="652">
        <f>'برآورد فروش'!$M$32*'برآورد فروش'!L16/1000</f>
        <v>0</v>
      </c>
      <c r="M32" s="716"/>
      <c r="N32" s="233"/>
    </row>
    <row r="33" spans="1:13">
      <c r="A33" s="227" t="str">
        <f>A17</f>
        <v xml:space="preserve">ضايعات قابل فروش </v>
      </c>
      <c r="B33" s="652">
        <f>'برآورد فروش'!$M$33*'برآورد فروش'!B17/1000</f>
        <v>0</v>
      </c>
      <c r="C33" s="652">
        <f>'برآورد فروش'!$M$33*'برآورد فروش'!C17/1000</f>
        <v>0</v>
      </c>
      <c r="D33" s="652">
        <f>'برآورد فروش'!$M$33*'برآورد فروش'!D17/1000</f>
        <v>0</v>
      </c>
      <c r="E33" s="652">
        <f>'برآورد فروش'!$M$33*'برآورد فروش'!E17/1000</f>
        <v>0</v>
      </c>
      <c r="F33" s="652">
        <f>'برآورد فروش'!$M$33*'برآورد فروش'!F17/1000</f>
        <v>0</v>
      </c>
      <c r="G33" s="652">
        <f>'برآورد فروش'!$M$33*'برآورد فروش'!G17/1000</f>
        <v>0</v>
      </c>
      <c r="H33" s="652">
        <f>'برآورد فروش'!$M$33*'برآورد فروش'!H17/1000</f>
        <v>0</v>
      </c>
      <c r="I33" s="652">
        <f>'برآورد فروش'!$M$33*'برآورد فروش'!I17/1000</f>
        <v>0</v>
      </c>
      <c r="J33" s="652">
        <f>'برآورد فروش'!$M$33*'برآورد فروش'!J17/1000</f>
        <v>0</v>
      </c>
      <c r="K33" s="652">
        <f>'برآورد فروش'!$M$33*'برآورد فروش'!K17/1000</f>
        <v>0</v>
      </c>
      <c r="L33" s="652">
        <f>'برآورد فروش'!$M$33*'برآورد فروش'!L17/1000</f>
        <v>0</v>
      </c>
      <c r="M33" s="716">
        <v>0</v>
      </c>
    </row>
    <row r="34" spans="1:13" ht="31.5" customHeight="1">
      <c r="A34" s="227" t="s">
        <v>141</v>
      </c>
      <c r="B34" s="649">
        <f>SUM(B23:B33)</f>
        <v>300000000</v>
      </c>
      <c r="C34" s="649">
        <f t="shared" ref="C34:L34" si="8">SUM(C23:C33)</f>
        <v>450000000</v>
      </c>
      <c r="D34" s="649">
        <f t="shared" si="8"/>
        <v>600000000</v>
      </c>
      <c r="E34" s="649">
        <f t="shared" si="8"/>
        <v>850000000</v>
      </c>
      <c r="F34" s="649">
        <f t="shared" si="8"/>
        <v>12</v>
      </c>
      <c r="G34" s="649">
        <f t="shared" si="8"/>
        <v>12</v>
      </c>
      <c r="H34" s="649">
        <f t="shared" si="8"/>
        <v>12</v>
      </c>
      <c r="I34" s="649">
        <f t="shared" si="8"/>
        <v>12</v>
      </c>
      <c r="J34" s="649">
        <f t="shared" si="8"/>
        <v>12</v>
      </c>
      <c r="K34" s="649">
        <f t="shared" si="8"/>
        <v>12</v>
      </c>
      <c r="L34" s="649">
        <f t="shared" si="8"/>
        <v>12</v>
      </c>
      <c r="M34" s="717"/>
    </row>
    <row r="35" spans="1:13" ht="31.5" customHeight="1">
      <c r="A35" s="227" t="s">
        <v>495</v>
      </c>
      <c r="B35" s="718">
        <f>B34*مفروضات!$B$22/(B3*30)</f>
        <v>0</v>
      </c>
      <c r="C35" s="718">
        <f>C34*مفروضات!$B$22/(C3*30)-B35</f>
        <v>0</v>
      </c>
      <c r="D35" s="718">
        <f>D34*مفروضات!$B$22/(D3*30)-C35-B35</f>
        <v>0</v>
      </c>
      <c r="E35" s="718">
        <f>E34*مفروضات!$B$22/(E3*30)-D35-C35-B35</f>
        <v>0</v>
      </c>
      <c r="F35" s="718">
        <f>F34*مفروضات!$B$22/(F3*30)-E35-D35-C35-B35</f>
        <v>0</v>
      </c>
      <c r="G35" s="718">
        <f>G34*مفروضات!$B$22/(G3*30)-F35-E35-D35-C35-B35</f>
        <v>0</v>
      </c>
      <c r="H35" s="718">
        <f>H34*مفروضات!$B$22/(H3*30)-G35-F35-E35-D35-C35-B35</f>
        <v>0</v>
      </c>
      <c r="I35" s="718">
        <f>I34*مفروضات!$B$22/(I3*30)-H35-G35-F35-E35-D35-C35-B35</f>
        <v>0</v>
      </c>
      <c r="J35" s="718">
        <f>J34*مفروضات!$B$22/(J3*30)-I35-H35-G35-F35-E35-D35-C35-B35</f>
        <v>0</v>
      </c>
      <c r="K35" s="718">
        <f>K34*مفروضات!$B$22/(K3*30)-J35-I35-H35-G35-F35-E35-D35-C35-B35</f>
        <v>0</v>
      </c>
      <c r="L35" s="718">
        <f>L34*مفروضات!$B$22/(L3*30)-K35-J35-I35-H35-G35-F35-E35-D35-C35-B35</f>
        <v>0</v>
      </c>
      <c r="M35" s="717"/>
    </row>
    <row r="36" spans="1:13" ht="31.5" customHeight="1" thickBot="1">
      <c r="A36" s="537" t="s">
        <v>496</v>
      </c>
      <c r="B36" s="656">
        <f>B34-B35</f>
        <v>300000000</v>
      </c>
      <c r="C36" s="656">
        <f t="shared" ref="C36:L36" si="9">C34-C35</f>
        <v>450000000</v>
      </c>
      <c r="D36" s="656">
        <f t="shared" si="9"/>
        <v>600000000</v>
      </c>
      <c r="E36" s="656">
        <f t="shared" si="9"/>
        <v>850000000</v>
      </c>
      <c r="F36" s="656">
        <f t="shared" si="9"/>
        <v>12</v>
      </c>
      <c r="G36" s="656">
        <f t="shared" si="9"/>
        <v>12</v>
      </c>
      <c r="H36" s="656">
        <f t="shared" si="9"/>
        <v>12</v>
      </c>
      <c r="I36" s="656">
        <f t="shared" si="9"/>
        <v>12</v>
      </c>
      <c r="J36" s="656">
        <f t="shared" si="9"/>
        <v>12</v>
      </c>
      <c r="K36" s="656">
        <f t="shared" si="9"/>
        <v>12</v>
      </c>
      <c r="L36" s="656">
        <f t="shared" si="9"/>
        <v>12</v>
      </c>
      <c r="M36" s="719"/>
    </row>
    <row r="37" spans="1:13" ht="21">
      <c r="A37" s="229"/>
      <c r="B37" s="229"/>
      <c r="C37" s="229"/>
      <c r="D37" s="229"/>
      <c r="E37" s="229"/>
      <c r="F37" s="229"/>
      <c r="G37" s="230"/>
      <c r="H37" s="230"/>
      <c r="I37" s="230"/>
      <c r="J37" s="230"/>
      <c r="K37" s="230"/>
      <c r="L37" s="230"/>
    </row>
    <row r="38" spans="1:13" ht="24" hidden="1">
      <c r="A38" s="234" t="s">
        <v>155</v>
      </c>
    </row>
    <row r="39" spans="1:13" ht="21" hidden="1">
      <c r="A39" s="235">
        <f>G36</f>
        <v>12</v>
      </c>
    </row>
    <row r="41" spans="1:13">
      <c r="A41" s="220" t="s">
        <v>554</v>
      </c>
    </row>
  </sheetData>
  <mergeCells count="3">
    <mergeCell ref="A1:M1"/>
    <mergeCell ref="A20:M20"/>
    <mergeCell ref="A18:M19"/>
  </mergeCells>
  <phoneticPr fontId="0" type="noConversion"/>
  <printOptions horizontalCentered="1" verticalCentered="1"/>
  <pageMargins left="0.78740157480314965" right="1.7716535433070868" top="0.59055118110236227" bottom="0.59055118110236227" header="0" footer="0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22"/>
  <sheetViews>
    <sheetView rightToLeft="1" view="pageBreakPreview" zoomScaleNormal="100" workbookViewId="0">
      <selection activeCell="A19" sqref="A19:G21"/>
    </sheetView>
  </sheetViews>
  <sheetFormatPr defaultColWidth="10.44140625" defaultRowHeight="17.399999999999999"/>
  <cols>
    <col min="1" max="1" width="3.33203125" style="63" customWidth="1"/>
    <col min="2" max="2" width="31.44140625" style="52" customWidth="1"/>
    <col min="3" max="4" width="10.109375" style="52" customWidth="1"/>
    <col min="5" max="5" width="14.88671875" style="52" bestFit="1" customWidth="1"/>
    <col min="6" max="8" width="11.33203125" style="52" customWidth="1"/>
    <col min="9" max="9" width="17" style="52" hidden="1" customWidth="1"/>
    <col min="10" max="10" width="5.33203125" style="52" customWidth="1"/>
    <col min="11" max="16384" width="10.44140625" style="52"/>
  </cols>
  <sheetData>
    <row r="1" spans="1:9" ht="33" customHeight="1">
      <c r="A1" s="903" t="s">
        <v>111</v>
      </c>
      <c r="B1" s="904"/>
      <c r="C1" s="904"/>
      <c r="D1" s="904"/>
      <c r="E1" s="904"/>
      <c r="F1" s="904"/>
      <c r="G1" s="904"/>
      <c r="H1" s="904"/>
      <c r="I1" s="905"/>
    </row>
    <row r="2" spans="1:9" ht="21" customHeight="1">
      <c r="A2" s="910" t="s">
        <v>6</v>
      </c>
      <c r="B2" s="908" t="s">
        <v>7</v>
      </c>
      <c r="C2" s="906" t="s">
        <v>107</v>
      </c>
      <c r="D2" s="906"/>
      <c r="E2" s="907" t="s">
        <v>156</v>
      </c>
      <c r="F2" s="906" t="s">
        <v>114</v>
      </c>
      <c r="G2" s="906"/>
      <c r="H2" s="906" t="s">
        <v>8</v>
      </c>
      <c r="I2" s="54"/>
    </row>
    <row r="3" spans="1:9" ht="21" customHeight="1">
      <c r="A3" s="911"/>
      <c r="B3" s="909"/>
      <c r="C3" s="45" t="s">
        <v>101</v>
      </c>
      <c r="D3" s="45" t="s">
        <v>26</v>
      </c>
      <c r="E3" s="907"/>
      <c r="F3" s="45" t="s">
        <v>101</v>
      </c>
      <c r="G3" s="53" t="s">
        <v>26</v>
      </c>
      <c r="H3" s="906"/>
      <c r="I3" s="55"/>
    </row>
    <row r="4" spans="1:9" ht="21.75" customHeight="1">
      <c r="A4" s="56">
        <v>1</v>
      </c>
      <c r="B4" s="57"/>
      <c r="C4" s="651"/>
      <c r="D4" s="651"/>
      <c r="E4" s="651"/>
      <c r="F4" s="652">
        <f>E4*C4</f>
        <v>0</v>
      </c>
      <c r="G4" s="652">
        <f>E4*D4</f>
        <v>0</v>
      </c>
      <c r="H4" s="652">
        <f>F4+G4</f>
        <v>0</v>
      </c>
      <c r="I4" s="60"/>
    </row>
    <row r="5" spans="1:9" ht="21.75" customHeight="1">
      <c r="A5" s="56">
        <v>2</v>
      </c>
      <c r="B5" s="57"/>
      <c r="C5" s="651"/>
      <c r="D5" s="651">
        <v>0</v>
      </c>
      <c r="E5" s="651"/>
      <c r="F5" s="652">
        <f>E5*C5</f>
        <v>0</v>
      </c>
      <c r="G5" s="652">
        <f>E5*D5</f>
        <v>0</v>
      </c>
      <c r="H5" s="652">
        <f>F5+G5</f>
        <v>0</v>
      </c>
      <c r="I5" s="60"/>
    </row>
    <row r="6" spans="1:9" ht="21.75" customHeight="1">
      <c r="A6" s="56">
        <v>3</v>
      </c>
      <c r="B6" s="57"/>
      <c r="C6" s="651">
        <v>0</v>
      </c>
      <c r="D6" s="651">
        <v>0</v>
      </c>
      <c r="E6" s="651"/>
      <c r="F6" s="652">
        <f t="shared" ref="F6:F17" si="0">E6*C6</f>
        <v>0</v>
      </c>
      <c r="G6" s="652">
        <f t="shared" ref="G6:G17" si="1">E6*D6</f>
        <v>0</v>
      </c>
      <c r="H6" s="652">
        <f t="shared" ref="H6:H17" si="2">F6+G6</f>
        <v>0</v>
      </c>
      <c r="I6" s="60"/>
    </row>
    <row r="7" spans="1:9" ht="21.75" customHeight="1">
      <c r="A7" s="56">
        <v>4</v>
      </c>
      <c r="B7" s="57"/>
      <c r="C7" s="651">
        <v>0</v>
      </c>
      <c r="D7" s="651">
        <v>0</v>
      </c>
      <c r="E7" s="651"/>
      <c r="F7" s="652">
        <f t="shared" si="0"/>
        <v>0</v>
      </c>
      <c r="G7" s="652">
        <f t="shared" si="1"/>
        <v>0</v>
      </c>
      <c r="H7" s="652">
        <f t="shared" si="2"/>
        <v>0</v>
      </c>
      <c r="I7" s="60"/>
    </row>
    <row r="8" spans="1:9" ht="21.75" customHeight="1">
      <c r="A8" s="56">
        <v>5</v>
      </c>
      <c r="B8" s="57"/>
      <c r="C8" s="651">
        <v>0</v>
      </c>
      <c r="D8" s="651">
        <v>0</v>
      </c>
      <c r="E8" s="651"/>
      <c r="F8" s="652">
        <f>E8*C8</f>
        <v>0</v>
      </c>
      <c r="G8" s="652">
        <f>E8*D8</f>
        <v>0</v>
      </c>
      <c r="H8" s="652">
        <f>F8+G8</f>
        <v>0</v>
      </c>
      <c r="I8" s="60"/>
    </row>
    <row r="9" spans="1:9" ht="21.75" customHeight="1">
      <c r="A9" s="56">
        <v>6</v>
      </c>
      <c r="B9" s="57"/>
      <c r="C9" s="651">
        <v>0</v>
      </c>
      <c r="D9" s="651">
        <v>0</v>
      </c>
      <c r="E9" s="651"/>
      <c r="F9" s="652">
        <f>E9*C9</f>
        <v>0</v>
      </c>
      <c r="G9" s="652">
        <f>E9*D9</f>
        <v>0</v>
      </c>
      <c r="H9" s="652">
        <f>F9+G9</f>
        <v>0</v>
      </c>
      <c r="I9" s="60"/>
    </row>
    <row r="10" spans="1:9" ht="28.5" hidden="1" customHeight="1">
      <c r="A10" s="56"/>
      <c r="B10" s="57"/>
      <c r="C10" s="651"/>
      <c r="D10" s="651"/>
      <c r="E10" s="651"/>
      <c r="F10" s="652">
        <f>E10*C10</f>
        <v>0</v>
      </c>
      <c r="G10" s="652">
        <f>E10*D10</f>
        <v>0</v>
      </c>
      <c r="H10" s="652">
        <f>F10+G10</f>
        <v>0</v>
      </c>
      <c r="I10" s="60"/>
    </row>
    <row r="11" spans="1:9" ht="28.5" hidden="1" customHeight="1">
      <c r="A11" s="56"/>
      <c r="B11" s="57"/>
      <c r="C11" s="58"/>
      <c r="D11" s="58"/>
      <c r="E11" s="58"/>
      <c r="F11" s="59">
        <f t="shared" si="0"/>
        <v>0</v>
      </c>
      <c r="G11" s="59">
        <f t="shared" si="1"/>
        <v>0</v>
      </c>
      <c r="H11" s="59">
        <f t="shared" si="2"/>
        <v>0</v>
      </c>
      <c r="I11" s="60"/>
    </row>
    <row r="12" spans="1:9" ht="28.5" hidden="1" customHeight="1">
      <c r="A12" s="56"/>
      <c r="B12" s="57"/>
      <c r="C12" s="58"/>
      <c r="D12" s="58"/>
      <c r="E12" s="58"/>
      <c r="F12" s="59">
        <f t="shared" si="0"/>
        <v>0</v>
      </c>
      <c r="G12" s="59">
        <f t="shared" si="1"/>
        <v>0</v>
      </c>
      <c r="H12" s="59">
        <f t="shared" si="2"/>
        <v>0</v>
      </c>
      <c r="I12" s="60"/>
    </row>
    <row r="13" spans="1:9" ht="28.5" hidden="1" customHeight="1">
      <c r="A13" s="56"/>
      <c r="B13" s="57"/>
      <c r="C13" s="58"/>
      <c r="D13" s="58"/>
      <c r="E13" s="58"/>
      <c r="F13" s="59">
        <f t="shared" si="0"/>
        <v>0</v>
      </c>
      <c r="G13" s="59">
        <f t="shared" si="1"/>
        <v>0</v>
      </c>
      <c r="H13" s="59">
        <f t="shared" si="2"/>
        <v>0</v>
      </c>
      <c r="I13" s="60"/>
    </row>
    <row r="14" spans="1:9" ht="28.5" hidden="1" customHeight="1">
      <c r="A14" s="56"/>
      <c r="B14" s="57"/>
      <c r="C14" s="58"/>
      <c r="D14" s="58"/>
      <c r="E14" s="58"/>
      <c r="F14" s="59">
        <f t="shared" si="0"/>
        <v>0</v>
      </c>
      <c r="G14" s="59">
        <f t="shared" si="1"/>
        <v>0</v>
      </c>
      <c r="H14" s="59">
        <f t="shared" si="2"/>
        <v>0</v>
      </c>
      <c r="I14" s="60"/>
    </row>
    <row r="15" spans="1:9" ht="28.5" hidden="1" customHeight="1">
      <c r="A15" s="56"/>
      <c r="B15" s="57"/>
      <c r="C15" s="58"/>
      <c r="D15" s="58"/>
      <c r="E15" s="58"/>
      <c r="F15" s="59">
        <f t="shared" si="0"/>
        <v>0</v>
      </c>
      <c r="G15" s="59">
        <f t="shared" si="1"/>
        <v>0</v>
      </c>
      <c r="H15" s="59">
        <f t="shared" si="2"/>
        <v>0</v>
      </c>
      <c r="I15" s="60"/>
    </row>
    <row r="16" spans="1:9" ht="28.5" hidden="1" customHeight="1">
      <c r="A16" s="56"/>
      <c r="B16" s="57"/>
      <c r="C16" s="58"/>
      <c r="D16" s="58"/>
      <c r="E16" s="58"/>
      <c r="F16" s="59">
        <f t="shared" si="0"/>
        <v>0</v>
      </c>
      <c r="G16" s="59">
        <f t="shared" si="1"/>
        <v>0</v>
      </c>
      <c r="H16" s="59">
        <f t="shared" si="2"/>
        <v>0</v>
      </c>
      <c r="I16" s="60"/>
    </row>
    <row r="17" spans="1:9" ht="28.5" hidden="1" customHeight="1">
      <c r="A17" s="56"/>
      <c r="B17" s="57"/>
      <c r="C17" s="58"/>
      <c r="D17" s="58"/>
      <c r="E17" s="58"/>
      <c r="F17" s="59">
        <f t="shared" si="0"/>
        <v>0</v>
      </c>
      <c r="G17" s="59">
        <f t="shared" si="1"/>
        <v>0</v>
      </c>
      <c r="H17" s="59">
        <f t="shared" si="2"/>
        <v>0</v>
      </c>
      <c r="I17" s="60"/>
    </row>
    <row r="18" spans="1:9" s="62" customFormat="1" ht="28.5" customHeight="1" thickBot="1">
      <c r="A18" s="900" t="s">
        <v>17</v>
      </c>
      <c r="B18" s="901"/>
      <c r="C18" s="901"/>
      <c r="D18" s="901"/>
      <c r="E18" s="902"/>
      <c r="F18" s="649">
        <f>SUM(F4:F17)</f>
        <v>0</v>
      </c>
      <c r="G18" s="649">
        <f>SUM(G4:G17)</f>
        <v>0</v>
      </c>
      <c r="H18" s="649">
        <f>SUM(H4:H17)</f>
        <v>0</v>
      </c>
      <c r="I18" s="61">
        <f>SUM(I4:I5)</f>
        <v>0</v>
      </c>
    </row>
    <row r="19" spans="1:9">
      <c r="A19" s="898"/>
      <c r="B19" s="898"/>
      <c r="C19" s="898"/>
      <c r="D19" s="898"/>
      <c r="E19" s="898"/>
      <c r="F19" s="898"/>
      <c r="G19" s="898"/>
      <c r="H19" s="898"/>
    </row>
    <row r="20" spans="1:9">
      <c r="A20" s="899"/>
      <c r="B20" s="899"/>
      <c r="C20" s="899"/>
      <c r="D20" s="899"/>
      <c r="E20" s="899"/>
      <c r="F20" s="899"/>
      <c r="G20" s="899"/>
      <c r="H20" s="899"/>
    </row>
    <row r="21" spans="1:9">
      <c r="A21" s="899"/>
      <c r="B21" s="899"/>
      <c r="C21" s="899"/>
      <c r="D21" s="899"/>
      <c r="E21" s="899"/>
      <c r="F21" s="899"/>
      <c r="G21" s="899"/>
      <c r="H21" s="899"/>
    </row>
    <row r="22" spans="1:9">
      <c r="F22" s="65"/>
    </row>
  </sheetData>
  <mergeCells count="10">
    <mergeCell ref="A19:G21"/>
    <mergeCell ref="H19:H21"/>
    <mergeCell ref="A18:E18"/>
    <mergeCell ref="A1:I1"/>
    <mergeCell ref="C2:D2"/>
    <mergeCell ref="E2:E3"/>
    <mergeCell ref="F2:G2"/>
    <mergeCell ref="H2:H3"/>
    <mergeCell ref="B2:B3"/>
    <mergeCell ref="A2:A3"/>
  </mergeCells>
  <phoneticPr fontId="0" type="noConversion"/>
  <printOptions horizontalCentered="1"/>
  <pageMargins left="0" right="0" top="3.3464566929133861" bottom="0.39370078740157483" header="0" footer="0"/>
  <pageSetup paperSize="9" scale="95" orientation="portrait" r:id="rId1"/>
  <headerFooter alignWithMargins="0"/>
  <colBreaks count="1" manualBreakCount="1">
    <brk id="8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N24"/>
  <sheetViews>
    <sheetView rightToLeft="1" zoomScaleNormal="100" zoomScaleSheetLayoutView="80" workbookViewId="0">
      <selection activeCell="C4" sqref="C4"/>
    </sheetView>
  </sheetViews>
  <sheetFormatPr defaultColWidth="9.109375" defaultRowHeight="17.399999999999999"/>
  <cols>
    <col min="1" max="1" width="3.5546875" style="198" customWidth="1"/>
    <col min="2" max="2" width="26" style="198" bestFit="1" customWidth="1"/>
    <col min="3" max="3" width="14.33203125" style="198" bestFit="1" customWidth="1"/>
    <col min="4" max="4" width="13.6640625" style="198" bestFit="1" customWidth="1"/>
    <col min="5" max="13" width="15.33203125" style="198" bestFit="1" customWidth="1"/>
    <col min="14" max="16384" width="9.109375" style="198"/>
  </cols>
  <sheetData>
    <row r="1" spans="1:13" ht="24.9" customHeight="1" thickBot="1">
      <c r="A1" s="896" t="s">
        <v>176</v>
      </c>
      <c r="B1" s="896"/>
      <c r="C1" s="896"/>
      <c r="D1" s="896"/>
      <c r="E1" s="896"/>
      <c r="F1" s="896"/>
    </row>
    <row r="2" spans="1:13" ht="24.9" customHeight="1">
      <c r="A2" s="102" t="s">
        <v>6</v>
      </c>
      <c r="B2" s="103" t="s">
        <v>7</v>
      </c>
      <c r="C2" s="104" t="s">
        <v>177</v>
      </c>
      <c r="D2" s="67" t="s">
        <v>106</v>
      </c>
      <c r="E2" s="103" t="s">
        <v>26</v>
      </c>
      <c r="F2" s="236" t="s">
        <v>14</v>
      </c>
    </row>
    <row r="3" spans="1:13" ht="20.100000000000001" customHeight="1">
      <c r="A3" s="237">
        <v>1</v>
      </c>
      <c r="B3" s="23"/>
      <c r="C3" s="858">
        <v>0</v>
      </c>
      <c r="D3" s="651">
        <v>0</v>
      </c>
      <c r="E3" s="651"/>
      <c r="F3" s="716"/>
    </row>
    <row r="4" spans="1:13" ht="20.100000000000001" customHeight="1">
      <c r="A4" s="237">
        <v>2</v>
      </c>
      <c r="B4" s="23" t="s">
        <v>328</v>
      </c>
      <c r="C4" s="858">
        <v>1</v>
      </c>
      <c r="D4" s="651">
        <v>0</v>
      </c>
      <c r="E4" s="651">
        <f>'هزينه هاي توليد'!E3/12*'سرمايه در گردش'!C4*'برآورد فروش'!H4</f>
        <v>0</v>
      </c>
      <c r="F4" s="716">
        <f>E4+D4</f>
        <v>0</v>
      </c>
      <c r="H4" s="238"/>
    </row>
    <row r="5" spans="1:13" ht="20.100000000000001" customHeight="1">
      <c r="A5" s="237">
        <v>3</v>
      </c>
      <c r="B5" s="23" t="s">
        <v>491</v>
      </c>
      <c r="C5" s="858">
        <v>1</v>
      </c>
      <c r="D5" s="651">
        <v>0</v>
      </c>
      <c r="E5" s="652">
        <f>('پيش بيني عملكرد سود و زيان'!I14-'پيش بيني عملكرد سود و زيان'!I11)*$C$5/12</f>
        <v>2470799.375</v>
      </c>
      <c r="F5" s="655">
        <f>E5+D5</f>
        <v>2470799.375</v>
      </c>
    </row>
    <row r="6" spans="1:13" ht="20.100000000000001" customHeight="1">
      <c r="A6" s="237">
        <v>4</v>
      </c>
      <c r="B6" s="23" t="s">
        <v>364</v>
      </c>
      <c r="C6" s="858">
        <v>1</v>
      </c>
      <c r="D6" s="651">
        <v>0</v>
      </c>
      <c r="E6" s="652">
        <f>('پيش بيني عملكرد سود و زيان'!I16+'پيش بيني عملكرد سود و زيان'!I18+'پيش بيني عملكرد سود و زيان'!I19+'پيش بيني عملكرد سود و زيان'!I22+'پيش بيني عملكرد سود و زيان'!I23-'پيش بيني عملكرد سود و زيان'!I11)/12*'سرمايه در گردش'!C6</f>
        <v>4775299.3849999998</v>
      </c>
      <c r="F6" s="655">
        <f>E6+D6</f>
        <v>4775299.3849999998</v>
      </c>
    </row>
    <row r="7" spans="1:13" ht="20.100000000000001" customHeight="1">
      <c r="A7" s="237">
        <v>5</v>
      </c>
      <c r="B7" s="23" t="s">
        <v>49</v>
      </c>
      <c r="C7" s="858">
        <v>0</v>
      </c>
      <c r="D7" s="651">
        <v>0</v>
      </c>
      <c r="E7" s="652">
        <f>('پيش بيني عملكرد سود و زيان'!I9+'پيش بيني عملكرد سود و زيان'!I10+'پيش بيني عملكرد سود و زيان'!I7+'پيش بيني عملكرد سود و زيان'!I8+'پيش بيني عملكرد سود و زيان'!I18)*'سرمايه در گردش'!C7/12</f>
        <v>0</v>
      </c>
      <c r="F7" s="655">
        <f>E7+D7</f>
        <v>0</v>
      </c>
    </row>
    <row r="8" spans="1:13" ht="20.100000000000001" customHeight="1">
      <c r="A8" s="237">
        <v>6</v>
      </c>
      <c r="B8" s="23" t="s">
        <v>492</v>
      </c>
      <c r="C8" s="858">
        <v>0</v>
      </c>
      <c r="D8" s="651">
        <v>0</v>
      </c>
      <c r="E8" s="652">
        <f>('پيش بيني عملكرد سود و زيان'!I14-'پيش بيني عملكرد سود و زيان'!I11)*'سرمايه در گردش'!$C$8/12</f>
        <v>0</v>
      </c>
      <c r="F8" s="655">
        <f>E8+D8</f>
        <v>0</v>
      </c>
      <c r="I8" s="238"/>
    </row>
    <row r="9" spans="1:13" ht="24.9" customHeight="1" thickBot="1">
      <c r="A9" s="1055" t="s">
        <v>15</v>
      </c>
      <c r="B9" s="1056"/>
      <c r="C9" s="656"/>
      <c r="D9" s="657">
        <f>SUM(D3:D8)</f>
        <v>0</v>
      </c>
      <c r="E9" s="657">
        <f>SUM(E3:E8)</f>
        <v>7246098.7599999998</v>
      </c>
      <c r="F9" s="658">
        <f>SUM(F3:F8)</f>
        <v>7246098.7599999998</v>
      </c>
    </row>
    <row r="10" spans="1:13" ht="24" hidden="1" customHeight="1">
      <c r="A10" s="635"/>
      <c r="B10" s="635"/>
      <c r="C10" s="238"/>
      <c r="D10" s="240"/>
      <c r="F10" s="241"/>
    </row>
    <row r="11" spans="1:13" ht="24" hidden="1" customHeight="1">
      <c r="A11" s="242"/>
      <c r="B11" s="242"/>
      <c r="C11" s="238"/>
      <c r="D11" s="240"/>
      <c r="F11" s="241"/>
    </row>
    <row r="12" spans="1:13" ht="24.9" customHeight="1" thickBot="1">
      <c r="A12" s="242"/>
      <c r="B12" s="1057" t="s">
        <v>318</v>
      </c>
      <c r="C12" s="1057"/>
      <c r="D12" s="1057"/>
      <c r="E12" s="1057"/>
      <c r="F12" s="1057"/>
      <c r="G12" s="1057"/>
      <c r="H12" s="1057"/>
      <c r="I12" s="1057"/>
      <c r="J12" s="1057"/>
      <c r="K12" s="1057"/>
      <c r="L12" s="1057"/>
      <c r="M12" s="1057"/>
    </row>
    <row r="13" spans="1:13" ht="24.9" customHeight="1">
      <c r="B13" s="243" t="s">
        <v>13</v>
      </c>
      <c r="C13" s="244" t="str">
        <f>'برآورد فروش'!B2</f>
        <v>سال بهره برداری</v>
      </c>
      <c r="D13" s="244" t="str">
        <f>'برآورد فروش'!C2</f>
        <v xml:space="preserve">سال اول </v>
      </c>
      <c r="E13" s="244" t="str">
        <f>'برآورد فروش'!D2</f>
        <v>سال دوم</v>
      </c>
      <c r="F13" s="244" t="str">
        <f>'برآورد فروش'!E2</f>
        <v>سال سوم</v>
      </c>
      <c r="G13" s="244" t="str">
        <f>'برآورد فروش'!F2</f>
        <v>سال چهارم</v>
      </c>
      <c r="H13" s="244" t="str">
        <f>'برآورد فروش'!G2</f>
        <v>سال پنجم</v>
      </c>
      <c r="I13" s="244" t="str">
        <f>'برآورد فروش'!H2</f>
        <v>سال ششم</v>
      </c>
      <c r="J13" s="244" t="str">
        <f>'برآورد فروش'!I2</f>
        <v>سال هفتم</v>
      </c>
      <c r="K13" s="244" t="str">
        <f>'برآورد فروش'!J2</f>
        <v>سال هشتم</v>
      </c>
      <c r="L13" s="244" t="str">
        <f>'برآورد فروش'!K2</f>
        <v>سال نهم</v>
      </c>
      <c r="M13" s="245" t="str">
        <f>'برآورد فروش'!L2</f>
        <v>سال دهم</v>
      </c>
    </row>
    <row r="14" spans="1:13" ht="20.100000000000001" customHeight="1">
      <c r="B14" s="246">
        <f t="shared" ref="B14:B19" si="0">B3</f>
        <v>0</v>
      </c>
      <c r="C14" s="680"/>
      <c r="D14" s="680"/>
      <c r="E14" s="680"/>
      <c r="F14" s="680"/>
      <c r="G14" s="680"/>
      <c r="H14" s="680"/>
      <c r="I14" s="680"/>
      <c r="J14" s="680"/>
      <c r="K14" s="680"/>
      <c r="L14" s="680"/>
      <c r="M14" s="680"/>
    </row>
    <row r="15" spans="1:13" ht="20.100000000000001" customHeight="1">
      <c r="B15" s="246" t="str">
        <f t="shared" si="0"/>
        <v>مواد اوليه</v>
      </c>
      <c r="C15" s="720">
        <f>$F$4/'برآورد فروش'!$H$4*'برآورد فروش'!B4</f>
        <v>0</v>
      </c>
      <c r="D15" s="720">
        <f>$F$4/'برآورد فروش'!$H$4*'برآورد فروش'!C4</f>
        <v>0</v>
      </c>
      <c r="E15" s="720">
        <f>$F$4/'برآورد فروش'!$H$4*'برآورد فروش'!D4</f>
        <v>0</v>
      </c>
      <c r="F15" s="720">
        <f>$F$4/'برآورد فروش'!$H$4*'برآورد فروش'!E4</f>
        <v>0</v>
      </c>
      <c r="G15" s="720">
        <f>$F$4/'برآورد فروش'!$H$4*'برآورد فروش'!F4</f>
        <v>0</v>
      </c>
      <c r="H15" s="720">
        <f>$F$4/'برآورد فروش'!$H$4*'برآورد فروش'!G4</f>
        <v>0</v>
      </c>
      <c r="I15" s="720">
        <f>$F$4/'برآورد فروش'!$H$4*'برآورد فروش'!H4</f>
        <v>0</v>
      </c>
      <c r="J15" s="720">
        <f>$F$4/'برآورد فروش'!$H$4*'برآورد فروش'!I4</f>
        <v>0</v>
      </c>
      <c r="K15" s="720">
        <f>$F$4/'برآورد فروش'!$H$4*'برآورد فروش'!J4</f>
        <v>0</v>
      </c>
      <c r="L15" s="720">
        <f>$F$4/'برآورد فروش'!$H$4*'برآورد فروش'!K4</f>
        <v>0</v>
      </c>
      <c r="M15" s="720">
        <f>$F$4/'برآورد فروش'!$H$4*'برآورد فروش'!L4</f>
        <v>0</v>
      </c>
    </row>
    <row r="16" spans="1:13" ht="20.100000000000001" customHeight="1">
      <c r="B16" s="246" t="str">
        <f t="shared" si="0"/>
        <v xml:space="preserve">موجودی کالای ساخته شده </v>
      </c>
      <c r="C16" s="720">
        <f>('پيش بيني عملكرد سود و زيان'!C14-'پيش بيني عملكرد سود و زيان'!C11)*$C$5/12</f>
        <v>2470799.375</v>
      </c>
      <c r="D16" s="720">
        <f>('پيش بيني عملكرد سود و زيان'!D14-'پيش بيني عملكرد سود و زيان'!D11)*$C$5/12</f>
        <v>2470799.375</v>
      </c>
      <c r="E16" s="720">
        <f>('پيش بيني عملكرد سود و زيان'!E14-'پيش بيني عملكرد سود و زيان'!E11)*$C$5/12</f>
        <v>2470799.375</v>
      </c>
      <c r="F16" s="720">
        <f>('پيش بيني عملكرد سود و زيان'!F14-'پيش بيني عملكرد سود و زيان'!F11)*$C$5/12</f>
        <v>2470799.375</v>
      </c>
      <c r="G16" s="720">
        <f>('پيش بيني عملكرد سود و زيان'!G14-'پيش بيني عملكرد سود و زيان'!G11)*$C$5/12</f>
        <v>2470799.375</v>
      </c>
      <c r="H16" s="720">
        <f>('پيش بيني عملكرد سود و زيان'!H14-'پيش بيني عملكرد سود و زيان'!H11)*$C$5/12</f>
        <v>2470799.375</v>
      </c>
      <c r="I16" s="720">
        <f>('پيش بيني عملكرد سود و زيان'!I14-'پيش بيني عملكرد سود و زيان'!I11)*$C$5/12</f>
        <v>2470799.375</v>
      </c>
      <c r="J16" s="720">
        <f>('پيش بيني عملكرد سود و زيان'!J14-'پيش بيني عملكرد سود و زيان'!J11)*$C$5/12</f>
        <v>2470799.375</v>
      </c>
      <c r="K16" s="720">
        <f>('پيش بيني عملكرد سود و زيان'!K14-'پيش بيني عملكرد سود و زيان'!K11)*$C$5/12</f>
        <v>2470799.375</v>
      </c>
      <c r="L16" s="720">
        <f>('پيش بيني عملكرد سود و زيان'!L14-'پيش بيني عملكرد سود و زيان'!L11)*'سرمايه در گردش'!$C$5/12</f>
        <v>2470799.375</v>
      </c>
      <c r="M16" s="720">
        <f>('پيش بيني عملكرد سود و زيان'!M14-'پيش بيني عملكرد سود و زيان'!M11)*'سرمايه در گردش'!$C$5/12</f>
        <v>2470799.375</v>
      </c>
    </row>
    <row r="17" spans="2:14" ht="20.100000000000001" customHeight="1">
      <c r="B17" s="246" t="str">
        <f t="shared" si="0"/>
        <v>مطالبات</v>
      </c>
      <c r="C17" s="720">
        <f>('پيش بيني عملكرد سود و زيان'!C16+'پيش بيني عملكرد سود و زيان'!C18+'پيش بيني عملكرد سود و زيان'!C19+'پيش بيني عملكرد سود و زيان'!C22+'پيش بيني عملكرد سود و زيان'!C23-'پيش بيني عملكرد سود و زيان'!C11)/12*'سرمايه در گردش'!$C$6</f>
        <v>4775299.3850000007</v>
      </c>
      <c r="D17" s="720">
        <f>('پيش بيني عملكرد سود و زيان'!D16+'پيش بيني عملكرد سود و زيان'!D18+'پيش بيني عملكرد سود و زيان'!D19+'پيش بيني عملكرد سود و زيان'!D22+'پيش بيني عملكرد سود و زيان'!D23-'پيش بيني عملكرد سود و زيان'!D11)/12*'سرمايه در گردش'!$C$6</f>
        <v>4775299.3850000007</v>
      </c>
      <c r="E17" s="720">
        <f>('پيش بيني عملكرد سود و زيان'!E16+'پيش بيني عملكرد سود و زيان'!E18+'پيش بيني عملكرد سود و زيان'!E19+'پيش بيني عملكرد سود و زيان'!E22+'پيش بيني عملكرد سود و زيان'!E23-'پيش بيني عملكرد سود و زيان'!E11)/12*'سرمايه در گردش'!$C$6</f>
        <v>4775299.3850000007</v>
      </c>
      <c r="F17" s="720">
        <f>('پيش بيني عملكرد سود و زيان'!F16+'پيش بيني عملكرد سود و زيان'!F18+'پيش بيني عملكرد سود و زيان'!F19+'پيش بيني عملكرد سود و زيان'!F22+'پيش بيني عملكرد سود و زيان'!F23-'پيش بيني عملكرد سود و زيان'!F11)/12*'سرمايه در گردش'!$C$6</f>
        <v>4775299.3850000007</v>
      </c>
      <c r="G17" s="720">
        <f>('پيش بيني عملكرد سود و زيان'!G16+'پيش بيني عملكرد سود و زيان'!G18+'پيش بيني عملكرد سود و زيان'!G19+'پيش بيني عملكرد سود و زيان'!G22+'پيش بيني عملكرد سود و زيان'!G23-'پيش بيني عملكرد سود و زيان'!G11)/12*'سرمايه در گردش'!$C$6</f>
        <v>4775299.3850000007</v>
      </c>
      <c r="H17" s="720">
        <f>('پيش بيني عملكرد سود و زيان'!H16+'پيش بيني عملكرد سود و زيان'!H18+'پيش بيني عملكرد سود و زيان'!H19+'پيش بيني عملكرد سود و زيان'!H22+'پيش بيني عملكرد سود و زيان'!H23-'پيش بيني عملكرد سود و زيان'!H11)/12*'سرمايه در گردش'!$C$6</f>
        <v>4775299.3849999998</v>
      </c>
      <c r="I17" s="720">
        <f>('پيش بيني عملكرد سود و زيان'!I16+'پيش بيني عملكرد سود و زيان'!I18+'پيش بيني عملكرد سود و زيان'!I19+'پيش بيني عملكرد سود و زيان'!I22+'پيش بيني عملكرد سود و زيان'!I23-'پيش بيني عملكرد سود و زيان'!I11)/12*'سرمايه در گردش'!$C$6</f>
        <v>4775299.3849999998</v>
      </c>
      <c r="J17" s="720">
        <f>('پيش بيني عملكرد سود و زيان'!J16+'پيش بيني عملكرد سود و زيان'!J18+'پيش بيني عملكرد سود و زيان'!J19+'پيش بيني عملكرد سود و زيان'!J22+'پيش بيني عملكرد سود و زيان'!J23-'پيش بيني عملكرد سود و زيان'!J11)/12*'سرمايه در گردش'!$C$6</f>
        <v>4775299.3849999998</v>
      </c>
      <c r="K17" s="720">
        <f>('پيش بيني عملكرد سود و زيان'!K16+'پيش بيني عملكرد سود و زيان'!K18+'پيش بيني عملكرد سود و زيان'!K19+'پيش بيني عملكرد سود و زيان'!K22+'پيش بيني عملكرد سود و زيان'!K23-'پيش بيني عملكرد سود و زيان'!K11)/12*'سرمايه در گردش'!$C$6</f>
        <v>4775299.3849999998</v>
      </c>
      <c r="L17" s="720">
        <f>('پيش بيني عملكرد سود و زيان'!L16+'پيش بيني عملكرد سود و زيان'!L18+'پيش بيني عملكرد سود و زيان'!L19+'پيش بيني عملكرد سود و زيان'!L22+'پيش بيني عملكرد سود و زيان'!L23-'پيش بيني عملكرد سود و زيان'!L11)/12*'سرمايه در گردش'!$C$6</f>
        <v>4775299.3849999998</v>
      </c>
      <c r="M17" s="720">
        <f>('پيش بيني عملكرد سود و زيان'!M16+'پيش بيني عملكرد سود و زيان'!M18+'پيش بيني عملكرد سود و زيان'!M19+'پيش بيني عملكرد سود و زيان'!M22+'پيش بيني عملكرد سود و زيان'!M23-'پيش بيني عملكرد سود و زيان'!M11)/12*'سرمايه در گردش'!$C$6</f>
        <v>4775299.3849999998</v>
      </c>
      <c r="N17" s="241"/>
    </row>
    <row r="18" spans="2:14" ht="20.100000000000001" customHeight="1">
      <c r="B18" s="246" t="str">
        <f t="shared" si="0"/>
        <v>تنخواه گردان</v>
      </c>
      <c r="C18" s="720">
        <f>('پيش بيني عملكرد سود و زيان'!C9+'پيش بيني عملكرد سود و زيان'!C10+'پيش بيني عملكرد سود و زيان'!C7+'پيش بيني عملكرد سود و زيان'!C8+'پيش بيني عملكرد سود و زيان'!C18)*'سرمايه در گردش'!$C$7/12</f>
        <v>0</v>
      </c>
      <c r="D18" s="720">
        <f>('پيش بيني عملكرد سود و زيان'!D9+'پيش بيني عملكرد سود و زيان'!D10+'پيش بيني عملكرد سود و زيان'!D7+'پيش بيني عملكرد سود و زيان'!D8+'پيش بيني عملكرد سود و زيان'!D18)*'سرمايه در گردش'!$C$7/12</f>
        <v>0</v>
      </c>
      <c r="E18" s="720">
        <f>('پيش بيني عملكرد سود و زيان'!E9+'پيش بيني عملكرد سود و زيان'!E10+'پيش بيني عملكرد سود و زيان'!E7+'پيش بيني عملكرد سود و زيان'!E8+'پيش بيني عملكرد سود و زيان'!E18)*'سرمايه در گردش'!$C$7/12</f>
        <v>0</v>
      </c>
      <c r="F18" s="720">
        <f>('پيش بيني عملكرد سود و زيان'!F9+'پيش بيني عملكرد سود و زيان'!F10+'پيش بيني عملكرد سود و زيان'!F7+'پيش بيني عملكرد سود و زيان'!F8+'پيش بيني عملكرد سود و زيان'!F18)*'سرمايه در گردش'!$C$7/12</f>
        <v>0</v>
      </c>
      <c r="G18" s="720">
        <f>('پيش بيني عملكرد سود و زيان'!G9+'پيش بيني عملكرد سود و زيان'!G10+'پيش بيني عملكرد سود و زيان'!G7+'پيش بيني عملكرد سود و زيان'!G8+'پيش بيني عملكرد سود و زيان'!G18)*'سرمايه در گردش'!$C$7/12</f>
        <v>0</v>
      </c>
      <c r="H18" s="720">
        <f>('پيش بيني عملكرد سود و زيان'!H9+'پيش بيني عملكرد سود و زيان'!H10+'پيش بيني عملكرد سود و زيان'!H7+'پيش بيني عملكرد سود و زيان'!H8+'پيش بيني عملكرد سود و زيان'!H18)*'سرمايه در گردش'!$C$7/12</f>
        <v>0</v>
      </c>
      <c r="I18" s="720">
        <f>('پيش بيني عملكرد سود و زيان'!I9+'پيش بيني عملكرد سود و زيان'!I10+'پيش بيني عملكرد سود و زيان'!I7+'پيش بيني عملكرد سود و زيان'!I8+'پيش بيني عملكرد سود و زيان'!I18)*'سرمايه در گردش'!$C$7/12</f>
        <v>0</v>
      </c>
      <c r="J18" s="720">
        <f>('پيش بيني عملكرد سود و زيان'!J9+'پيش بيني عملكرد سود و زيان'!J10+'پيش بيني عملكرد سود و زيان'!J7+'پيش بيني عملكرد سود و زيان'!J8+'پيش بيني عملكرد سود و زيان'!J18)*'سرمايه در گردش'!$C$7/12</f>
        <v>0</v>
      </c>
      <c r="K18" s="720">
        <f>('پيش بيني عملكرد سود و زيان'!K9+'پيش بيني عملكرد سود و زيان'!K10+'پيش بيني عملكرد سود و زيان'!K7+'پيش بيني عملكرد سود و زيان'!K8+'پيش بيني عملكرد سود و زيان'!K18)*'سرمايه در گردش'!$C$7/12</f>
        <v>0</v>
      </c>
      <c r="L18" s="720">
        <f>('پيش بيني عملكرد سود و زيان'!L9+'پيش بيني عملكرد سود و زيان'!L10+'پيش بيني عملكرد سود و زيان'!L7+'پيش بيني عملكرد سود و زيان'!L8+'پيش بيني عملكرد سود و زيان'!L18)*'سرمايه در گردش'!$C$7/12</f>
        <v>0</v>
      </c>
      <c r="M18" s="721">
        <f>('پيش بيني عملكرد سود و زيان'!M9+'پيش بيني عملكرد سود و زيان'!M10+'پيش بيني عملكرد سود و زيان'!M7+'پيش بيني عملكرد سود و زيان'!M8+'پيش بيني عملكرد سود و زيان'!M18)*'سرمايه در گردش'!$C$7/12</f>
        <v>0</v>
      </c>
    </row>
    <row r="19" spans="2:14" ht="20.100000000000001" customHeight="1">
      <c r="B19" s="246" t="str">
        <f t="shared" si="0"/>
        <v>موجودی کالای در جریال ساخت</v>
      </c>
      <c r="C19" s="720">
        <f>('پيش بيني عملكرد سود و زيان'!C14-'پيش بيني عملكرد سود و زيان'!C11)*'سرمايه در گردش'!$C$8/12</f>
        <v>0</v>
      </c>
      <c r="D19" s="720">
        <f>('پيش بيني عملكرد سود و زيان'!D14-'پيش بيني عملكرد سود و زيان'!D11)*'سرمايه در گردش'!$C$8/12</f>
        <v>0</v>
      </c>
      <c r="E19" s="720">
        <f>('پيش بيني عملكرد سود و زيان'!E14-'پيش بيني عملكرد سود و زيان'!E11)*'سرمايه در گردش'!$C$8/12</f>
        <v>0</v>
      </c>
      <c r="F19" s="720">
        <f>('پيش بيني عملكرد سود و زيان'!F14-'پيش بيني عملكرد سود و زيان'!F11)*'سرمايه در گردش'!$C$8/12</f>
        <v>0</v>
      </c>
      <c r="G19" s="720">
        <f>('پيش بيني عملكرد سود و زيان'!G14-'پيش بيني عملكرد سود و زيان'!G11)*'سرمايه در گردش'!$C$8/12</f>
        <v>0</v>
      </c>
      <c r="H19" s="720">
        <f>('پيش بيني عملكرد سود و زيان'!H14-'پيش بيني عملكرد سود و زيان'!H11)*'سرمايه در گردش'!$C$8/12</f>
        <v>0</v>
      </c>
      <c r="I19" s="720">
        <f>('پيش بيني عملكرد سود و زيان'!I14-'پيش بيني عملكرد سود و زيان'!I11)*'سرمايه در گردش'!$C$8/12</f>
        <v>0</v>
      </c>
      <c r="J19" s="720">
        <f>('پيش بيني عملكرد سود و زيان'!J14-'پيش بيني عملكرد سود و زيان'!J11)*'سرمايه در گردش'!$C$8/12</f>
        <v>0</v>
      </c>
      <c r="K19" s="720">
        <f>('پيش بيني عملكرد سود و زيان'!K14-'پيش بيني عملكرد سود و زيان'!K11)*'سرمايه در گردش'!$C$8/12</f>
        <v>0</v>
      </c>
      <c r="L19" s="720">
        <f>('پيش بيني عملكرد سود و زيان'!L14-'پيش بيني عملكرد سود و زيان'!L11)*'سرمايه در گردش'!$C$8/12</f>
        <v>0</v>
      </c>
      <c r="M19" s="720">
        <f>('پيش بيني عملكرد سود و زيان'!M14-'پيش بيني عملكرد سود و زيان'!M11)*'سرمايه در گردش'!$C$8/12</f>
        <v>0</v>
      </c>
    </row>
    <row r="20" spans="2:14" s="199" customFormat="1" ht="20.100000000000001" customHeight="1">
      <c r="B20" s="265" t="s">
        <v>257</v>
      </c>
      <c r="C20" s="722">
        <f>SUM(C14:C19)</f>
        <v>7246098.7600000007</v>
      </c>
      <c r="D20" s="722">
        <f>SUM(D14:D19)</f>
        <v>7246098.7600000007</v>
      </c>
      <c r="E20" s="722">
        <f t="shared" ref="E20:M20" si="1">SUM(E14:E19)</f>
        <v>7246098.7600000007</v>
      </c>
      <c r="F20" s="722">
        <f t="shared" si="1"/>
        <v>7246098.7600000007</v>
      </c>
      <c r="G20" s="722">
        <f t="shared" si="1"/>
        <v>7246098.7600000007</v>
      </c>
      <c r="H20" s="722">
        <f t="shared" si="1"/>
        <v>7246098.7599999998</v>
      </c>
      <c r="I20" s="722">
        <f t="shared" si="1"/>
        <v>7246098.7599999998</v>
      </c>
      <c r="J20" s="722">
        <f t="shared" si="1"/>
        <v>7246098.7599999998</v>
      </c>
      <c r="K20" s="722">
        <f t="shared" si="1"/>
        <v>7246098.7599999998</v>
      </c>
      <c r="L20" s="722">
        <f t="shared" si="1"/>
        <v>7246098.7599999998</v>
      </c>
      <c r="M20" s="722">
        <f t="shared" si="1"/>
        <v>7246098.7599999998</v>
      </c>
    </row>
    <row r="21" spans="2:14" s="199" customFormat="1" ht="20.100000000000001" customHeight="1" thickBot="1">
      <c r="B21" s="266" t="s">
        <v>258</v>
      </c>
      <c r="C21" s="723">
        <f>C20</f>
        <v>7246098.7600000007</v>
      </c>
      <c r="D21" s="723">
        <f>D20-C20</f>
        <v>0</v>
      </c>
      <c r="E21" s="723">
        <f>E20-D20</f>
        <v>0</v>
      </c>
      <c r="F21" s="723">
        <f>F20-E20</f>
        <v>0</v>
      </c>
      <c r="G21" s="723">
        <f>G20-F20</f>
        <v>0</v>
      </c>
      <c r="H21" s="723">
        <f t="shared" ref="H21:M21" si="2">H20-G20</f>
        <v>0</v>
      </c>
      <c r="I21" s="723">
        <f t="shared" si="2"/>
        <v>0</v>
      </c>
      <c r="J21" s="723">
        <f t="shared" si="2"/>
        <v>0</v>
      </c>
      <c r="K21" s="723">
        <f t="shared" si="2"/>
        <v>0</v>
      </c>
      <c r="L21" s="723">
        <f t="shared" si="2"/>
        <v>0</v>
      </c>
      <c r="M21" s="724">
        <f t="shared" si="2"/>
        <v>0</v>
      </c>
    </row>
    <row r="24" spans="2:14">
      <c r="E24" s="238"/>
    </row>
  </sheetData>
  <mergeCells count="3">
    <mergeCell ref="A9:B9"/>
    <mergeCell ref="A1:F1"/>
    <mergeCell ref="B12:M12"/>
  </mergeCells>
  <phoneticPr fontId="0" type="noConversion"/>
  <printOptions horizontalCentered="1" verticalCentered="1"/>
  <pageMargins left="0.39370078740157483" right="1.3779527559055118" top="0.59055118110236227" bottom="0.59055118110236227" header="0" footer="0"/>
  <pageSetup paperSize="9" scale="63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5"/>
  <dimension ref="A1:BP20"/>
  <sheetViews>
    <sheetView rightToLeft="1" view="pageBreakPreview" topLeftCell="V1" zoomScale="73" zoomScaleNormal="100" zoomScaleSheetLayoutView="90" workbookViewId="0">
      <selection activeCell="G9" sqref="G9"/>
    </sheetView>
  </sheetViews>
  <sheetFormatPr defaultColWidth="9.109375" defaultRowHeight="21"/>
  <cols>
    <col min="1" max="1" width="3.33203125" style="727" bestFit="1" customWidth="1"/>
    <col min="2" max="2" width="52.44140625" style="728" customWidth="1"/>
    <col min="3" max="3" width="8.6640625" style="727" customWidth="1"/>
    <col min="4" max="4" width="21.33203125" style="727" bestFit="1" customWidth="1"/>
    <col min="5" max="5" width="9.109375" style="727"/>
    <col min="6" max="6" width="19.44140625" style="727" bestFit="1" customWidth="1"/>
    <col min="7" max="7" width="36.33203125" style="727" bestFit="1" customWidth="1"/>
    <col min="8" max="8" width="3.5546875" style="746" customWidth="1"/>
    <col min="9" max="9" width="39.5546875" style="158" customWidth="1"/>
    <col min="10" max="10" width="15.109375" style="726" bestFit="1" customWidth="1"/>
    <col min="11" max="15" width="12.88671875" style="726" customWidth="1"/>
    <col min="16" max="18" width="15.109375" style="726" bestFit="1" customWidth="1"/>
    <col min="19" max="20" width="12.88671875" style="726" customWidth="1"/>
    <col min="21" max="21" width="3.33203125" style="747" customWidth="1"/>
    <col min="22" max="22" width="38.88671875" style="158" customWidth="1"/>
    <col min="23" max="33" width="12.6640625" style="726" customWidth="1"/>
    <col min="34" max="34" width="3.33203125" style="747" bestFit="1" customWidth="1"/>
    <col min="35" max="35" width="38.88671875" style="158" bestFit="1" customWidth="1"/>
    <col min="36" max="46" width="13.88671875" style="726" customWidth="1"/>
    <col min="47" max="68" width="9.109375" style="726"/>
    <col min="69" max="16384" width="9.109375" style="727"/>
  </cols>
  <sheetData>
    <row r="1" spans="1:68" ht="30.75" customHeight="1" thickBot="1">
      <c r="A1" s="1070" t="s">
        <v>179</v>
      </c>
      <c r="B1" s="1058"/>
      <c r="C1" s="1058"/>
      <c r="D1" s="1058"/>
      <c r="E1" s="1058"/>
      <c r="F1" s="1058"/>
      <c r="G1" s="1059"/>
      <c r="H1" s="725"/>
      <c r="I1" s="1058" t="s">
        <v>291</v>
      </c>
      <c r="J1" s="1058"/>
      <c r="K1" s="1058"/>
      <c r="L1" s="1058"/>
      <c r="M1" s="1058"/>
      <c r="N1" s="1058"/>
      <c r="O1" s="1058"/>
      <c r="P1" s="1058"/>
      <c r="Q1" s="1058"/>
      <c r="R1" s="1058"/>
      <c r="S1" s="1058"/>
      <c r="T1" s="1059"/>
      <c r="U1" s="725"/>
      <c r="V1" s="1058" t="s">
        <v>290</v>
      </c>
      <c r="W1" s="1058"/>
      <c r="X1" s="1058"/>
      <c r="Y1" s="1058"/>
      <c r="Z1" s="1058"/>
      <c r="AA1" s="1058"/>
      <c r="AB1" s="1058"/>
      <c r="AC1" s="1058"/>
      <c r="AD1" s="1058"/>
      <c r="AE1" s="1058"/>
      <c r="AF1" s="1058"/>
      <c r="AG1" s="1059"/>
      <c r="AH1" s="725"/>
      <c r="AI1" s="1058" t="s">
        <v>179</v>
      </c>
      <c r="AJ1" s="1058"/>
      <c r="AK1" s="1058"/>
      <c r="AL1" s="1058"/>
      <c r="AM1" s="1058"/>
      <c r="AN1" s="1058"/>
      <c r="AO1" s="1058"/>
      <c r="AP1" s="1058"/>
      <c r="AQ1" s="1058"/>
      <c r="AR1" s="1058"/>
      <c r="AS1" s="1058"/>
      <c r="AT1" s="1059"/>
    </row>
    <row r="2" spans="1:68" s="728" customFormat="1" ht="30.75" customHeight="1">
      <c r="A2" s="1071" t="s">
        <v>6</v>
      </c>
      <c r="B2" s="1044" t="s">
        <v>7</v>
      </c>
      <c r="C2" s="1044" t="s">
        <v>69</v>
      </c>
      <c r="D2" s="1044"/>
      <c r="E2" s="1044" t="s">
        <v>70</v>
      </c>
      <c r="F2" s="1044"/>
      <c r="G2" s="1074" t="s">
        <v>72</v>
      </c>
      <c r="H2" s="1066" t="str">
        <f>A2</f>
        <v>رديف</v>
      </c>
      <c r="I2" s="1060" t="s">
        <v>288</v>
      </c>
      <c r="J2" s="1060" t="str">
        <f>'برآورد فروش'!B2</f>
        <v>سال بهره برداری</v>
      </c>
      <c r="K2" s="1060" t="str">
        <f>'برآورد فروش'!C2</f>
        <v xml:space="preserve">سال اول </v>
      </c>
      <c r="L2" s="1060" t="str">
        <f>'برآورد فروش'!D2</f>
        <v>سال دوم</v>
      </c>
      <c r="M2" s="1060" t="str">
        <f>'برآورد فروش'!E2</f>
        <v>سال سوم</v>
      </c>
      <c r="N2" s="1060" t="str">
        <f>'برآورد فروش'!F2</f>
        <v>سال چهارم</v>
      </c>
      <c r="O2" s="1060" t="str">
        <f>'برآورد فروش'!G2</f>
        <v>سال پنجم</v>
      </c>
      <c r="P2" s="1060" t="str">
        <f>'برآورد فروش'!H2</f>
        <v>سال ششم</v>
      </c>
      <c r="Q2" s="1060" t="str">
        <f>'برآورد فروش'!I2</f>
        <v>سال هفتم</v>
      </c>
      <c r="R2" s="1060" t="str">
        <f>'برآورد فروش'!J2</f>
        <v>سال هشتم</v>
      </c>
      <c r="S2" s="1060" t="str">
        <f>'برآورد فروش'!K2</f>
        <v>سال نهم</v>
      </c>
      <c r="T2" s="1062" t="str">
        <f>'برآورد فروش'!L2</f>
        <v>سال دهم</v>
      </c>
      <c r="U2" s="1066" t="str">
        <f>H2</f>
        <v>رديف</v>
      </c>
      <c r="V2" s="1060" t="s">
        <v>287</v>
      </c>
      <c r="W2" s="1060" t="str">
        <f>J2</f>
        <v>سال بهره برداری</v>
      </c>
      <c r="X2" s="1060" t="str">
        <f t="shared" ref="X2:AG2" si="0">K2</f>
        <v xml:space="preserve">سال اول </v>
      </c>
      <c r="Y2" s="1060" t="str">
        <f t="shared" si="0"/>
        <v>سال دوم</v>
      </c>
      <c r="Z2" s="1060" t="str">
        <f t="shared" si="0"/>
        <v>سال سوم</v>
      </c>
      <c r="AA2" s="1060" t="str">
        <f t="shared" si="0"/>
        <v>سال چهارم</v>
      </c>
      <c r="AB2" s="1060" t="str">
        <f t="shared" si="0"/>
        <v>سال پنجم</v>
      </c>
      <c r="AC2" s="1060" t="str">
        <f t="shared" si="0"/>
        <v>سال ششم</v>
      </c>
      <c r="AD2" s="1060" t="str">
        <f t="shared" si="0"/>
        <v>سال هفتم</v>
      </c>
      <c r="AE2" s="1060" t="str">
        <f t="shared" si="0"/>
        <v>سال هشتم</v>
      </c>
      <c r="AF2" s="1060" t="str">
        <f t="shared" si="0"/>
        <v>سال نهم</v>
      </c>
      <c r="AG2" s="1062" t="str">
        <f t="shared" si="0"/>
        <v>سال دهم</v>
      </c>
      <c r="AH2" s="1066" t="str">
        <f>A2</f>
        <v>رديف</v>
      </c>
      <c r="AI2" s="1060" t="s">
        <v>289</v>
      </c>
      <c r="AJ2" s="1060" t="str">
        <f>J2</f>
        <v>سال بهره برداری</v>
      </c>
      <c r="AK2" s="1060" t="str">
        <f t="shared" ref="AK2:AT2" si="1">K2</f>
        <v xml:space="preserve">سال اول </v>
      </c>
      <c r="AL2" s="1060" t="str">
        <f t="shared" si="1"/>
        <v>سال دوم</v>
      </c>
      <c r="AM2" s="1060" t="str">
        <f t="shared" si="1"/>
        <v>سال سوم</v>
      </c>
      <c r="AN2" s="1060" t="str">
        <f t="shared" si="1"/>
        <v>سال چهارم</v>
      </c>
      <c r="AO2" s="1060" t="str">
        <f t="shared" si="1"/>
        <v>سال پنجم</v>
      </c>
      <c r="AP2" s="1060" t="str">
        <f t="shared" si="1"/>
        <v>سال ششم</v>
      </c>
      <c r="AQ2" s="1060" t="str">
        <f t="shared" si="1"/>
        <v>سال هفتم</v>
      </c>
      <c r="AR2" s="1060" t="str">
        <f t="shared" si="1"/>
        <v>سال هشتم</v>
      </c>
      <c r="AS2" s="1060" t="str">
        <f t="shared" si="1"/>
        <v>سال نهم</v>
      </c>
      <c r="AT2" s="1062" t="str">
        <f t="shared" si="1"/>
        <v>سال دهم</v>
      </c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F2" s="158"/>
      <c r="BG2" s="158"/>
      <c r="BH2" s="158"/>
      <c r="BI2" s="158"/>
      <c r="BJ2" s="158"/>
      <c r="BK2" s="158"/>
      <c r="BL2" s="158"/>
      <c r="BM2" s="158"/>
      <c r="BN2" s="158"/>
      <c r="BO2" s="158"/>
      <c r="BP2" s="158"/>
    </row>
    <row r="3" spans="1:68" s="728" customFormat="1" ht="30.75" customHeight="1">
      <c r="A3" s="1072"/>
      <c r="B3" s="1073"/>
      <c r="C3" s="44" t="s">
        <v>24</v>
      </c>
      <c r="D3" s="44" t="s">
        <v>71</v>
      </c>
      <c r="E3" s="44" t="s">
        <v>24</v>
      </c>
      <c r="F3" s="44" t="s">
        <v>71</v>
      </c>
      <c r="G3" s="1075"/>
      <c r="H3" s="1067"/>
      <c r="I3" s="1061"/>
      <c r="J3" s="1061"/>
      <c r="K3" s="1061"/>
      <c r="L3" s="1061"/>
      <c r="M3" s="1061"/>
      <c r="N3" s="1061"/>
      <c r="O3" s="1061"/>
      <c r="P3" s="1061"/>
      <c r="Q3" s="1061"/>
      <c r="R3" s="1061"/>
      <c r="S3" s="1061"/>
      <c r="T3" s="1063"/>
      <c r="U3" s="1067"/>
      <c r="V3" s="1061"/>
      <c r="W3" s="1061" t="str">
        <f>J2</f>
        <v>سال بهره برداری</v>
      </c>
      <c r="X3" s="1061" t="str">
        <f t="shared" ref="X3:AG3" si="2">K2</f>
        <v xml:space="preserve">سال اول </v>
      </c>
      <c r="Y3" s="1061" t="str">
        <f t="shared" si="2"/>
        <v>سال دوم</v>
      </c>
      <c r="Z3" s="1061" t="str">
        <f t="shared" si="2"/>
        <v>سال سوم</v>
      </c>
      <c r="AA3" s="1061" t="str">
        <f t="shared" si="2"/>
        <v>سال چهارم</v>
      </c>
      <c r="AB3" s="1061" t="str">
        <f t="shared" si="2"/>
        <v>سال پنجم</v>
      </c>
      <c r="AC3" s="1061" t="str">
        <f t="shared" si="2"/>
        <v>سال ششم</v>
      </c>
      <c r="AD3" s="1061" t="str">
        <f t="shared" si="2"/>
        <v>سال هفتم</v>
      </c>
      <c r="AE3" s="1061" t="str">
        <f t="shared" si="2"/>
        <v>سال هشتم</v>
      </c>
      <c r="AF3" s="1061" t="str">
        <f t="shared" si="2"/>
        <v>سال نهم</v>
      </c>
      <c r="AG3" s="1063" t="str">
        <f t="shared" si="2"/>
        <v>سال دهم</v>
      </c>
      <c r="AH3" s="1067"/>
      <c r="AI3" s="1061"/>
      <c r="AJ3" s="1061" t="str">
        <f>J2</f>
        <v>سال بهره برداری</v>
      </c>
      <c r="AK3" s="1061" t="str">
        <f t="shared" ref="AK3:AT3" si="3">K2</f>
        <v xml:space="preserve">سال اول </v>
      </c>
      <c r="AL3" s="1061" t="str">
        <f t="shared" si="3"/>
        <v>سال دوم</v>
      </c>
      <c r="AM3" s="1061" t="str">
        <f t="shared" si="3"/>
        <v>سال سوم</v>
      </c>
      <c r="AN3" s="1061" t="str">
        <f t="shared" si="3"/>
        <v>سال چهارم</v>
      </c>
      <c r="AO3" s="1061" t="str">
        <f t="shared" si="3"/>
        <v>سال پنجم</v>
      </c>
      <c r="AP3" s="1061" t="str">
        <f t="shared" si="3"/>
        <v>سال ششم</v>
      </c>
      <c r="AQ3" s="1061" t="str">
        <f t="shared" si="3"/>
        <v>سال هفتم</v>
      </c>
      <c r="AR3" s="1061" t="str">
        <f t="shared" si="3"/>
        <v>سال هشتم</v>
      </c>
      <c r="AS3" s="1061" t="str">
        <f t="shared" si="3"/>
        <v>سال نهم</v>
      </c>
      <c r="AT3" s="1063" t="str">
        <f t="shared" si="3"/>
        <v>سال دهم</v>
      </c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</row>
    <row r="4" spans="1:68" ht="30.75" customHeight="1">
      <c r="A4" s="185">
        <v>1</v>
      </c>
      <c r="B4" s="729" t="str">
        <f>'هزينه هاي توليد'!B3</f>
        <v xml:space="preserve">مواد اوليه </v>
      </c>
      <c r="C4" s="730">
        <v>0</v>
      </c>
      <c r="D4" s="652">
        <f>G4*C4</f>
        <v>0</v>
      </c>
      <c r="E4" s="731">
        <f>1-C4</f>
        <v>1</v>
      </c>
      <c r="F4" s="652">
        <f>G4*E4</f>
        <v>0</v>
      </c>
      <c r="G4" s="655">
        <f>'هزينه هاي توليد'!E3</f>
        <v>0</v>
      </c>
      <c r="H4" s="732">
        <f t="shared" ref="H4:I15" si="4">A4</f>
        <v>1</v>
      </c>
      <c r="I4" s="733" t="str">
        <f t="shared" si="4"/>
        <v xml:space="preserve">مواد اوليه </v>
      </c>
      <c r="J4" s="652">
        <f>$G$4*'برآورد فروش'!B3/12*'هزينه هاي ثابت و متغير'!$C$4</f>
        <v>0</v>
      </c>
      <c r="K4" s="652">
        <f>$G$4*'برآورد فروش'!C3/12*'هزينه هاي ثابت و متغير'!$C$4</f>
        <v>0</v>
      </c>
      <c r="L4" s="652">
        <f>$G$4*'برآورد فروش'!D3/12*'هزينه هاي ثابت و متغير'!$C$4</f>
        <v>0</v>
      </c>
      <c r="M4" s="652">
        <f>$G$4*'برآورد فروش'!E3/12*'هزينه هاي ثابت و متغير'!$C$4</f>
        <v>0</v>
      </c>
      <c r="N4" s="652">
        <f>$G$4*'برآورد فروش'!F3/12*'هزينه هاي ثابت و متغير'!$C$4</f>
        <v>0</v>
      </c>
      <c r="O4" s="652">
        <f>$G$4*'برآورد فروش'!G3/12*'هزينه هاي ثابت و متغير'!$C$4</f>
        <v>0</v>
      </c>
      <c r="P4" s="652">
        <f>$G$4*'برآورد فروش'!H3/12*'هزينه هاي ثابت و متغير'!$C$4</f>
        <v>0</v>
      </c>
      <c r="Q4" s="652">
        <f>$G$4*'برآورد فروش'!I3/12*'هزينه هاي ثابت و متغير'!$C$4</f>
        <v>0</v>
      </c>
      <c r="R4" s="652">
        <f>$G$4*'برآورد فروش'!J3/12*'هزينه هاي ثابت و متغير'!$C$4</f>
        <v>0</v>
      </c>
      <c r="S4" s="652">
        <f>$G$4*'برآورد فروش'!K3/12*'هزينه هاي ثابت و متغير'!$C$4</f>
        <v>0</v>
      </c>
      <c r="T4" s="655">
        <f>$G$4*'برآورد فروش'!L3/12*'هزينه هاي ثابت و متغير'!$C$4</f>
        <v>0</v>
      </c>
      <c r="U4" s="732">
        <f t="shared" ref="U4:V16" si="5">H4</f>
        <v>1</v>
      </c>
      <c r="V4" s="733" t="str">
        <f t="shared" si="5"/>
        <v xml:space="preserve">مواد اوليه </v>
      </c>
      <c r="W4" s="652">
        <f>$G$4*'برآورد فروش'!B5*'هزينه هاي ثابت و متغير'!$E$4</f>
        <v>0</v>
      </c>
      <c r="X4" s="652">
        <f>$G$4*'برآورد فروش'!C5*'هزينه هاي ثابت و متغير'!$E$4</f>
        <v>0</v>
      </c>
      <c r="Y4" s="652">
        <f>$G$4*'برآورد فروش'!D5*'هزينه هاي ثابت و متغير'!$E$4</f>
        <v>0</v>
      </c>
      <c r="Z4" s="652">
        <f>$G$4*'برآورد فروش'!E5*'هزينه هاي ثابت و متغير'!$E$4</f>
        <v>0</v>
      </c>
      <c r="AA4" s="652">
        <f>$G$4*'برآورد فروش'!F5*'هزينه هاي ثابت و متغير'!$E$4</f>
        <v>0</v>
      </c>
      <c r="AB4" s="652">
        <f>$G$4*'برآورد فروش'!G5*'هزينه هاي ثابت و متغير'!$E$4</f>
        <v>0</v>
      </c>
      <c r="AC4" s="652">
        <f>$G$4*'برآورد فروش'!H5*'هزينه هاي ثابت و متغير'!$E$4</f>
        <v>0</v>
      </c>
      <c r="AD4" s="652">
        <f>$G$4*'برآورد فروش'!I5*'هزينه هاي ثابت و متغير'!$E$4</f>
        <v>0</v>
      </c>
      <c r="AE4" s="652">
        <f>$G$4*'برآورد فروش'!J5*'هزينه هاي ثابت و متغير'!$E$4</f>
        <v>0</v>
      </c>
      <c r="AF4" s="652">
        <f>$G$4*'برآورد فروش'!K5*'هزينه هاي ثابت و متغير'!$E$4</f>
        <v>0</v>
      </c>
      <c r="AG4" s="655">
        <f>$G$4*'برآورد فروش'!L5*'هزينه هاي ثابت و متغير'!$E$4</f>
        <v>0</v>
      </c>
      <c r="AH4" s="732">
        <f>U4</f>
        <v>1</v>
      </c>
      <c r="AI4" s="733" t="str">
        <f>V4</f>
        <v xml:space="preserve">مواد اوليه </v>
      </c>
      <c r="AJ4" s="652">
        <f t="shared" ref="AJ4:AJ17" si="6">W4+J4</f>
        <v>0</v>
      </c>
      <c r="AK4" s="652">
        <f t="shared" ref="AK4:AK17" si="7">X4+K4</f>
        <v>0</v>
      </c>
      <c r="AL4" s="652">
        <f t="shared" ref="AL4:AL17" si="8">Y4+L4</f>
        <v>0</v>
      </c>
      <c r="AM4" s="652">
        <f t="shared" ref="AM4:AM17" si="9">Z4+M4</f>
        <v>0</v>
      </c>
      <c r="AN4" s="652">
        <f t="shared" ref="AN4:AN17" si="10">AA4+N4</f>
        <v>0</v>
      </c>
      <c r="AO4" s="652">
        <f t="shared" ref="AO4:AO17" si="11">AB4+O4</f>
        <v>0</v>
      </c>
      <c r="AP4" s="652">
        <f t="shared" ref="AP4:AP17" si="12">AC4+P4</f>
        <v>0</v>
      </c>
      <c r="AQ4" s="652">
        <f t="shared" ref="AQ4:AQ17" si="13">AD4+Q4</f>
        <v>0</v>
      </c>
      <c r="AR4" s="652">
        <f t="shared" ref="AR4:AR17" si="14">AE4+R4</f>
        <v>0</v>
      </c>
      <c r="AS4" s="652">
        <f t="shared" ref="AS4:AS17" si="15">AF4+S4</f>
        <v>0</v>
      </c>
      <c r="AT4" s="655">
        <f t="shared" ref="AT4:AT17" si="16">AG4+T4</f>
        <v>0</v>
      </c>
    </row>
    <row r="5" spans="1:68" s="740" customFormat="1" ht="30.75" customHeight="1">
      <c r="A5" s="734">
        <v>2</v>
      </c>
      <c r="B5" s="735" t="str">
        <f>'هزينه هاي توليد'!B4</f>
        <v>حقوق و دستمزد پرسنل مستقيم توليد</v>
      </c>
      <c r="C5" s="730">
        <v>0.7</v>
      </c>
      <c r="D5" s="748">
        <f t="shared" ref="D5:D17" si="17">G5*C5</f>
        <v>3519600</v>
      </c>
      <c r="E5" s="736">
        <f t="shared" ref="E5:E17" si="18">1-C5</f>
        <v>0.30000000000000004</v>
      </c>
      <c r="F5" s="748">
        <f t="shared" ref="F5:F17" si="19">G5*E5</f>
        <v>1508400.0000000002</v>
      </c>
      <c r="G5" s="749">
        <f>'هزينه هاي توليد'!E4</f>
        <v>5028000</v>
      </c>
      <c r="H5" s="737">
        <f t="shared" si="4"/>
        <v>2</v>
      </c>
      <c r="I5" s="738" t="str">
        <f t="shared" si="4"/>
        <v>حقوق و دستمزد پرسنل مستقيم توليد</v>
      </c>
      <c r="J5" s="748">
        <f>$G$5*'برآورد فروش'!B3/12*'هزينه هاي ثابت و متغير'!$C$5</f>
        <v>3519600</v>
      </c>
      <c r="K5" s="748">
        <f>$G$5*'برآورد فروش'!C3/12*'هزينه هاي ثابت و متغير'!$C$5</f>
        <v>3519600</v>
      </c>
      <c r="L5" s="748">
        <f>$G$5*'برآورد فروش'!D3/12*'هزينه هاي ثابت و متغير'!$C$5</f>
        <v>3519600</v>
      </c>
      <c r="M5" s="748">
        <f>$G$5*'برآورد فروش'!E3/12*'هزينه هاي ثابت و متغير'!$C$5</f>
        <v>3519600</v>
      </c>
      <c r="N5" s="748">
        <f>$G$5*'برآورد فروش'!F3/12*'هزينه هاي ثابت و متغير'!$C$5</f>
        <v>3519600</v>
      </c>
      <c r="O5" s="748">
        <f>$G$5*'برآورد فروش'!G3/12*'هزينه هاي ثابت و متغير'!$C$5</f>
        <v>3519600</v>
      </c>
      <c r="P5" s="748">
        <f>$G$5*'برآورد فروش'!H3/12*'هزينه هاي ثابت و متغير'!$C$5</f>
        <v>3519600</v>
      </c>
      <c r="Q5" s="748">
        <f>$G$5*'برآورد فروش'!I3/12*'هزينه هاي ثابت و متغير'!$C$5</f>
        <v>3519600</v>
      </c>
      <c r="R5" s="748">
        <f>$G$5*'برآورد فروش'!J3/12*'هزينه هاي ثابت و متغير'!$C$5</f>
        <v>3519600</v>
      </c>
      <c r="S5" s="748">
        <f>$G$5*'برآورد فروش'!K3/12*'هزينه هاي ثابت و متغير'!$C$5</f>
        <v>3519600</v>
      </c>
      <c r="T5" s="749">
        <f>$G$5*'برآورد فروش'!L3/12*'هزينه هاي ثابت و متغير'!$C$5</f>
        <v>3519600</v>
      </c>
      <c r="U5" s="737">
        <f t="shared" si="5"/>
        <v>2</v>
      </c>
      <c r="V5" s="738" t="str">
        <f t="shared" si="5"/>
        <v>حقوق و دستمزد پرسنل مستقيم توليد</v>
      </c>
      <c r="W5" s="748">
        <f>$G$5*'برآورد فروش'!B5*'هزينه هاي ثابت و متغير'!$E$5</f>
        <v>1508400.0000000002</v>
      </c>
      <c r="X5" s="748">
        <f>$G$5*'برآورد فروش'!C5*'هزينه هاي ثابت و متغير'!$E$5</f>
        <v>1508400.0000000002</v>
      </c>
      <c r="Y5" s="748">
        <f>$G$5*'برآورد فروش'!D5*'هزينه هاي ثابت و متغير'!$E$5</f>
        <v>1508400.0000000002</v>
      </c>
      <c r="Z5" s="748">
        <f>$G$5*'برآورد فروش'!E5*'هزينه هاي ثابت و متغير'!$E$5</f>
        <v>1508400.0000000002</v>
      </c>
      <c r="AA5" s="748">
        <f>$G$5*'برآورد فروش'!F5*'هزينه هاي ثابت و متغير'!$E$5</f>
        <v>1508400.0000000002</v>
      </c>
      <c r="AB5" s="748">
        <f>$G$5*'برآورد فروش'!G5*'هزينه هاي ثابت و متغير'!$E$5</f>
        <v>1508400.0000000002</v>
      </c>
      <c r="AC5" s="748">
        <f>$G$5*'برآورد فروش'!H5*'هزينه هاي ثابت و متغير'!$E$5</f>
        <v>1508400.0000000002</v>
      </c>
      <c r="AD5" s="748">
        <f>$G$5*'برآورد فروش'!I5*'هزينه هاي ثابت و متغير'!$E$5</f>
        <v>1508400.0000000002</v>
      </c>
      <c r="AE5" s="748">
        <f>$G$5*'برآورد فروش'!J5*'هزينه هاي ثابت و متغير'!$E$5</f>
        <v>1508400.0000000002</v>
      </c>
      <c r="AF5" s="748">
        <f>$G$5*'برآورد فروش'!K5*'هزينه هاي ثابت و متغير'!$E$5</f>
        <v>1508400.0000000002</v>
      </c>
      <c r="AG5" s="749">
        <f>$G$5*'برآورد فروش'!L5*'هزينه هاي ثابت و متغير'!$E$5</f>
        <v>1508400.0000000002</v>
      </c>
      <c r="AH5" s="737">
        <f t="shared" ref="AH5:AI17" si="20">U5</f>
        <v>2</v>
      </c>
      <c r="AI5" s="738" t="str">
        <f t="shared" si="20"/>
        <v>حقوق و دستمزد پرسنل مستقيم توليد</v>
      </c>
      <c r="AJ5" s="748">
        <f t="shared" si="6"/>
        <v>5028000</v>
      </c>
      <c r="AK5" s="748">
        <f t="shared" si="7"/>
        <v>5028000</v>
      </c>
      <c r="AL5" s="748">
        <f t="shared" si="8"/>
        <v>5028000</v>
      </c>
      <c r="AM5" s="748">
        <f t="shared" si="9"/>
        <v>5028000</v>
      </c>
      <c r="AN5" s="748">
        <f t="shared" si="10"/>
        <v>5028000</v>
      </c>
      <c r="AO5" s="748">
        <f t="shared" si="11"/>
        <v>5028000</v>
      </c>
      <c r="AP5" s="748">
        <f t="shared" si="12"/>
        <v>5028000</v>
      </c>
      <c r="AQ5" s="748">
        <f t="shared" si="13"/>
        <v>5028000</v>
      </c>
      <c r="AR5" s="748">
        <f t="shared" si="14"/>
        <v>5028000</v>
      </c>
      <c r="AS5" s="748">
        <f t="shared" si="15"/>
        <v>5028000</v>
      </c>
      <c r="AT5" s="749">
        <f t="shared" si="16"/>
        <v>5028000</v>
      </c>
      <c r="AU5" s="739"/>
      <c r="AV5" s="739"/>
      <c r="AW5" s="739"/>
      <c r="AX5" s="739"/>
      <c r="AY5" s="739"/>
      <c r="AZ5" s="739"/>
      <c r="BA5" s="739"/>
      <c r="BB5" s="739"/>
      <c r="BC5" s="739"/>
      <c r="BD5" s="739"/>
      <c r="BE5" s="739"/>
      <c r="BF5" s="739"/>
      <c r="BG5" s="739"/>
      <c r="BH5" s="739"/>
      <c r="BI5" s="739"/>
      <c r="BJ5" s="739"/>
      <c r="BK5" s="739"/>
      <c r="BL5" s="739"/>
      <c r="BM5" s="739"/>
      <c r="BN5" s="739"/>
      <c r="BO5" s="739"/>
      <c r="BP5" s="739"/>
    </row>
    <row r="6" spans="1:68" ht="30.75" customHeight="1">
      <c r="A6" s="185">
        <v>3</v>
      </c>
      <c r="B6" s="729" t="str">
        <f>'هزينه هاي توليد'!B5</f>
        <v>حقوق و دستمزد پرسنل غير مستقيم توليد</v>
      </c>
      <c r="C6" s="730">
        <v>0.7</v>
      </c>
      <c r="D6" s="652">
        <f t="shared" si="17"/>
        <v>10558800</v>
      </c>
      <c r="E6" s="731">
        <f t="shared" si="18"/>
        <v>0.30000000000000004</v>
      </c>
      <c r="F6" s="652">
        <f t="shared" si="19"/>
        <v>4525200.0000000009</v>
      </c>
      <c r="G6" s="655">
        <f>'هزينه هاي توليد'!E5</f>
        <v>15084000</v>
      </c>
      <c r="H6" s="732">
        <f t="shared" si="4"/>
        <v>3</v>
      </c>
      <c r="I6" s="733" t="str">
        <f t="shared" si="4"/>
        <v>حقوق و دستمزد پرسنل غير مستقيم توليد</v>
      </c>
      <c r="J6" s="652">
        <f>$G$6*'برآورد فروش'!B3/12*'هزينه هاي ثابت و متغير'!$C$6</f>
        <v>10558800</v>
      </c>
      <c r="K6" s="652">
        <f>$G$6*'برآورد فروش'!C3/12*'هزينه هاي ثابت و متغير'!$C$6</f>
        <v>10558800</v>
      </c>
      <c r="L6" s="652">
        <f>$G$6*'برآورد فروش'!D3/12*'هزينه هاي ثابت و متغير'!$C$6</f>
        <v>10558800</v>
      </c>
      <c r="M6" s="652">
        <f>$G$6*'برآورد فروش'!E3/12*'هزينه هاي ثابت و متغير'!$C$6</f>
        <v>10558800</v>
      </c>
      <c r="N6" s="652">
        <f>$G$6*'برآورد فروش'!F3/12*'هزينه هاي ثابت و متغير'!$C$6</f>
        <v>10558800</v>
      </c>
      <c r="O6" s="652">
        <f>$G$6*'برآورد فروش'!G3/12*'هزينه هاي ثابت و متغير'!$C$6</f>
        <v>10558800</v>
      </c>
      <c r="P6" s="652">
        <f>$G$6*'برآورد فروش'!H3/12*'هزينه هاي ثابت و متغير'!$C$6</f>
        <v>10558800</v>
      </c>
      <c r="Q6" s="652">
        <f>$G$6*'برآورد فروش'!I3/12*'هزينه هاي ثابت و متغير'!$C$6</f>
        <v>10558800</v>
      </c>
      <c r="R6" s="652">
        <f>$G$6*'برآورد فروش'!J3/12*'هزينه هاي ثابت و متغير'!$C$6</f>
        <v>10558800</v>
      </c>
      <c r="S6" s="652">
        <f>$G$6*'برآورد فروش'!K3/12*'هزينه هاي ثابت و متغير'!$C$6</f>
        <v>10558800</v>
      </c>
      <c r="T6" s="655">
        <f>$G$6*'برآورد فروش'!L3/12*'هزينه هاي ثابت و متغير'!$C$6</f>
        <v>10558800</v>
      </c>
      <c r="U6" s="732">
        <f t="shared" si="5"/>
        <v>3</v>
      </c>
      <c r="V6" s="733" t="str">
        <f t="shared" si="5"/>
        <v>حقوق و دستمزد پرسنل غير مستقيم توليد</v>
      </c>
      <c r="W6" s="652">
        <f>$G$6*'برآورد فروش'!B5*'هزينه هاي ثابت و متغير'!$E$6</f>
        <v>4525200.0000000009</v>
      </c>
      <c r="X6" s="652">
        <f>$G$6*'برآورد فروش'!C5*'هزينه هاي ثابت و متغير'!$E$6</f>
        <v>4525200.0000000009</v>
      </c>
      <c r="Y6" s="652">
        <f>$G$6*'برآورد فروش'!D5*'هزينه هاي ثابت و متغير'!$E$6</f>
        <v>4525200.0000000009</v>
      </c>
      <c r="Z6" s="652">
        <f>$G$6*'برآورد فروش'!E5*'هزينه هاي ثابت و متغير'!$E$6</f>
        <v>4525200.0000000009</v>
      </c>
      <c r="AA6" s="652">
        <f>$G$6*'برآورد فروش'!F5*'هزينه هاي ثابت و متغير'!$E$6</f>
        <v>4525200.0000000009</v>
      </c>
      <c r="AB6" s="652">
        <f>$G$6*'برآورد فروش'!G5*'هزينه هاي ثابت و متغير'!$E$6</f>
        <v>4525200.0000000009</v>
      </c>
      <c r="AC6" s="652">
        <f>$G$6*'برآورد فروش'!H5*'هزينه هاي ثابت و متغير'!$E$6</f>
        <v>4525200.0000000009</v>
      </c>
      <c r="AD6" s="652">
        <f>$G$6*'برآورد فروش'!I5*'هزينه هاي ثابت و متغير'!$E$6</f>
        <v>4525200.0000000009</v>
      </c>
      <c r="AE6" s="652">
        <f>$G$6*'برآورد فروش'!J5*'هزينه هاي ثابت و متغير'!$E$6</f>
        <v>4525200.0000000009</v>
      </c>
      <c r="AF6" s="652">
        <f>$G$6*'برآورد فروش'!K5*'هزينه هاي ثابت و متغير'!$E$6</f>
        <v>4525200.0000000009</v>
      </c>
      <c r="AG6" s="655">
        <f>$G$6*'برآورد فروش'!L5*'هزينه هاي ثابت و متغير'!$E$6</f>
        <v>4525200.0000000009</v>
      </c>
      <c r="AH6" s="732">
        <f t="shared" si="20"/>
        <v>3</v>
      </c>
      <c r="AI6" s="733" t="str">
        <f t="shared" si="20"/>
        <v>حقوق و دستمزد پرسنل غير مستقيم توليد</v>
      </c>
      <c r="AJ6" s="652">
        <f t="shared" si="6"/>
        <v>15084000</v>
      </c>
      <c r="AK6" s="652">
        <f t="shared" si="7"/>
        <v>15084000</v>
      </c>
      <c r="AL6" s="652">
        <f t="shared" si="8"/>
        <v>15084000</v>
      </c>
      <c r="AM6" s="652">
        <f t="shared" si="9"/>
        <v>15084000</v>
      </c>
      <c r="AN6" s="652">
        <f t="shared" si="10"/>
        <v>15084000</v>
      </c>
      <c r="AO6" s="652">
        <f t="shared" si="11"/>
        <v>15084000</v>
      </c>
      <c r="AP6" s="652">
        <f t="shared" si="12"/>
        <v>15084000</v>
      </c>
      <c r="AQ6" s="652">
        <f t="shared" si="13"/>
        <v>15084000</v>
      </c>
      <c r="AR6" s="652">
        <f t="shared" si="14"/>
        <v>15084000</v>
      </c>
      <c r="AS6" s="652">
        <f t="shared" si="15"/>
        <v>15084000</v>
      </c>
      <c r="AT6" s="655">
        <f t="shared" si="16"/>
        <v>15084000</v>
      </c>
    </row>
    <row r="7" spans="1:68" s="740" customFormat="1" ht="30.75" customHeight="1">
      <c r="A7" s="734">
        <v>4</v>
      </c>
      <c r="B7" s="735" t="str">
        <f>'هزينه هاي توليد'!B6</f>
        <v>تاسيسات مصرفي</v>
      </c>
      <c r="C7" s="730">
        <v>0.2</v>
      </c>
      <c r="D7" s="748">
        <f t="shared" si="17"/>
        <v>0</v>
      </c>
      <c r="E7" s="736">
        <f t="shared" si="18"/>
        <v>0.8</v>
      </c>
      <c r="F7" s="748">
        <f t="shared" si="19"/>
        <v>0</v>
      </c>
      <c r="G7" s="749">
        <f>'هزينه هاي توليد'!E6</f>
        <v>0</v>
      </c>
      <c r="H7" s="737">
        <f t="shared" si="4"/>
        <v>4</v>
      </c>
      <c r="I7" s="738" t="str">
        <f t="shared" si="4"/>
        <v>تاسيسات مصرفي</v>
      </c>
      <c r="J7" s="748">
        <f>$G$7*'برآورد فروش'!B3/12*'هزينه هاي ثابت و متغير'!$C$7</f>
        <v>0</v>
      </c>
      <c r="K7" s="748">
        <f>$G$7*'برآورد فروش'!C3/12*'هزينه هاي ثابت و متغير'!$C$7</f>
        <v>0</v>
      </c>
      <c r="L7" s="748">
        <f>$G$7*'برآورد فروش'!D3/12*'هزينه هاي ثابت و متغير'!$C$7</f>
        <v>0</v>
      </c>
      <c r="M7" s="748">
        <f>$G$7*'برآورد فروش'!E3/12*'هزينه هاي ثابت و متغير'!$C$7</f>
        <v>0</v>
      </c>
      <c r="N7" s="748">
        <f>$G$7*'برآورد فروش'!F3/12*'هزينه هاي ثابت و متغير'!$C$7</f>
        <v>0</v>
      </c>
      <c r="O7" s="748">
        <f>$G$7*'برآورد فروش'!G3/12*'هزينه هاي ثابت و متغير'!$C$7</f>
        <v>0</v>
      </c>
      <c r="P7" s="748">
        <f>$G$7*'برآورد فروش'!H3/12*'هزينه هاي ثابت و متغير'!$C$7</f>
        <v>0</v>
      </c>
      <c r="Q7" s="748">
        <f>$G$7*'برآورد فروش'!I3/12*'هزينه هاي ثابت و متغير'!$C$7</f>
        <v>0</v>
      </c>
      <c r="R7" s="748">
        <f>$G$7*'برآورد فروش'!J3/12*'هزينه هاي ثابت و متغير'!$C$7</f>
        <v>0</v>
      </c>
      <c r="S7" s="748">
        <f>$G$7*'برآورد فروش'!K3/12*'هزينه هاي ثابت و متغير'!$C$7</f>
        <v>0</v>
      </c>
      <c r="T7" s="749">
        <f>$G$7*'برآورد فروش'!L3/12*'هزينه هاي ثابت و متغير'!$C$7</f>
        <v>0</v>
      </c>
      <c r="U7" s="737">
        <f t="shared" si="5"/>
        <v>4</v>
      </c>
      <c r="V7" s="738" t="str">
        <f t="shared" si="5"/>
        <v>تاسيسات مصرفي</v>
      </c>
      <c r="W7" s="748">
        <f>$G$7*'برآورد فروش'!B5*'هزينه هاي ثابت و متغير'!$E$7</f>
        <v>0</v>
      </c>
      <c r="X7" s="748">
        <f>$G$7*'برآورد فروش'!C5*'هزينه هاي ثابت و متغير'!$E$7</f>
        <v>0</v>
      </c>
      <c r="Y7" s="748">
        <f>$G$7*'برآورد فروش'!D5*'هزينه هاي ثابت و متغير'!$E$7</f>
        <v>0</v>
      </c>
      <c r="Z7" s="748">
        <f>$G$7*'برآورد فروش'!E5*'هزينه هاي ثابت و متغير'!$E$7</f>
        <v>0</v>
      </c>
      <c r="AA7" s="748">
        <f>$G$7*'برآورد فروش'!F5*'هزينه هاي ثابت و متغير'!$E$7</f>
        <v>0</v>
      </c>
      <c r="AB7" s="748">
        <f>$G$7*'برآورد فروش'!G5*'هزينه هاي ثابت و متغير'!$E$7</f>
        <v>0</v>
      </c>
      <c r="AC7" s="748">
        <f>$G$7*'برآورد فروش'!H5*'هزينه هاي ثابت و متغير'!$E$7</f>
        <v>0</v>
      </c>
      <c r="AD7" s="748">
        <f>$G$7*'برآورد فروش'!I5*'هزينه هاي ثابت و متغير'!$E$7</f>
        <v>0</v>
      </c>
      <c r="AE7" s="748">
        <f>$G$7*'برآورد فروش'!J5*'هزينه هاي ثابت و متغير'!$E$7</f>
        <v>0</v>
      </c>
      <c r="AF7" s="748">
        <f>$G$7*'برآورد فروش'!K5*'هزينه هاي ثابت و متغير'!$E$7</f>
        <v>0</v>
      </c>
      <c r="AG7" s="749">
        <f>$G$7*'برآورد فروش'!L5*'هزينه هاي ثابت و متغير'!$E$7</f>
        <v>0</v>
      </c>
      <c r="AH7" s="737">
        <f t="shared" si="20"/>
        <v>4</v>
      </c>
      <c r="AI7" s="738" t="str">
        <f t="shared" si="20"/>
        <v>تاسيسات مصرفي</v>
      </c>
      <c r="AJ7" s="748">
        <f t="shared" si="6"/>
        <v>0</v>
      </c>
      <c r="AK7" s="748">
        <f t="shared" si="7"/>
        <v>0</v>
      </c>
      <c r="AL7" s="748">
        <f t="shared" si="8"/>
        <v>0</v>
      </c>
      <c r="AM7" s="748">
        <f t="shared" si="9"/>
        <v>0</v>
      </c>
      <c r="AN7" s="748">
        <f t="shared" si="10"/>
        <v>0</v>
      </c>
      <c r="AO7" s="748">
        <f t="shared" si="11"/>
        <v>0</v>
      </c>
      <c r="AP7" s="748">
        <f t="shared" si="12"/>
        <v>0</v>
      </c>
      <c r="AQ7" s="748">
        <f t="shared" si="13"/>
        <v>0</v>
      </c>
      <c r="AR7" s="748">
        <f t="shared" si="14"/>
        <v>0</v>
      </c>
      <c r="AS7" s="748">
        <f t="shared" si="15"/>
        <v>0</v>
      </c>
      <c r="AT7" s="749">
        <f t="shared" si="16"/>
        <v>0</v>
      </c>
      <c r="AU7" s="739"/>
      <c r="AV7" s="739"/>
      <c r="AW7" s="739"/>
      <c r="AX7" s="739"/>
      <c r="AY7" s="739"/>
      <c r="AZ7" s="739"/>
      <c r="BA7" s="739"/>
      <c r="BB7" s="739"/>
      <c r="BC7" s="739"/>
      <c r="BD7" s="739"/>
      <c r="BE7" s="739"/>
      <c r="BF7" s="739"/>
      <c r="BG7" s="739"/>
      <c r="BH7" s="739"/>
      <c r="BI7" s="739"/>
      <c r="BJ7" s="739"/>
      <c r="BK7" s="739"/>
      <c r="BL7" s="739"/>
      <c r="BM7" s="739"/>
      <c r="BN7" s="739"/>
      <c r="BO7" s="739"/>
      <c r="BP7" s="739"/>
    </row>
    <row r="8" spans="1:68" ht="30.75" customHeight="1">
      <c r="A8" s="185">
        <v>5</v>
      </c>
      <c r="B8" s="729" t="str">
        <f>'هزينه هاي توليد'!B7</f>
        <v>نگهداري و تعميرات</v>
      </c>
      <c r="C8" s="730">
        <v>0.2</v>
      </c>
      <c r="D8" s="652">
        <f t="shared" si="17"/>
        <v>780900</v>
      </c>
      <c r="E8" s="731">
        <f t="shared" si="18"/>
        <v>0.8</v>
      </c>
      <c r="F8" s="652">
        <f t="shared" si="19"/>
        <v>3123600</v>
      </c>
      <c r="G8" s="655">
        <f>'هزينه هاي توليد'!E7</f>
        <v>3904500</v>
      </c>
      <c r="H8" s="732">
        <f t="shared" si="4"/>
        <v>5</v>
      </c>
      <c r="I8" s="733" t="str">
        <f t="shared" si="4"/>
        <v>نگهداري و تعميرات</v>
      </c>
      <c r="J8" s="652">
        <f>$G$8*'برآورد فروش'!B3/12*'هزينه هاي ثابت و متغير'!$C$8</f>
        <v>780900</v>
      </c>
      <c r="K8" s="652">
        <f>$G$8*'برآورد فروش'!C3/12*'هزينه هاي ثابت و متغير'!$C$8</f>
        <v>780900</v>
      </c>
      <c r="L8" s="652">
        <f>$G$8*'برآورد فروش'!D3/12*'هزينه هاي ثابت و متغير'!$C$8</f>
        <v>780900</v>
      </c>
      <c r="M8" s="652">
        <f>$G$8*'برآورد فروش'!E3/12*'هزينه هاي ثابت و متغير'!$C$8</f>
        <v>780900</v>
      </c>
      <c r="N8" s="652">
        <f>$G$8*'برآورد فروش'!F3/12*'هزينه هاي ثابت و متغير'!$C$8</f>
        <v>780900</v>
      </c>
      <c r="O8" s="652">
        <f>$G$8*'برآورد فروش'!G3/12*'هزينه هاي ثابت و متغير'!$C$8</f>
        <v>780900</v>
      </c>
      <c r="P8" s="652">
        <f>$G$8*'برآورد فروش'!H3/12*'هزينه هاي ثابت و متغير'!$C$8</f>
        <v>780900</v>
      </c>
      <c r="Q8" s="652">
        <f>$G$8*'برآورد فروش'!I3/12*'هزينه هاي ثابت و متغير'!$C$8</f>
        <v>780900</v>
      </c>
      <c r="R8" s="652">
        <f>$G$8*'برآورد فروش'!J3/12*'هزينه هاي ثابت و متغير'!$C$8</f>
        <v>780900</v>
      </c>
      <c r="S8" s="652">
        <f>$G$8*'برآورد فروش'!K3/12*'هزينه هاي ثابت و متغير'!$C$8</f>
        <v>780900</v>
      </c>
      <c r="T8" s="655">
        <f>$G$8*'برآورد فروش'!L3/12*'هزينه هاي ثابت و متغير'!$C$8</f>
        <v>780900</v>
      </c>
      <c r="U8" s="732">
        <f t="shared" si="5"/>
        <v>5</v>
      </c>
      <c r="V8" s="733" t="str">
        <f t="shared" si="5"/>
        <v>نگهداري و تعميرات</v>
      </c>
      <c r="W8" s="652">
        <f>$G$8*'برآورد فروش'!B5*'هزينه هاي ثابت و متغير'!$E$8</f>
        <v>3123600</v>
      </c>
      <c r="X8" s="652">
        <f>$G$8*'برآورد فروش'!C5*'هزينه هاي ثابت و متغير'!$E$8</f>
        <v>3123600</v>
      </c>
      <c r="Y8" s="652">
        <f>$G$8*'برآورد فروش'!D5*'هزينه هاي ثابت و متغير'!$E$8</f>
        <v>3123600</v>
      </c>
      <c r="Z8" s="652">
        <f>$G$8*'برآورد فروش'!E5*'هزينه هاي ثابت و متغير'!$E$8</f>
        <v>3123600</v>
      </c>
      <c r="AA8" s="652">
        <f>$G$8*'برآورد فروش'!F5*'هزينه هاي ثابت و متغير'!$E$8</f>
        <v>3123600</v>
      </c>
      <c r="AB8" s="652">
        <f>$G$8*'برآورد فروش'!G5*'هزينه هاي ثابت و متغير'!$E$8</f>
        <v>3123600</v>
      </c>
      <c r="AC8" s="652">
        <f>$G$8*'برآورد فروش'!H5*'هزينه هاي ثابت و متغير'!$E$8</f>
        <v>3123600</v>
      </c>
      <c r="AD8" s="652">
        <f>$G$8*'برآورد فروش'!I5*'هزينه هاي ثابت و متغير'!$E$8</f>
        <v>3123600</v>
      </c>
      <c r="AE8" s="652">
        <f>$G$8*'برآورد فروش'!J5*'هزينه هاي ثابت و متغير'!$E$8</f>
        <v>3123600</v>
      </c>
      <c r="AF8" s="652">
        <f>$G$8*'برآورد فروش'!K5*'هزينه هاي ثابت و متغير'!$E$8</f>
        <v>3123600</v>
      </c>
      <c r="AG8" s="655">
        <f>$G$8*'برآورد فروش'!L5*'هزينه هاي ثابت و متغير'!$E$8</f>
        <v>3123600</v>
      </c>
      <c r="AH8" s="732">
        <f t="shared" si="20"/>
        <v>5</v>
      </c>
      <c r="AI8" s="733" t="str">
        <f t="shared" si="20"/>
        <v>نگهداري و تعميرات</v>
      </c>
      <c r="AJ8" s="652">
        <f t="shared" si="6"/>
        <v>3904500</v>
      </c>
      <c r="AK8" s="652">
        <f t="shared" si="7"/>
        <v>3904500</v>
      </c>
      <c r="AL8" s="652">
        <f t="shared" si="8"/>
        <v>3904500</v>
      </c>
      <c r="AM8" s="652">
        <f t="shared" si="9"/>
        <v>3904500</v>
      </c>
      <c r="AN8" s="652">
        <f t="shared" si="10"/>
        <v>3904500</v>
      </c>
      <c r="AO8" s="652">
        <f t="shared" si="11"/>
        <v>3904500</v>
      </c>
      <c r="AP8" s="652">
        <f t="shared" si="12"/>
        <v>3904500</v>
      </c>
      <c r="AQ8" s="652">
        <f t="shared" si="13"/>
        <v>3904500</v>
      </c>
      <c r="AR8" s="652">
        <f t="shared" si="14"/>
        <v>3904500</v>
      </c>
      <c r="AS8" s="652">
        <f t="shared" si="15"/>
        <v>3904500</v>
      </c>
      <c r="AT8" s="655">
        <f t="shared" si="16"/>
        <v>3904500</v>
      </c>
    </row>
    <row r="9" spans="1:68" s="740" customFormat="1" ht="30.75" customHeight="1">
      <c r="A9" s="734">
        <v>6</v>
      </c>
      <c r="B9" s="735" t="str">
        <f>'هزينه هاي توليد'!B8</f>
        <v>استهلاك</v>
      </c>
      <c r="C9" s="730">
        <v>1</v>
      </c>
      <c r="D9" s="748">
        <f t="shared" si="17"/>
        <v>8105850</v>
      </c>
      <c r="E9" s="736">
        <f t="shared" si="18"/>
        <v>0</v>
      </c>
      <c r="F9" s="748">
        <f t="shared" si="19"/>
        <v>0</v>
      </c>
      <c r="G9" s="749">
        <f>'هزينه هاي توليد'!E8</f>
        <v>8105850</v>
      </c>
      <c r="H9" s="737">
        <f t="shared" si="4"/>
        <v>6</v>
      </c>
      <c r="I9" s="738" t="str">
        <f t="shared" si="4"/>
        <v>استهلاك</v>
      </c>
      <c r="J9" s="748">
        <f>استهلاك!C30*$C$9</f>
        <v>237606103.62035227</v>
      </c>
      <c r="K9" s="748">
        <f>استهلاك!D30*$C$9</f>
        <v>237606103.62035227</v>
      </c>
      <c r="L9" s="748">
        <f>استهلاك!E30*$C$9</f>
        <v>237606103.62035227</v>
      </c>
      <c r="M9" s="748">
        <f>استهلاك!F30*$C$9</f>
        <v>237606103.62035227</v>
      </c>
      <c r="N9" s="748">
        <f>استهلاك!G30*$C$9</f>
        <v>237606103.62035227</v>
      </c>
      <c r="O9" s="748">
        <f>استهلاك!H30*$C$9</f>
        <v>6215850.0000000009</v>
      </c>
      <c r="P9" s="748">
        <f>استهلاك!I30*$C$9</f>
        <v>6215850.0000000009</v>
      </c>
      <c r="Q9" s="748">
        <f>استهلاك!J30*$C$9</f>
        <v>6215850.0000000009</v>
      </c>
      <c r="R9" s="748">
        <f>استهلاك!K30*$C$9</f>
        <v>6215850.0000000009</v>
      </c>
      <c r="S9" s="748">
        <f>استهلاك!L30*$C$9</f>
        <v>6215850.0000000009</v>
      </c>
      <c r="T9" s="749">
        <f>استهلاك!M30*$C$9</f>
        <v>5166000.0000000009</v>
      </c>
      <c r="U9" s="737">
        <f t="shared" si="5"/>
        <v>6</v>
      </c>
      <c r="V9" s="738" t="str">
        <f t="shared" si="5"/>
        <v>استهلاك</v>
      </c>
      <c r="W9" s="748">
        <f>$G$9*'برآورد فروش'!B5*'هزينه هاي ثابت و متغير'!$E$9</f>
        <v>0</v>
      </c>
      <c r="X9" s="748">
        <f>$G$9*'برآورد فروش'!C5*'هزينه هاي ثابت و متغير'!$E$9</f>
        <v>0</v>
      </c>
      <c r="Y9" s="748">
        <f>$G$9*'برآورد فروش'!D5*'هزينه هاي ثابت و متغير'!$E$9</f>
        <v>0</v>
      </c>
      <c r="Z9" s="748">
        <f>$G$9*'برآورد فروش'!E5*'هزينه هاي ثابت و متغير'!$E$9</f>
        <v>0</v>
      </c>
      <c r="AA9" s="748">
        <f>$G$9*'برآورد فروش'!F5*'هزينه هاي ثابت و متغير'!$E$9</f>
        <v>0</v>
      </c>
      <c r="AB9" s="748">
        <f>$G$9*'برآورد فروش'!G5*'هزينه هاي ثابت و متغير'!$E$9</f>
        <v>0</v>
      </c>
      <c r="AC9" s="748">
        <f>$G$9*'برآورد فروش'!H5*'هزينه هاي ثابت و متغير'!$E$9</f>
        <v>0</v>
      </c>
      <c r="AD9" s="748">
        <f>$G$9*'برآورد فروش'!I5*'هزينه هاي ثابت و متغير'!$E$9</f>
        <v>0</v>
      </c>
      <c r="AE9" s="748">
        <f>$G$9*'برآورد فروش'!J5*'هزينه هاي ثابت و متغير'!$E$9</f>
        <v>0</v>
      </c>
      <c r="AF9" s="748">
        <f>$G$9*'برآورد فروش'!K5*'هزينه هاي ثابت و متغير'!$E$9</f>
        <v>0</v>
      </c>
      <c r="AG9" s="749">
        <f>$G$9*'برآورد فروش'!L5*'هزينه هاي ثابت و متغير'!$E$9</f>
        <v>0</v>
      </c>
      <c r="AH9" s="737">
        <f t="shared" si="20"/>
        <v>6</v>
      </c>
      <c r="AI9" s="738" t="str">
        <f t="shared" si="20"/>
        <v>استهلاك</v>
      </c>
      <c r="AJ9" s="748">
        <f t="shared" si="6"/>
        <v>237606103.62035227</v>
      </c>
      <c r="AK9" s="748">
        <f t="shared" si="7"/>
        <v>237606103.62035227</v>
      </c>
      <c r="AL9" s="748">
        <f t="shared" si="8"/>
        <v>237606103.62035227</v>
      </c>
      <c r="AM9" s="748">
        <f t="shared" si="9"/>
        <v>237606103.62035227</v>
      </c>
      <c r="AN9" s="748">
        <f t="shared" si="10"/>
        <v>237606103.62035227</v>
      </c>
      <c r="AO9" s="748">
        <f t="shared" si="11"/>
        <v>6215850.0000000009</v>
      </c>
      <c r="AP9" s="748">
        <f t="shared" si="12"/>
        <v>6215850.0000000009</v>
      </c>
      <c r="AQ9" s="748">
        <f t="shared" si="13"/>
        <v>6215850.0000000009</v>
      </c>
      <c r="AR9" s="748">
        <f t="shared" si="14"/>
        <v>6215850.0000000009</v>
      </c>
      <c r="AS9" s="748">
        <f t="shared" si="15"/>
        <v>6215850.0000000009</v>
      </c>
      <c r="AT9" s="749">
        <f t="shared" si="16"/>
        <v>5166000.0000000009</v>
      </c>
      <c r="AU9" s="739"/>
      <c r="AV9" s="739"/>
      <c r="AW9" s="739"/>
      <c r="AX9" s="739"/>
      <c r="AY9" s="739"/>
      <c r="AZ9" s="739"/>
      <c r="BA9" s="739"/>
      <c r="BB9" s="739"/>
      <c r="BC9" s="739"/>
      <c r="BD9" s="739"/>
      <c r="BE9" s="739"/>
      <c r="BF9" s="739"/>
      <c r="BG9" s="739"/>
      <c r="BH9" s="739"/>
      <c r="BI9" s="739"/>
      <c r="BJ9" s="739"/>
      <c r="BK9" s="739"/>
      <c r="BL9" s="739"/>
      <c r="BM9" s="739"/>
      <c r="BN9" s="739"/>
      <c r="BO9" s="739"/>
      <c r="BP9" s="739"/>
    </row>
    <row r="10" spans="1:68" ht="30.75" customHeight="1">
      <c r="A10" s="185">
        <v>7</v>
      </c>
      <c r="B10" s="729" t="str">
        <f>'هزينه هاي توليد'!B9</f>
        <v>قطعات يدكي (1.5% هزينه هاي سرمايه گذاري بدون زمين)</v>
      </c>
      <c r="C10" s="730">
        <v>0.4</v>
      </c>
      <c r="D10" s="652">
        <f t="shared" si="17"/>
        <v>1175070</v>
      </c>
      <c r="E10" s="731">
        <f t="shared" si="18"/>
        <v>0.6</v>
      </c>
      <c r="F10" s="652">
        <f t="shared" si="19"/>
        <v>1762605</v>
      </c>
      <c r="G10" s="655">
        <f>'هزينه هاي توليد'!E9</f>
        <v>2937675</v>
      </c>
      <c r="H10" s="732">
        <f t="shared" si="4"/>
        <v>7</v>
      </c>
      <c r="I10" s="733" t="str">
        <f t="shared" si="4"/>
        <v>قطعات يدكي (1.5% هزينه هاي سرمايه گذاري بدون زمين)</v>
      </c>
      <c r="J10" s="652">
        <f>$G$10*'برآورد فروش'!B3/12*'هزينه هاي ثابت و متغير'!$C$10</f>
        <v>1175070</v>
      </c>
      <c r="K10" s="652">
        <f>$G$10*'برآورد فروش'!C3/12*'هزينه هاي ثابت و متغير'!$C$10</f>
        <v>1175070</v>
      </c>
      <c r="L10" s="652">
        <f>$G$10*'برآورد فروش'!D3/12*'هزينه هاي ثابت و متغير'!$C$10</f>
        <v>1175070</v>
      </c>
      <c r="M10" s="652">
        <f>$G$10*'برآورد فروش'!E3/12*'هزينه هاي ثابت و متغير'!$C$10</f>
        <v>1175070</v>
      </c>
      <c r="N10" s="652">
        <f>$G$10*'برآورد فروش'!F3/12*'هزينه هاي ثابت و متغير'!$C$10</f>
        <v>1175070</v>
      </c>
      <c r="O10" s="652">
        <f>$G$10*'برآورد فروش'!G3/12*'هزينه هاي ثابت و متغير'!$C$10</f>
        <v>1175070</v>
      </c>
      <c r="P10" s="652">
        <f>$G$10*'برآورد فروش'!H3/12*'هزينه هاي ثابت و متغير'!$C$10</f>
        <v>1175070</v>
      </c>
      <c r="Q10" s="652">
        <f>$G$10*'برآورد فروش'!I3/12*'هزينه هاي ثابت و متغير'!$C$10</f>
        <v>1175070</v>
      </c>
      <c r="R10" s="652">
        <f>$G$10*'برآورد فروش'!J3/12*'هزينه هاي ثابت و متغير'!$C$10</f>
        <v>1175070</v>
      </c>
      <c r="S10" s="652">
        <f>$G$10*'برآورد فروش'!K3/12*'هزينه هاي ثابت و متغير'!$C$10</f>
        <v>1175070</v>
      </c>
      <c r="T10" s="655">
        <f>$G$10*'برآورد فروش'!L3/12*'هزينه هاي ثابت و متغير'!$C$10</f>
        <v>1175070</v>
      </c>
      <c r="U10" s="732">
        <f t="shared" si="5"/>
        <v>7</v>
      </c>
      <c r="V10" s="733" t="str">
        <f t="shared" si="5"/>
        <v>قطعات يدكي (1.5% هزينه هاي سرمايه گذاري بدون زمين)</v>
      </c>
      <c r="W10" s="652">
        <f>$G$10*'برآورد فروش'!B5*'هزينه هاي ثابت و متغير'!$E$10</f>
        <v>1762605</v>
      </c>
      <c r="X10" s="652">
        <f>$G$10*'برآورد فروش'!C5*'هزينه هاي ثابت و متغير'!$E$10</f>
        <v>1762605</v>
      </c>
      <c r="Y10" s="652">
        <f>$G$10*'برآورد فروش'!D5*'هزينه هاي ثابت و متغير'!$E$10</f>
        <v>1762605</v>
      </c>
      <c r="Z10" s="652">
        <f>$G$10*'برآورد فروش'!E5*'هزينه هاي ثابت و متغير'!$E$10</f>
        <v>1762605</v>
      </c>
      <c r="AA10" s="652">
        <f>$G$10*'برآورد فروش'!F5*'هزينه هاي ثابت و متغير'!$E$10</f>
        <v>1762605</v>
      </c>
      <c r="AB10" s="652">
        <f>$G$10*'برآورد فروش'!G5*'هزينه هاي ثابت و متغير'!$E$10</f>
        <v>1762605</v>
      </c>
      <c r="AC10" s="652">
        <f>$G$10*'برآورد فروش'!H5*'هزينه هاي ثابت و متغير'!$E$10</f>
        <v>1762605</v>
      </c>
      <c r="AD10" s="652">
        <f>$G$10*'برآورد فروش'!I5*'هزينه هاي ثابت و متغير'!$E$10</f>
        <v>1762605</v>
      </c>
      <c r="AE10" s="652">
        <f>$G$10*'برآورد فروش'!J5*'هزينه هاي ثابت و متغير'!$E$10</f>
        <v>1762605</v>
      </c>
      <c r="AF10" s="652">
        <f>$G$10*'برآورد فروش'!K5*'هزينه هاي ثابت و متغير'!$E$10</f>
        <v>1762605</v>
      </c>
      <c r="AG10" s="655">
        <f>$G$10*'برآورد فروش'!L5*'هزينه هاي ثابت و متغير'!$E$10</f>
        <v>1762605</v>
      </c>
      <c r="AH10" s="732">
        <f t="shared" si="20"/>
        <v>7</v>
      </c>
      <c r="AI10" s="733" t="str">
        <f t="shared" si="20"/>
        <v>قطعات يدكي (1.5% هزينه هاي سرمايه گذاري بدون زمين)</v>
      </c>
      <c r="AJ10" s="652">
        <f t="shared" si="6"/>
        <v>2937675</v>
      </c>
      <c r="AK10" s="652">
        <f t="shared" si="7"/>
        <v>2937675</v>
      </c>
      <c r="AL10" s="652">
        <f t="shared" si="8"/>
        <v>2937675</v>
      </c>
      <c r="AM10" s="652">
        <f t="shared" si="9"/>
        <v>2937675</v>
      </c>
      <c r="AN10" s="652">
        <f t="shared" si="10"/>
        <v>2937675</v>
      </c>
      <c r="AO10" s="652">
        <f t="shared" si="11"/>
        <v>2937675</v>
      </c>
      <c r="AP10" s="652">
        <f t="shared" si="12"/>
        <v>2937675</v>
      </c>
      <c r="AQ10" s="652">
        <f t="shared" si="13"/>
        <v>2937675</v>
      </c>
      <c r="AR10" s="652">
        <f t="shared" si="14"/>
        <v>2937675</v>
      </c>
      <c r="AS10" s="652">
        <f t="shared" si="15"/>
        <v>2937675</v>
      </c>
      <c r="AT10" s="655">
        <f t="shared" si="16"/>
        <v>2937675</v>
      </c>
    </row>
    <row r="11" spans="1:68" s="740" customFormat="1" ht="30.75" customHeight="1">
      <c r="A11" s="734">
        <v>8</v>
      </c>
      <c r="B11" s="735" t="str">
        <f>'هزينه هاي توليد'!B10</f>
        <v>پيش بيني نشده بدون احتساب استهلاك</v>
      </c>
      <c r="C11" s="730">
        <v>0.5</v>
      </c>
      <c r="D11" s="748">
        <f t="shared" si="17"/>
        <v>1347708.75</v>
      </c>
      <c r="E11" s="736">
        <f t="shared" si="18"/>
        <v>0.5</v>
      </c>
      <c r="F11" s="748">
        <f t="shared" si="19"/>
        <v>1347708.75</v>
      </c>
      <c r="G11" s="749">
        <f>'هزينه هاي توليد'!E10</f>
        <v>2695417.5</v>
      </c>
      <c r="H11" s="737">
        <f t="shared" si="4"/>
        <v>8</v>
      </c>
      <c r="I11" s="738" t="str">
        <f t="shared" si="4"/>
        <v>پيش بيني نشده بدون احتساب استهلاك</v>
      </c>
      <c r="J11" s="748">
        <f>$G$11*'برآورد فروش'!B3/12*'هزينه هاي ثابت و متغير'!$C$11</f>
        <v>1347708.75</v>
      </c>
      <c r="K11" s="748">
        <f>$G$11*'برآورد فروش'!C3/12*'هزينه هاي ثابت و متغير'!$C$11</f>
        <v>1347708.75</v>
      </c>
      <c r="L11" s="748">
        <f>$G$11*'برآورد فروش'!D3/12*'هزينه هاي ثابت و متغير'!$C$11</f>
        <v>1347708.75</v>
      </c>
      <c r="M11" s="748">
        <f>$G$11*'برآورد فروش'!E3/12*'هزينه هاي ثابت و متغير'!$C$11</f>
        <v>1347708.75</v>
      </c>
      <c r="N11" s="748">
        <f>$G$11*'برآورد فروش'!F3/12*'هزينه هاي ثابت و متغير'!$C$11</f>
        <v>1347708.75</v>
      </c>
      <c r="O11" s="748">
        <f>$G$11*'برآورد فروش'!G3/12*'هزينه هاي ثابت و متغير'!$C$11</f>
        <v>1347708.75</v>
      </c>
      <c r="P11" s="748">
        <f>$G$11*'برآورد فروش'!H3/12*'هزينه هاي ثابت و متغير'!$C$11</f>
        <v>1347708.75</v>
      </c>
      <c r="Q11" s="748">
        <f>$G$11*'برآورد فروش'!I3/12*'هزينه هاي ثابت و متغير'!$C$11</f>
        <v>1347708.75</v>
      </c>
      <c r="R11" s="748">
        <f>$G$11*'برآورد فروش'!J3/12*'هزينه هاي ثابت و متغير'!$C$11</f>
        <v>1347708.75</v>
      </c>
      <c r="S11" s="748">
        <f>$G$11*'برآورد فروش'!K3/12*'هزينه هاي ثابت و متغير'!$C$11</f>
        <v>1347708.75</v>
      </c>
      <c r="T11" s="749">
        <f>$G$11*'برآورد فروش'!L3/12*'هزينه هاي ثابت و متغير'!$C$11</f>
        <v>1347708.75</v>
      </c>
      <c r="U11" s="737">
        <f t="shared" si="5"/>
        <v>8</v>
      </c>
      <c r="V11" s="738" t="str">
        <f t="shared" si="5"/>
        <v>پيش بيني نشده بدون احتساب استهلاك</v>
      </c>
      <c r="W11" s="748">
        <f>$G$11*'برآورد فروش'!B5*'هزينه هاي ثابت و متغير'!$E$11</f>
        <v>1347708.75</v>
      </c>
      <c r="X11" s="748">
        <f>$G$11*'برآورد فروش'!C5*'هزينه هاي ثابت و متغير'!$E$11</f>
        <v>1347708.75</v>
      </c>
      <c r="Y11" s="748">
        <f>$G$11*'برآورد فروش'!D5*'هزينه هاي ثابت و متغير'!$E$11</f>
        <v>1347708.75</v>
      </c>
      <c r="Z11" s="748">
        <f>$G$11*'برآورد فروش'!E5*'هزينه هاي ثابت و متغير'!$E$11</f>
        <v>1347708.75</v>
      </c>
      <c r="AA11" s="748">
        <f>$G$11*'برآورد فروش'!F5*'هزينه هاي ثابت و متغير'!$E$11</f>
        <v>1347708.75</v>
      </c>
      <c r="AB11" s="748">
        <f>$G$11*'برآورد فروش'!G5*'هزينه هاي ثابت و متغير'!$E$11</f>
        <v>1347708.75</v>
      </c>
      <c r="AC11" s="748">
        <f>$G$11*'برآورد فروش'!H5*'هزينه هاي ثابت و متغير'!$E$11</f>
        <v>1347708.75</v>
      </c>
      <c r="AD11" s="748">
        <f>$G$11*'برآورد فروش'!I5*'هزينه هاي ثابت و متغير'!$E$11</f>
        <v>1347708.75</v>
      </c>
      <c r="AE11" s="748">
        <f>$G$11*'برآورد فروش'!J5*'هزينه هاي ثابت و متغير'!$E$11</f>
        <v>1347708.75</v>
      </c>
      <c r="AF11" s="748">
        <f>$G$11*'برآورد فروش'!K5*'هزينه هاي ثابت و متغير'!$E$11</f>
        <v>1347708.75</v>
      </c>
      <c r="AG11" s="749">
        <f>$G$11*'برآورد فروش'!L5*'هزينه هاي ثابت و متغير'!$E$11</f>
        <v>1347708.75</v>
      </c>
      <c r="AH11" s="737">
        <f t="shared" si="20"/>
        <v>8</v>
      </c>
      <c r="AI11" s="738" t="str">
        <f t="shared" si="20"/>
        <v>پيش بيني نشده بدون احتساب استهلاك</v>
      </c>
      <c r="AJ11" s="748">
        <f t="shared" si="6"/>
        <v>2695417.5</v>
      </c>
      <c r="AK11" s="748">
        <f t="shared" si="7"/>
        <v>2695417.5</v>
      </c>
      <c r="AL11" s="748">
        <f t="shared" si="8"/>
        <v>2695417.5</v>
      </c>
      <c r="AM11" s="748">
        <f t="shared" si="9"/>
        <v>2695417.5</v>
      </c>
      <c r="AN11" s="748">
        <f t="shared" si="10"/>
        <v>2695417.5</v>
      </c>
      <c r="AO11" s="748">
        <f t="shared" si="11"/>
        <v>2695417.5</v>
      </c>
      <c r="AP11" s="748">
        <f t="shared" si="12"/>
        <v>2695417.5</v>
      </c>
      <c r="AQ11" s="748">
        <f t="shared" si="13"/>
        <v>2695417.5</v>
      </c>
      <c r="AR11" s="748">
        <f t="shared" si="14"/>
        <v>2695417.5</v>
      </c>
      <c r="AS11" s="748">
        <f t="shared" si="15"/>
        <v>2695417.5</v>
      </c>
      <c r="AT11" s="749">
        <f t="shared" si="16"/>
        <v>2695417.5</v>
      </c>
      <c r="AU11" s="739"/>
      <c r="AV11" s="739"/>
      <c r="AW11" s="739"/>
      <c r="AX11" s="739"/>
      <c r="AY11" s="739"/>
      <c r="AZ11" s="739"/>
      <c r="BA11" s="739"/>
      <c r="BB11" s="739"/>
      <c r="BC11" s="739"/>
      <c r="BD11" s="739"/>
      <c r="BE11" s="739"/>
      <c r="BF11" s="739"/>
      <c r="BG11" s="739"/>
      <c r="BH11" s="739"/>
      <c r="BI11" s="739"/>
      <c r="BJ11" s="739"/>
      <c r="BK11" s="739"/>
      <c r="BL11" s="739"/>
      <c r="BM11" s="739"/>
      <c r="BN11" s="739"/>
      <c r="BO11" s="739"/>
      <c r="BP11" s="739"/>
    </row>
    <row r="12" spans="1:68" ht="30.75" customHeight="1">
      <c r="A12" s="185">
        <v>9</v>
      </c>
      <c r="B12" s="729" t="str">
        <f>'هزينه هاي توليد'!B12</f>
        <v>حقوق و دستمزد پرسنل اداري</v>
      </c>
      <c r="C12" s="730">
        <v>1</v>
      </c>
      <c r="D12" s="652">
        <f t="shared" si="17"/>
        <v>27654000</v>
      </c>
      <c r="E12" s="731">
        <f t="shared" si="18"/>
        <v>0</v>
      </c>
      <c r="F12" s="652">
        <f t="shared" si="19"/>
        <v>0</v>
      </c>
      <c r="G12" s="655">
        <f>'هزينه هاي توليد'!E12</f>
        <v>27654000</v>
      </c>
      <c r="H12" s="732">
        <f t="shared" si="4"/>
        <v>9</v>
      </c>
      <c r="I12" s="733" t="str">
        <f t="shared" si="4"/>
        <v>حقوق و دستمزد پرسنل اداري</v>
      </c>
      <c r="J12" s="652">
        <f>$G$12*'برآورد فروش'!B3/12*'هزينه هاي ثابت و متغير'!$C$12</f>
        <v>27654000</v>
      </c>
      <c r="K12" s="652">
        <f>$G$12*'برآورد فروش'!C3/12*'هزينه هاي ثابت و متغير'!$C$12</f>
        <v>27654000</v>
      </c>
      <c r="L12" s="652">
        <f>$G$12*'برآورد فروش'!D3/12*'هزينه هاي ثابت و متغير'!$C$12</f>
        <v>27654000</v>
      </c>
      <c r="M12" s="652">
        <f>$G$12*'برآورد فروش'!E3/12*'هزينه هاي ثابت و متغير'!$C$12</f>
        <v>27654000</v>
      </c>
      <c r="N12" s="652">
        <f>$G$12*'برآورد فروش'!F3/12*'هزينه هاي ثابت و متغير'!$C$12</f>
        <v>27654000</v>
      </c>
      <c r="O12" s="652">
        <f>$G$12*'برآورد فروش'!G3/12*'هزينه هاي ثابت و متغير'!$C$12</f>
        <v>27654000</v>
      </c>
      <c r="P12" s="652">
        <f>$G$12*'برآورد فروش'!H3/12*'هزينه هاي ثابت و متغير'!$C$12</f>
        <v>27654000</v>
      </c>
      <c r="Q12" s="652">
        <f>$G$12*'برآورد فروش'!I3/12*'هزينه هاي ثابت و متغير'!$C$12</f>
        <v>27654000</v>
      </c>
      <c r="R12" s="652">
        <f>$G$12*'برآورد فروش'!J3/12*'هزينه هاي ثابت و متغير'!$C$12</f>
        <v>27654000</v>
      </c>
      <c r="S12" s="652">
        <f>$G$12*'برآورد فروش'!K3/12*'هزينه هاي ثابت و متغير'!$C$12</f>
        <v>27654000</v>
      </c>
      <c r="T12" s="655">
        <f>$G$12*'برآورد فروش'!L3/12*'هزينه هاي ثابت و متغير'!$C$12</f>
        <v>27654000</v>
      </c>
      <c r="U12" s="732">
        <f t="shared" si="5"/>
        <v>9</v>
      </c>
      <c r="V12" s="733" t="str">
        <f t="shared" si="5"/>
        <v>حقوق و دستمزد پرسنل اداري</v>
      </c>
      <c r="W12" s="652">
        <f>$G$12*'برآورد فروش'!B5*'هزينه هاي ثابت و متغير'!$E$12</f>
        <v>0</v>
      </c>
      <c r="X12" s="652">
        <f>$G$12*'برآورد فروش'!C5*'هزينه هاي ثابت و متغير'!$E$12</f>
        <v>0</v>
      </c>
      <c r="Y12" s="652">
        <f>$G$12*'برآورد فروش'!D5*'هزينه هاي ثابت و متغير'!$E$12</f>
        <v>0</v>
      </c>
      <c r="Z12" s="652">
        <f>$G$12*'برآورد فروش'!E5*'هزينه هاي ثابت و متغير'!$E$12</f>
        <v>0</v>
      </c>
      <c r="AA12" s="652">
        <f>$G$12*'برآورد فروش'!F5*'هزينه هاي ثابت و متغير'!$E$12</f>
        <v>0</v>
      </c>
      <c r="AB12" s="652">
        <f>$G$12*'برآورد فروش'!G5*'هزينه هاي ثابت و متغير'!$E$12</f>
        <v>0</v>
      </c>
      <c r="AC12" s="652">
        <f>$G$12*'برآورد فروش'!H5*'هزينه هاي ثابت و متغير'!$E$12</f>
        <v>0</v>
      </c>
      <c r="AD12" s="652">
        <f>$G$12*'برآورد فروش'!I5*'هزينه هاي ثابت و متغير'!$E$12</f>
        <v>0</v>
      </c>
      <c r="AE12" s="652">
        <f>$G$12*'برآورد فروش'!J5*'هزينه هاي ثابت و متغير'!$E$12</f>
        <v>0</v>
      </c>
      <c r="AF12" s="652">
        <f>$G$12*'برآورد فروش'!K5*'هزينه هاي ثابت و متغير'!$E$12</f>
        <v>0</v>
      </c>
      <c r="AG12" s="655">
        <f>$G$12*'برآورد فروش'!L5*'هزينه هاي ثابت و متغير'!$E$12</f>
        <v>0</v>
      </c>
      <c r="AH12" s="732">
        <f t="shared" si="20"/>
        <v>9</v>
      </c>
      <c r="AI12" s="733" t="str">
        <f t="shared" si="20"/>
        <v>حقوق و دستمزد پرسنل اداري</v>
      </c>
      <c r="AJ12" s="652">
        <f t="shared" si="6"/>
        <v>27654000</v>
      </c>
      <c r="AK12" s="652">
        <f t="shared" si="7"/>
        <v>27654000</v>
      </c>
      <c r="AL12" s="652">
        <f t="shared" si="8"/>
        <v>27654000</v>
      </c>
      <c r="AM12" s="652">
        <f t="shared" si="9"/>
        <v>27654000</v>
      </c>
      <c r="AN12" s="652">
        <f t="shared" si="10"/>
        <v>27654000</v>
      </c>
      <c r="AO12" s="652">
        <f t="shared" si="11"/>
        <v>27654000</v>
      </c>
      <c r="AP12" s="652">
        <f t="shared" si="12"/>
        <v>27654000</v>
      </c>
      <c r="AQ12" s="652">
        <f t="shared" si="13"/>
        <v>27654000</v>
      </c>
      <c r="AR12" s="652">
        <f t="shared" si="14"/>
        <v>27654000</v>
      </c>
      <c r="AS12" s="652">
        <f t="shared" si="15"/>
        <v>27654000</v>
      </c>
      <c r="AT12" s="655">
        <f t="shared" si="16"/>
        <v>27654000</v>
      </c>
    </row>
    <row r="13" spans="1:68" s="740" customFormat="1" ht="30.75" customHeight="1">
      <c r="A13" s="734">
        <v>10</v>
      </c>
      <c r="B13" s="735" t="str">
        <f>'هزينه هاي توليد'!B13</f>
        <v>هزينه هاي توزيع و فروش تبلیغات و اداری (درصدی از فروش)</v>
      </c>
      <c r="C13" s="730">
        <v>0.6</v>
      </c>
      <c r="D13" s="748">
        <f t="shared" si="17"/>
        <v>7.1999999999999995E-2</v>
      </c>
      <c r="E13" s="736">
        <f t="shared" si="18"/>
        <v>0.4</v>
      </c>
      <c r="F13" s="748">
        <f t="shared" si="19"/>
        <v>4.8000000000000001E-2</v>
      </c>
      <c r="G13" s="749">
        <f>'هزينه هاي توليد'!E13</f>
        <v>0.12</v>
      </c>
      <c r="H13" s="737">
        <f t="shared" si="4"/>
        <v>10</v>
      </c>
      <c r="I13" s="738" t="str">
        <f t="shared" si="4"/>
        <v>هزينه هاي توزيع و فروش تبلیغات و اداری (درصدی از فروش)</v>
      </c>
      <c r="J13" s="748">
        <f>$G$13*'برآورد فروش'!B3/12*'هزينه هاي ثابت و متغير'!$C$13</f>
        <v>7.1999999999999995E-2</v>
      </c>
      <c r="K13" s="748">
        <f>$G$13*'برآورد فروش'!C3/12*'هزينه هاي ثابت و متغير'!$C$13</f>
        <v>7.1999999999999995E-2</v>
      </c>
      <c r="L13" s="748">
        <f>$G$13*'برآورد فروش'!D3/12*'هزينه هاي ثابت و متغير'!$C$13</f>
        <v>7.1999999999999995E-2</v>
      </c>
      <c r="M13" s="748">
        <f>$G$13*'برآورد فروش'!E3/12*'هزينه هاي ثابت و متغير'!$C$13</f>
        <v>7.1999999999999995E-2</v>
      </c>
      <c r="N13" s="748">
        <f>$G$13*'برآورد فروش'!F3/12*'هزينه هاي ثابت و متغير'!$C$13</f>
        <v>7.1999999999999995E-2</v>
      </c>
      <c r="O13" s="748">
        <f>$G$13*'برآورد فروش'!G3/12*'هزينه هاي ثابت و متغير'!$C$13</f>
        <v>7.1999999999999995E-2</v>
      </c>
      <c r="P13" s="748">
        <f>$G$13*'برآورد فروش'!H3/12*'هزينه هاي ثابت و متغير'!$C$13</f>
        <v>7.1999999999999995E-2</v>
      </c>
      <c r="Q13" s="748">
        <f>$G$13*'برآورد فروش'!I3/12*'هزينه هاي ثابت و متغير'!$C$13</f>
        <v>7.1999999999999995E-2</v>
      </c>
      <c r="R13" s="748">
        <f>$G$13*'برآورد فروش'!J3/12*'هزينه هاي ثابت و متغير'!$C$13</f>
        <v>7.1999999999999995E-2</v>
      </c>
      <c r="S13" s="748">
        <f>$G$13*'برآورد فروش'!K3/12*'هزينه هاي ثابت و متغير'!$C$13</f>
        <v>7.1999999999999995E-2</v>
      </c>
      <c r="T13" s="749">
        <f>$G$13*'برآورد فروش'!L3/12*'هزينه هاي ثابت و متغير'!$C$13</f>
        <v>7.1999999999999995E-2</v>
      </c>
      <c r="U13" s="737">
        <f t="shared" si="5"/>
        <v>10</v>
      </c>
      <c r="V13" s="738" t="str">
        <f t="shared" si="5"/>
        <v>هزينه هاي توزيع و فروش تبلیغات و اداری (درصدی از فروش)</v>
      </c>
      <c r="W13" s="748">
        <f>'هزينه هاي ثابت و متغير'!$G$13*'برآورد فروش'!B5*'هزينه هاي ثابت و متغير'!$E$13</f>
        <v>4.8000000000000001E-2</v>
      </c>
      <c r="X13" s="748">
        <f>'هزينه هاي ثابت و متغير'!$G$13*'برآورد فروش'!C5*'هزينه هاي ثابت و متغير'!$E$13</f>
        <v>4.8000000000000001E-2</v>
      </c>
      <c r="Y13" s="748">
        <f>'هزينه هاي ثابت و متغير'!$G$13*'برآورد فروش'!D5*'هزينه هاي ثابت و متغير'!$E$13</f>
        <v>4.8000000000000001E-2</v>
      </c>
      <c r="Z13" s="748">
        <f>'هزينه هاي ثابت و متغير'!$G$13*'برآورد فروش'!E5*'هزينه هاي ثابت و متغير'!$E$13</f>
        <v>4.8000000000000001E-2</v>
      </c>
      <c r="AA13" s="748">
        <f>'هزينه هاي ثابت و متغير'!$G$13*'برآورد فروش'!F5*'هزينه هاي ثابت و متغير'!$E$13</f>
        <v>4.8000000000000001E-2</v>
      </c>
      <c r="AB13" s="748">
        <f>'هزينه هاي ثابت و متغير'!$G$13*'برآورد فروش'!G5*'هزينه هاي ثابت و متغير'!$E$13</f>
        <v>4.8000000000000001E-2</v>
      </c>
      <c r="AC13" s="748">
        <f>'هزينه هاي ثابت و متغير'!$G$13*'برآورد فروش'!H5*'هزينه هاي ثابت و متغير'!$E$13</f>
        <v>4.8000000000000001E-2</v>
      </c>
      <c r="AD13" s="748">
        <f>'هزينه هاي ثابت و متغير'!$G$13*'برآورد فروش'!I5*'هزينه هاي ثابت و متغير'!$E$13</f>
        <v>4.8000000000000001E-2</v>
      </c>
      <c r="AE13" s="748">
        <f>'هزينه هاي ثابت و متغير'!$G$13*'برآورد فروش'!J5*'هزينه هاي ثابت و متغير'!$E$13</f>
        <v>4.8000000000000001E-2</v>
      </c>
      <c r="AF13" s="748">
        <f>'هزينه هاي ثابت و متغير'!$G$13*'برآورد فروش'!K5*'هزينه هاي ثابت و متغير'!$E$13</f>
        <v>4.8000000000000001E-2</v>
      </c>
      <c r="AG13" s="749">
        <f>'هزينه هاي ثابت و متغير'!$G$13*'برآورد فروش'!L5*'هزينه هاي ثابت و متغير'!$E$13</f>
        <v>4.8000000000000001E-2</v>
      </c>
      <c r="AH13" s="737">
        <f t="shared" si="20"/>
        <v>10</v>
      </c>
      <c r="AI13" s="738" t="str">
        <f t="shared" si="20"/>
        <v>هزينه هاي توزيع و فروش تبلیغات و اداری (درصدی از فروش)</v>
      </c>
      <c r="AJ13" s="748">
        <f t="shared" si="6"/>
        <v>0.12</v>
      </c>
      <c r="AK13" s="748">
        <f t="shared" si="7"/>
        <v>0.12</v>
      </c>
      <c r="AL13" s="748">
        <f t="shared" si="8"/>
        <v>0.12</v>
      </c>
      <c r="AM13" s="748">
        <f t="shared" si="9"/>
        <v>0.12</v>
      </c>
      <c r="AN13" s="748">
        <f t="shared" si="10"/>
        <v>0.12</v>
      </c>
      <c r="AO13" s="748">
        <f t="shared" si="11"/>
        <v>0.12</v>
      </c>
      <c r="AP13" s="748">
        <f t="shared" si="12"/>
        <v>0.12</v>
      </c>
      <c r="AQ13" s="748">
        <f t="shared" si="13"/>
        <v>0.12</v>
      </c>
      <c r="AR13" s="748">
        <f t="shared" si="14"/>
        <v>0.12</v>
      </c>
      <c r="AS13" s="748">
        <f t="shared" si="15"/>
        <v>0.12</v>
      </c>
      <c r="AT13" s="749">
        <f t="shared" si="16"/>
        <v>0.12</v>
      </c>
      <c r="AU13" s="739"/>
      <c r="AV13" s="739"/>
      <c r="AW13" s="739"/>
      <c r="AX13" s="739"/>
      <c r="AY13" s="739"/>
      <c r="AZ13" s="739"/>
      <c r="BA13" s="739"/>
      <c r="BB13" s="739"/>
      <c r="BC13" s="739"/>
      <c r="BD13" s="739"/>
      <c r="BE13" s="739"/>
      <c r="BF13" s="739"/>
      <c r="BG13" s="739"/>
      <c r="BH13" s="739"/>
      <c r="BI13" s="739"/>
      <c r="BJ13" s="739"/>
      <c r="BK13" s="739"/>
      <c r="BL13" s="739"/>
      <c r="BM13" s="739"/>
      <c r="BN13" s="739"/>
      <c r="BO13" s="739"/>
      <c r="BP13" s="739"/>
    </row>
    <row r="14" spans="1:68" ht="30.75" customHeight="1">
      <c r="A14" s="185">
        <v>11</v>
      </c>
      <c r="B14" s="729" t="str">
        <f>'هزينه هاي توليد'!B15</f>
        <v>هزینه استهلاک هزینه های قبل از بهره برداری</v>
      </c>
      <c r="C14" s="730">
        <v>1</v>
      </c>
      <c r="D14" s="652">
        <f t="shared" si="17"/>
        <v>229500253.62035227</v>
      </c>
      <c r="E14" s="731">
        <f t="shared" si="18"/>
        <v>0</v>
      </c>
      <c r="F14" s="652">
        <f t="shared" si="19"/>
        <v>0</v>
      </c>
      <c r="G14" s="655">
        <f>'هزينه هاي توليد'!E15</f>
        <v>229500253.62035227</v>
      </c>
      <c r="H14" s="732">
        <f t="shared" si="4"/>
        <v>11</v>
      </c>
      <c r="I14" s="733" t="str">
        <f t="shared" si="4"/>
        <v>هزینه استهلاک هزینه های قبل از بهره برداری</v>
      </c>
      <c r="J14" s="652">
        <f>استهلاك!C29*'هزينه هاي ثابت و متغير'!$C$14</f>
        <v>229500253.62035227</v>
      </c>
      <c r="K14" s="652">
        <f>استهلاك!D29*'هزينه هاي ثابت و متغير'!$C$14</f>
        <v>229500253.62035227</v>
      </c>
      <c r="L14" s="652">
        <f>استهلاك!E29*'هزينه هاي ثابت و متغير'!$C$14</f>
        <v>229500253.62035227</v>
      </c>
      <c r="M14" s="652">
        <f>استهلاك!F29*'هزينه هاي ثابت و متغير'!$C$14</f>
        <v>229500253.62035227</v>
      </c>
      <c r="N14" s="652">
        <f>استهلاك!G29*'هزينه هاي ثابت و متغير'!$C$14</f>
        <v>229500253.62035227</v>
      </c>
      <c r="O14" s="652">
        <f>استهلاك!H29*'هزينه هاي ثابت و متغير'!$C$14</f>
        <v>0</v>
      </c>
      <c r="P14" s="652">
        <f>استهلاك!I29*'هزينه هاي ثابت و متغير'!$C$14</f>
        <v>0</v>
      </c>
      <c r="Q14" s="652">
        <f>استهلاك!J29*'هزينه هاي ثابت و متغير'!$C$14</f>
        <v>0</v>
      </c>
      <c r="R14" s="652">
        <f>استهلاك!K29*'هزينه هاي ثابت و متغير'!$C$14</f>
        <v>0</v>
      </c>
      <c r="S14" s="652">
        <f>استهلاك!L29*'هزينه هاي ثابت و متغير'!$C$14</f>
        <v>0</v>
      </c>
      <c r="T14" s="655">
        <f>استهلاك!M29*'هزينه هاي ثابت و متغير'!$C$14</f>
        <v>0</v>
      </c>
      <c r="U14" s="732">
        <f t="shared" si="5"/>
        <v>11</v>
      </c>
      <c r="V14" s="733" t="str">
        <f t="shared" si="5"/>
        <v>هزینه استهلاک هزینه های قبل از بهره برداری</v>
      </c>
      <c r="W14" s="652">
        <f>$G$14*'برآورد فروش'!B5*'هزينه هاي ثابت و متغير'!$E$14</f>
        <v>0</v>
      </c>
      <c r="X14" s="652">
        <f>$G$14*'برآورد فروش'!C5*'هزينه هاي ثابت و متغير'!$E$14</f>
        <v>0</v>
      </c>
      <c r="Y14" s="652">
        <f>$G$14*'برآورد فروش'!D5*'هزينه هاي ثابت و متغير'!$E$14</f>
        <v>0</v>
      </c>
      <c r="Z14" s="652">
        <f>$G$14*'برآورد فروش'!E5*'هزينه هاي ثابت و متغير'!$E$14</f>
        <v>0</v>
      </c>
      <c r="AA14" s="652">
        <f>$G$14*'برآورد فروش'!F5*'هزينه هاي ثابت و متغير'!$E$14</f>
        <v>0</v>
      </c>
      <c r="AB14" s="652">
        <f>$G$14*'برآورد فروش'!G5*'هزينه هاي ثابت و متغير'!$E$14</f>
        <v>0</v>
      </c>
      <c r="AC14" s="652">
        <f>$G$14*'برآورد فروش'!H5*'هزينه هاي ثابت و متغير'!$E$14</f>
        <v>0</v>
      </c>
      <c r="AD14" s="652">
        <f>$G$14*'برآورد فروش'!I5*'هزينه هاي ثابت و متغير'!$E$14</f>
        <v>0</v>
      </c>
      <c r="AE14" s="652">
        <f>$G$14*'برآورد فروش'!J5*'هزينه هاي ثابت و متغير'!$E$14</f>
        <v>0</v>
      </c>
      <c r="AF14" s="652">
        <f>$G$14*'برآورد فروش'!K5*'هزينه هاي ثابت و متغير'!$E$14</f>
        <v>0</v>
      </c>
      <c r="AG14" s="655">
        <f>$G$14*'برآورد فروش'!L5*'هزينه هاي ثابت و متغير'!$E$14</f>
        <v>0</v>
      </c>
      <c r="AH14" s="732">
        <f t="shared" si="20"/>
        <v>11</v>
      </c>
      <c r="AI14" s="733" t="str">
        <f t="shared" si="20"/>
        <v>هزینه استهلاک هزینه های قبل از بهره برداری</v>
      </c>
      <c r="AJ14" s="652">
        <f t="shared" si="6"/>
        <v>229500253.62035227</v>
      </c>
      <c r="AK14" s="652">
        <f t="shared" si="7"/>
        <v>229500253.62035227</v>
      </c>
      <c r="AL14" s="652">
        <f t="shared" si="8"/>
        <v>229500253.62035227</v>
      </c>
      <c r="AM14" s="652">
        <f t="shared" si="9"/>
        <v>229500253.62035227</v>
      </c>
      <c r="AN14" s="652">
        <f t="shared" si="10"/>
        <v>229500253.62035227</v>
      </c>
      <c r="AO14" s="652">
        <f t="shared" si="11"/>
        <v>0</v>
      </c>
      <c r="AP14" s="652">
        <f t="shared" si="12"/>
        <v>0</v>
      </c>
      <c r="AQ14" s="652">
        <f t="shared" si="13"/>
        <v>0</v>
      </c>
      <c r="AR14" s="652">
        <f t="shared" si="14"/>
        <v>0</v>
      </c>
      <c r="AS14" s="652">
        <f t="shared" si="15"/>
        <v>0</v>
      </c>
      <c r="AT14" s="655">
        <f t="shared" si="16"/>
        <v>0</v>
      </c>
    </row>
    <row r="15" spans="1:68" s="740" customFormat="1" ht="30.75" customHeight="1">
      <c r="A15" s="734">
        <v>12</v>
      </c>
      <c r="B15" s="735" t="str">
        <f>'هزينه هاي توليد'!B16</f>
        <v>هزينه هاي مالي</v>
      </c>
      <c r="C15" s="730">
        <v>1</v>
      </c>
      <c r="D15" s="748">
        <f t="shared" si="17"/>
        <v>0</v>
      </c>
      <c r="E15" s="736">
        <f t="shared" si="18"/>
        <v>0</v>
      </c>
      <c r="F15" s="748">
        <f t="shared" si="19"/>
        <v>0</v>
      </c>
      <c r="G15" s="749">
        <f>'هزينه هاي توليد'!E16</f>
        <v>0</v>
      </c>
      <c r="H15" s="737">
        <f t="shared" si="4"/>
        <v>12</v>
      </c>
      <c r="I15" s="738" t="str">
        <f t="shared" si="4"/>
        <v>هزينه هاي مالي</v>
      </c>
      <c r="J15" s="748">
        <f>('پيش بيني عملكرد سود و زيان'!C24+'پيش بيني عملكرد سود و زيان'!C25)*'هزينه هاي ثابت و متغير'!$C$15</f>
        <v>0</v>
      </c>
      <c r="K15" s="748">
        <f>('پيش بيني عملكرد سود و زيان'!D24+'پيش بيني عملكرد سود و زيان'!D25)*'هزينه هاي ثابت و متغير'!$C$15</f>
        <v>0</v>
      </c>
      <c r="L15" s="748">
        <f>('پيش بيني عملكرد سود و زيان'!E24+'پيش بيني عملكرد سود و زيان'!E25)*'هزينه هاي ثابت و متغير'!$C$15</f>
        <v>0</v>
      </c>
      <c r="M15" s="748">
        <f>('پيش بيني عملكرد سود و زيان'!F24+'پيش بيني عملكرد سود و زيان'!F25)*'هزينه هاي ثابت و متغير'!$C$15</f>
        <v>0</v>
      </c>
      <c r="N15" s="748">
        <f>('پيش بيني عملكرد سود و زيان'!G24+'پيش بيني عملكرد سود و زيان'!G25)*'هزينه هاي ثابت و متغير'!$C$15</f>
        <v>0</v>
      </c>
      <c r="O15" s="748">
        <f>('پيش بيني عملكرد سود و زيان'!H24+'پيش بيني عملكرد سود و زيان'!H25)*'هزينه هاي ثابت و متغير'!$C$15</f>
        <v>0</v>
      </c>
      <c r="P15" s="748">
        <f>('پيش بيني عملكرد سود و زيان'!I24+'پيش بيني عملكرد سود و زيان'!I25)*'هزينه هاي ثابت و متغير'!$C$15</f>
        <v>0</v>
      </c>
      <c r="Q15" s="748">
        <f>('پيش بيني عملكرد سود و زيان'!J24+'پيش بيني عملكرد سود و زيان'!J25)*'هزينه هاي ثابت و متغير'!$C$15</f>
        <v>0</v>
      </c>
      <c r="R15" s="748">
        <f>('پيش بيني عملكرد سود و زيان'!K24+'پيش بيني عملكرد سود و زيان'!K25)*'هزينه هاي ثابت و متغير'!$C$15</f>
        <v>0</v>
      </c>
      <c r="S15" s="748">
        <f>('پيش بيني عملكرد سود و زيان'!L24+'پيش بيني عملكرد سود و زيان'!L25)*'هزينه هاي ثابت و متغير'!$C$15</f>
        <v>0</v>
      </c>
      <c r="T15" s="749">
        <f>('پيش بيني عملكرد سود و زيان'!M24+'پيش بيني عملكرد سود و زيان'!M25)*'هزينه هاي ثابت و متغير'!$C$15</f>
        <v>0</v>
      </c>
      <c r="U15" s="737">
        <f t="shared" si="5"/>
        <v>12</v>
      </c>
      <c r="V15" s="738" t="str">
        <f t="shared" si="5"/>
        <v>هزينه هاي مالي</v>
      </c>
      <c r="W15" s="748">
        <f>('پيش بيني عملكرد سود و زيان'!C24+'پيش بيني عملكرد سود و زيان'!C25)*'هزينه هاي ثابت و متغير'!$E$15</f>
        <v>0</v>
      </c>
      <c r="X15" s="748">
        <f>('پيش بيني عملكرد سود و زيان'!D24+'پيش بيني عملكرد سود و زيان'!D25)*'هزينه هاي ثابت و متغير'!$E$15</f>
        <v>0</v>
      </c>
      <c r="Y15" s="748">
        <f>('پيش بيني عملكرد سود و زيان'!E24+'پيش بيني عملكرد سود و زيان'!E25)*'هزينه هاي ثابت و متغير'!$E$15</f>
        <v>0</v>
      </c>
      <c r="Z15" s="748">
        <f>('پيش بيني عملكرد سود و زيان'!F24+'پيش بيني عملكرد سود و زيان'!F25)*'هزينه هاي ثابت و متغير'!$E$15</f>
        <v>0</v>
      </c>
      <c r="AA15" s="748">
        <f>('پيش بيني عملكرد سود و زيان'!G24+'پيش بيني عملكرد سود و زيان'!G25)*'هزينه هاي ثابت و متغير'!$E$15</f>
        <v>0</v>
      </c>
      <c r="AB15" s="748">
        <f>('پيش بيني عملكرد سود و زيان'!H24+'پيش بيني عملكرد سود و زيان'!H25)*'هزينه هاي ثابت و متغير'!$E$15</f>
        <v>0</v>
      </c>
      <c r="AC15" s="748">
        <f>('پيش بيني عملكرد سود و زيان'!I24+'پيش بيني عملكرد سود و زيان'!I25)*'هزينه هاي ثابت و متغير'!$E$15</f>
        <v>0</v>
      </c>
      <c r="AD15" s="748">
        <f>('پيش بيني عملكرد سود و زيان'!J24+'پيش بيني عملكرد سود و زيان'!J25)*'هزينه هاي ثابت و متغير'!$E$15</f>
        <v>0</v>
      </c>
      <c r="AE15" s="748">
        <f>('پيش بيني عملكرد سود و زيان'!K24+'پيش بيني عملكرد سود و زيان'!K25)*'هزينه هاي ثابت و متغير'!$E$15</f>
        <v>0</v>
      </c>
      <c r="AF15" s="748">
        <f>('پيش بيني عملكرد سود و زيان'!L24+'پيش بيني عملكرد سود و زيان'!L25)*'هزينه هاي ثابت و متغير'!$E$15</f>
        <v>0</v>
      </c>
      <c r="AG15" s="749">
        <f>('پيش بيني عملكرد سود و زيان'!M24+'پيش بيني عملكرد سود و زيان'!M25)*'هزينه هاي ثابت و متغير'!$E$15</f>
        <v>0</v>
      </c>
      <c r="AH15" s="737">
        <f t="shared" si="20"/>
        <v>12</v>
      </c>
      <c r="AI15" s="738" t="str">
        <f t="shared" si="20"/>
        <v>هزينه هاي مالي</v>
      </c>
      <c r="AJ15" s="748">
        <f t="shared" si="6"/>
        <v>0</v>
      </c>
      <c r="AK15" s="748">
        <f t="shared" si="7"/>
        <v>0</v>
      </c>
      <c r="AL15" s="748">
        <f t="shared" si="8"/>
        <v>0</v>
      </c>
      <c r="AM15" s="748">
        <f t="shared" si="9"/>
        <v>0</v>
      </c>
      <c r="AN15" s="748">
        <f t="shared" si="10"/>
        <v>0</v>
      </c>
      <c r="AO15" s="748">
        <f t="shared" si="11"/>
        <v>0</v>
      </c>
      <c r="AP15" s="748">
        <f t="shared" si="12"/>
        <v>0</v>
      </c>
      <c r="AQ15" s="748">
        <f t="shared" si="13"/>
        <v>0</v>
      </c>
      <c r="AR15" s="748">
        <f t="shared" si="14"/>
        <v>0</v>
      </c>
      <c r="AS15" s="748">
        <f t="shared" si="15"/>
        <v>0</v>
      </c>
      <c r="AT15" s="749">
        <f t="shared" si="16"/>
        <v>0</v>
      </c>
      <c r="AU15" s="739"/>
      <c r="AV15" s="739"/>
      <c r="AW15" s="739"/>
      <c r="AX15" s="739"/>
      <c r="AY15" s="739"/>
      <c r="AZ15" s="739"/>
      <c r="BA15" s="739"/>
      <c r="BB15" s="739"/>
      <c r="BC15" s="739"/>
      <c r="BD15" s="739"/>
      <c r="BE15" s="739"/>
      <c r="BF15" s="739"/>
      <c r="BG15" s="739"/>
      <c r="BH15" s="739"/>
      <c r="BI15" s="739"/>
      <c r="BJ15" s="739"/>
      <c r="BK15" s="739"/>
      <c r="BL15" s="739"/>
      <c r="BM15" s="739"/>
      <c r="BN15" s="739"/>
      <c r="BO15" s="739"/>
      <c r="BP15" s="739"/>
    </row>
    <row r="16" spans="1:68" ht="30.75" customHeight="1">
      <c r="A16" s="185">
        <v>13</v>
      </c>
      <c r="B16" s="729" t="str">
        <f>'هزينه هاي توليد'!B17</f>
        <v>هزینه های اجاره</v>
      </c>
      <c r="C16" s="730">
        <v>1</v>
      </c>
      <c r="D16" s="652">
        <f t="shared" si="17"/>
        <v>0</v>
      </c>
      <c r="E16" s="731">
        <f t="shared" si="18"/>
        <v>0</v>
      </c>
      <c r="F16" s="652">
        <f t="shared" si="19"/>
        <v>0</v>
      </c>
      <c r="G16" s="655">
        <f>'هزينه هاي توليد'!E17</f>
        <v>0</v>
      </c>
      <c r="H16" s="732">
        <f>A16</f>
        <v>13</v>
      </c>
      <c r="I16" s="733" t="str">
        <f>B16</f>
        <v>هزینه های اجاره</v>
      </c>
      <c r="J16" s="652">
        <f>$G$16*'برآورد فروش'!B3/12*'هزينه هاي ثابت و متغير'!$C$16</f>
        <v>0</v>
      </c>
      <c r="K16" s="652">
        <f>$G$16*'برآورد فروش'!C3/12*'هزينه هاي ثابت و متغير'!$C$16</f>
        <v>0</v>
      </c>
      <c r="L16" s="652">
        <f>$G$16*'برآورد فروش'!D3/12*'هزينه هاي ثابت و متغير'!$C$16</f>
        <v>0</v>
      </c>
      <c r="M16" s="652">
        <f>$G$16*'برآورد فروش'!E3/12*'هزينه هاي ثابت و متغير'!$C$16</f>
        <v>0</v>
      </c>
      <c r="N16" s="652">
        <f>$G$16*'برآورد فروش'!F3/12*'هزينه هاي ثابت و متغير'!$C$16</f>
        <v>0</v>
      </c>
      <c r="O16" s="652">
        <f>$G$16*'برآورد فروش'!G3/12*'هزينه هاي ثابت و متغير'!$C$16</f>
        <v>0</v>
      </c>
      <c r="P16" s="652">
        <f>$G$16*'برآورد فروش'!H3/12*'هزينه هاي ثابت و متغير'!$C$16</f>
        <v>0</v>
      </c>
      <c r="Q16" s="652">
        <f>$G$16*'برآورد فروش'!I3/12*'هزينه هاي ثابت و متغير'!$C$16</f>
        <v>0</v>
      </c>
      <c r="R16" s="652">
        <f>$G$16*'برآورد فروش'!J3/12*'هزينه هاي ثابت و متغير'!$C$16</f>
        <v>0</v>
      </c>
      <c r="S16" s="652">
        <f>$G$16*'برآورد فروش'!K3/12*'هزينه هاي ثابت و متغير'!$C$16</f>
        <v>0</v>
      </c>
      <c r="T16" s="655">
        <f>$G$16*'برآورد فروش'!L3/12*'هزينه هاي ثابت و متغير'!$C$16</f>
        <v>0</v>
      </c>
      <c r="U16" s="732">
        <f t="shared" si="5"/>
        <v>13</v>
      </c>
      <c r="V16" s="733" t="str">
        <f t="shared" si="5"/>
        <v>هزینه های اجاره</v>
      </c>
      <c r="W16" s="652">
        <f>$G$16*'برآورد فروش'!B5*'هزينه هاي ثابت و متغير'!$E$16</f>
        <v>0</v>
      </c>
      <c r="X16" s="652">
        <f>$G$16*'برآورد فروش'!C5*'هزينه هاي ثابت و متغير'!$E$16</f>
        <v>0</v>
      </c>
      <c r="Y16" s="652">
        <f>$G$16*'برآورد فروش'!D5*'هزينه هاي ثابت و متغير'!$E$16</f>
        <v>0</v>
      </c>
      <c r="Z16" s="652">
        <f>$G$16*'برآورد فروش'!E5*'هزينه هاي ثابت و متغير'!$E$16</f>
        <v>0</v>
      </c>
      <c r="AA16" s="652">
        <f>$G$16*'برآورد فروش'!F5*'هزينه هاي ثابت و متغير'!$E$16</f>
        <v>0</v>
      </c>
      <c r="AB16" s="652">
        <f>$G$16*'برآورد فروش'!G5*'هزينه هاي ثابت و متغير'!$E$16</f>
        <v>0</v>
      </c>
      <c r="AC16" s="652">
        <f>$G$16*'برآورد فروش'!H5*'هزينه هاي ثابت و متغير'!$E$16</f>
        <v>0</v>
      </c>
      <c r="AD16" s="652">
        <f>$G$16*'برآورد فروش'!I5*'هزينه هاي ثابت و متغير'!$E$16</f>
        <v>0</v>
      </c>
      <c r="AE16" s="652">
        <f>$G$16*'برآورد فروش'!J5*'هزينه هاي ثابت و متغير'!$E$16</f>
        <v>0</v>
      </c>
      <c r="AF16" s="652">
        <f>$G$16*'برآورد فروش'!K5*'هزينه هاي ثابت و متغير'!$E$16</f>
        <v>0</v>
      </c>
      <c r="AG16" s="655">
        <f>$G$16*'برآورد فروش'!L5*'هزينه هاي ثابت و متغير'!$E$16</f>
        <v>0</v>
      </c>
      <c r="AH16" s="732">
        <f t="shared" si="20"/>
        <v>13</v>
      </c>
      <c r="AI16" s="733" t="str">
        <f t="shared" si="20"/>
        <v>هزینه های اجاره</v>
      </c>
      <c r="AJ16" s="652">
        <f t="shared" si="6"/>
        <v>0</v>
      </c>
      <c r="AK16" s="652">
        <f t="shared" si="7"/>
        <v>0</v>
      </c>
      <c r="AL16" s="652">
        <f t="shared" si="8"/>
        <v>0</v>
      </c>
      <c r="AM16" s="652">
        <f t="shared" si="9"/>
        <v>0</v>
      </c>
      <c r="AN16" s="652">
        <f t="shared" si="10"/>
        <v>0</v>
      </c>
      <c r="AO16" s="652">
        <f t="shared" si="11"/>
        <v>0</v>
      </c>
      <c r="AP16" s="652">
        <f t="shared" si="12"/>
        <v>0</v>
      </c>
      <c r="AQ16" s="652">
        <f t="shared" si="13"/>
        <v>0</v>
      </c>
      <c r="AR16" s="652">
        <f t="shared" si="14"/>
        <v>0</v>
      </c>
      <c r="AS16" s="652">
        <f t="shared" si="15"/>
        <v>0</v>
      </c>
      <c r="AT16" s="655">
        <f t="shared" si="16"/>
        <v>0</v>
      </c>
    </row>
    <row r="17" spans="1:68" s="740" customFormat="1" ht="30.75" customHeight="1">
      <c r="A17" s="734">
        <v>14</v>
      </c>
      <c r="B17" s="735" t="str">
        <f>'هزينه هاي توليد'!B18</f>
        <v>هزینه های بیمه</v>
      </c>
      <c r="C17" s="730">
        <v>1</v>
      </c>
      <c r="D17" s="748">
        <f t="shared" si="17"/>
        <v>0</v>
      </c>
      <c r="E17" s="736">
        <f t="shared" si="18"/>
        <v>0</v>
      </c>
      <c r="F17" s="748">
        <f t="shared" si="19"/>
        <v>0</v>
      </c>
      <c r="G17" s="749">
        <f>'هزينه هاي توليد'!E18</f>
        <v>0</v>
      </c>
      <c r="H17" s="737">
        <f>A17</f>
        <v>14</v>
      </c>
      <c r="I17" s="738" t="str">
        <f>B17</f>
        <v>هزینه های بیمه</v>
      </c>
      <c r="J17" s="748">
        <f>$G$17*'برآورد فروش'!B3/12*'هزينه هاي ثابت و متغير'!$C$17</f>
        <v>0</v>
      </c>
      <c r="K17" s="748">
        <f>$G$17*'برآورد فروش'!C3/12*'هزينه هاي ثابت و متغير'!$C$17</f>
        <v>0</v>
      </c>
      <c r="L17" s="748">
        <f>$G$17*'برآورد فروش'!D3/12*'هزينه هاي ثابت و متغير'!$C$17</f>
        <v>0</v>
      </c>
      <c r="M17" s="748">
        <f>$G$17*'برآورد فروش'!E3/12*'هزينه هاي ثابت و متغير'!$C$17</f>
        <v>0</v>
      </c>
      <c r="N17" s="748">
        <f>$G$17*'برآورد فروش'!F3/12*'هزينه هاي ثابت و متغير'!$C$17</f>
        <v>0</v>
      </c>
      <c r="O17" s="748">
        <f>$G$17*'برآورد فروش'!G3/12*'هزينه هاي ثابت و متغير'!$C$17</f>
        <v>0</v>
      </c>
      <c r="P17" s="748">
        <f>$G$17*'برآورد فروش'!H3/12*'هزينه هاي ثابت و متغير'!$C$17</f>
        <v>0</v>
      </c>
      <c r="Q17" s="748">
        <f>$G$17*'برآورد فروش'!I3/12*'هزينه هاي ثابت و متغير'!$C$17</f>
        <v>0</v>
      </c>
      <c r="R17" s="748">
        <f>$G$17*'برآورد فروش'!J3/12*'هزينه هاي ثابت و متغير'!$C$17</f>
        <v>0</v>
      </c>
      <c r="S17" s="748">
        <f>$G$17*'برآورد فروش'!K3/12*'هزينه هاي ثابت و متغير'!$C$17</f>
        <v>0</v>
      </c>
      <c r="T17" s="749">
        <f>$G$17*'برآورد فروش'!L3/12*'هزينه هاي ثابت و متغير'!$C$17</f>
        <v>0</v>
      </c>
      <c r="U17" s="737">
        <f>A17</f>
        <v>14</v>
      </c>
      <c r="V17" s="738" t="str">
        <f>B17</f>
        <v>هزینه های بیمه</v>
      </c>
      <c r="W17" s="748">
        <f>$G$17*'برآورد فروش'!B5*'هزينه هاي ثابت و متغير'!$E$17</f>
        <v>0</v>
      </c>
      <c r="X17" s="748">
        <f>$G$17*'برآورد فروش'!C5*'هزينه هاي ثابت و متغير'!$E$17</f>
        <v>0</v>
      </c>
      <c r="Y17" s="748">
        <f>$G$17*'برآورد فروش'!D5*'هزينه هاي ثابت و متغير'!$E$17</f>
        <v>0</v>
      </c>
      <c r="Z17" s="748">
        <f>$G$17*'برآورد فروش'!E5*'هزينه هاي ثابت و متغير'!$E$17</f>
        <v>0</v>
      </c>
      <c r="AA17" s="748">
        <f>$G$17*'برآورد فروش'!F5*'هزينه هاي ثابت و متغير'!$E$17</f>
        <v>0</v>
      </c>
      <c r="AB17" s="748">
        <f>$G$17*'برآورد فروش'!G5*'هزينه هاي ثابت و متغير'!$E$17</f>
        <v>0</v>
      </c>
      <c r="AC17" s="748">
        <f>$G$17*'برآورد فروش'!H5*'هزينه هاي ثابت و متغير'!$E$17</f>
        <v>0</v>
      </c>
      <c r="AD17" s="748">
        <f>$G$17*'برآورد فروش'!I5*'هزينه هاي ثابت و متغير'!$E$17</f>
        <v>0</v>
      </c>
      <c r="AE17" s="748">
        <f>$G$17*'برآورد فروش'!J5*'هزينه هاي ثابت و متغير'!$E$17</f>
        <v>0</v>
      </c>
      <c r="AF17" s="748">
        <f>$G$17*'برآورد فروش'!K5*'هزينه هاي ثابت و متغير'!$E$17</f>
        <v>0</v>
      </c>
      <c r="AG17" s="749">
        <f>$G$17*'برآورد فروش'!L5*'هزينه هاي ثابت و متغير'!$E$17</f>
        <v>0</v>
      </c>
      <c r="AH17" s="737">
        <f t="shared" si="20"/>
        <v>14</v>
      </c>
      <c r="AI17" s="738" t="str">
        <f t="shared" si="20"/>
        <v>هزینه های بیمه</v>
      </c>
      <c r="AJ17" s="748">
        <f t="shared" si="6"/>
        <v>0</v>
      </c>
      <c r="AK17" s="748">
        <f t="shared" si="7"/>
        <v>0</v>
      </c>
      <c r="AL17" s="748">
        <f t="shared" si="8"/>
        <v>0</v>
      </c>
      <c r="AM17" s="748">
        <f t="shared" si="9"/>
        <v>0</v>
      </c>
      <c r="AN17" s="748">
        <f t="shared" si="10"/>
        <v>0</v>
      </c>
      <c r="AO17" s="748">
        <f t="shared" si="11"/>
        <v>0</v>
      </c>
      <c r="AP17" s="748">
        <f t="shared" si="12"/>
        <v>0</v>
      </c>
      <c r="AQ17" s="748">
        <f t="shared" si="13"/>
        <v>0</v>
      </c>
      <c r="AR17" s="748">
        <f t="shared" si="14"/>
        <v>0</v>
      </c>
      <c r="AS17" s="748">
        <f t="shared" si="15"/>
        <v>0</v>
      </c>
      <c r="AT17" s="749">
        <f t="shared" si="16"/>
        <v>0</v>
      </c>
      <c r="AU17" s="739"/>
      <c r="AV17" s="739"/>
      <c r="AW17" s="739"/>
      <c r="AX17" s="739"/>
      <c r="AY17" s="739"/>
      <c r="AZ17" s="739"/>
      <c r="BA17" s="739"/>
      <c r="BB17" s="739"/>
      <c r="BC17" s="739"/>
      <c r="BD17" s="739"/>
      <c r="BE17" s="739"/>
      <c r="BF17" s="739"/>
      <c r="BG17" s="739"/>
      <c r="BH17" s="739"/>
      <c r="BI17" s="739"/>
      <c r="BJ17" s="739"/>
      <c r="BK17" s="739"/>
      <c r="BL17" s="739"/>
      <c r="BM17" s="739"/>
      <c r="BN17" s="739"/>
      <c r="BO17" s="739"/>
      <c r="BP17" s="739"/>
    </row>
    <row r="18" spans="1:68" s="744" customFormat="1" ht="30.75" customHeight="1" thickBot="1">
      <c r="A18" s="1064" t="s">
        <v>14</v>
      </c>
      <c r="B18" s="1065"/>
      <c r="C18" s="741"/>
      <c r="D18" s="723">
        <f>SUM(D4:D17)</f>
        <v>282642182.44235229</v>
      </c>
      <c r="E18" s="742"/>
      <c r="F18" s="723">
        <f>SUM(F4:F17)</f>
        <v>12267513.798</v>
      </c>
      <c r="G18" s="724">
        <f>SUM(G4:G17)</f>
        <v>294909696.24035227</v>
      </c>
      <c r="H18" s="1068" t="s">
        <v>8</v>
      </c>
      <c r="I18" s="1069"/>
      <c r="J18" s="723">
        <f>SUM(J4:J17)</f>
        <v>512142436.06270456</v>
      </c>
      <c r="K18" s="723">
        <f t="shared" ref="K18:S18" si="21">SUM(K4:K17)</f>
        <v>512142436.06270456</v>
      </c>
      <c r="L18" s="723">
        <f t="shared" si="21"/>
        <v>512142436.06270456</v>
      </c>
      <c r="M18" s="723">
        <f t="shared" si="21"/>
        <v>512142436.06270456</v>
      </c>
      <c r="N18" s="723">
        <f t="shared" si="21"/>
        <v>512142436.06270456</v>
      </c>
      <c r="O18" s="723">
        <f t="shared" si="21"/>
        <v>51251928.821999997</v>
      </c>
      <c r="P18" s="723">
        <f t="shared" si="21"/>
        <v>51251928.821999997</v>
      </c>
      <c r="Q18" s="723">
        <f t="shared" si="21"/>
        <v>51251928.821999997</v>
      </c>
      <c r="R18" s="723">
        <f t="shared" si="21"/>
        <v>51251928.821999997</v>
      </c>
      <c r="S18" s="723">
        <f t="shared" si="21"/>
        <v>51251928.821999997</v>
      </c>
      <c r="T18" s="724">
        <f>SUM(T4:T17)</f>
        <v>50202078.821999997</v>
      </c>
      <c r="U18" s="1068" t="str">
        <f>H18</f>
        <v>جمع</v>
      </c>
      <c r="V18" s="1069"/>
      <c r="W18" s="723">
        <f>SUM(W4:W17)</f>
        <v>12267513.798</v>
      </c>
      <c r="X18" s="723">
        <f t="shared" ref="X18:AF18" si="22">SUM(X4:X17)</f>
        <v>12267513.798</v>
      </c>
      <c r="Y18" s="723">
        <f t="shared" si="22"/>
        <v>12267513.798</v>
      </c>
      <c r="Z18" s="723">
        <f t="shared" si="22"/>
        <v>12267513.798</v>
      </c>
      <c r="AA18" s="723">
        <f>SUM(AA4:AA17)</f>
        <v>12267513.798</v>
      </c>
      <c r="AB18" s="723">
        <f t="shared" si="22"/>
        <v>12267513.798</v>
      </c>
      <c r="AC18" s="723">
        <f t="shared" si="22"/>
        <v>12267513.798</v>
      </c>
      <c r="AD18" s="723">
        <f t="shared" si="22"/>
        <v>12267513.798</v>
      </c>
      <c r="AE18" s="723">
        <f t="shared" si="22"/>
        <v>12267513.798</v>
      </c>
      <c r="AF18" s="723">
        <f t="shared" si="22"/>
        <v>12267513.798</v>
      </c>
      <c r="AG18" s="724">
        <f>SUM(AG4:AG17)</f>
        <v>12267513.798</v>
      </c>
      <c r="AH18" s="1068" t="s">
        <v>8</v>
      </c>
      <c r="AI18" s="1069"/>
      <c r="AJ18" s="723">
        <f>SUM(AJ4:AJ17)</f>
        <v>524409949.86070454</v>
      </c>
      <c r="AK18" s="723">
        <f>SUM(AK4:AK17)</f>
        <v>524409949.86070454</v>
      </c>
      <c r="AL18" s="723">
        <f t="shared" ref="AL18:AT18" si="23">SUM(AL4:AL17)</f>
        <v>524409949.86070454</v>
      </c>
      <c r="AM18" s="723">
        <f t="shared" si="23"/>
        <v>524409949.86070454</v>
      </c>
      <c r="AN18" s="723">
        <f>SUM(AN4:AN17)</f>
        <v>524409949.86070454</v>
      </c>
      <c r="AO18" s="723">
        <f t="shared" si="23"/>
        <v>63519442.619999997</v>
      </c>
      <c r="AP18" s="723">
        <f t="shared" si="23"/>
        <v>63519442.619999997</v>
      </c>
      <c r="AQ18" s="723">
        <f t="shared" si="23"/>
        <v>63519442.619999997</v>
      </c>
      <c r="AR18" s="723">
        <f t="shared" si="23"/>
        <v>63519442.619999997</v>
      </c>
      <c r="AS18" s="723">
        <f t="shared" si="23"/>
        <v>63519442.619999997</v>
      </c>
      <c r="AT18" s="724">
        <f t="shared" si="23"/>
        <v>62469592.619999997</v>
      </c>
      <c r="AU18" s="743"/>
      <c r="AV18" s="743"/>
      <c r="AW18" s="743"/>
      <c r="AX18" s="743"/>
      <c r="AY18" s="743"/>
      <c r="AZ18" s="743"/>
      <c r="BA18" s="743"/>
      <c r="BB18" s="743"/>
      <c r="BC18" s="743"/>
      <c r="BD18" s="743"/>
      <c r="BE18" s="743"/>
      <c r="BF18" s="743"/>
      <c r="BG18" s="743"/>
      <c r="BH18" s="743"/>
      <c r="BI18" s="743"/>
      <c r="BJ18" s="743"/>
      <c r="BK18" s="743"/>
      <c r="BL18" s="743"/>
      <c r="BM18" s="743"/>
      <c r="BN18" s="743"/>
      <c r="BO18" s="743"/>
      <c r="BP18" s="743"/>
    </row>
    <row r="19" spans="1:68">
      <c r="D19" s="745"/>
      <c r="E19" s="745"/>
      <c r="F19" s="745"/>
      <c r="G19" s="745"/>
    </row>
    <row r="20" spans="1:68">
      <c r="G20" s="745"/>
    </row>
  </sheetData>
  <mergeCells count="52">
    <mergeCell ref="AH2:AH3"/>
    <mergeCell ref="AH18:AI18"/>
    <mergeCell ref="H18:I18"/>
    <mergeCell ref="N2:N3"/>
    <mergeCell ref="O2:O3"/>
    <mergeCell ref="P2:P3"/>
    <mergeCell ref="I2:I3"/>
    <mergeCell ref="AB2:AB3"/>
    <mergeCell ref="AC2:AC3"/>
    <mergeCell ref="L2:L3"/>
    <mergeCell ref="W2:W3"/>
    <mergeCell ref="X2:X3"/>
    <mergeCell ref="V2:V3"/>
    <mergeCell ref="AE2:AE3"/>
    <mergeCell ref="AF2:AF3"/>
    <mergeCell ref="AG2:AG3"/>
    <mergeCell ref="A1:G1"/>
    <mergeCell ref="A2:A3"/>
    <mergeCell ref="B2:B3"/>
    <mergeCell ref="C2:D2"/>
    <mergeCell ref="E2:F2"/>
    <mergeCell ref="G2:G3"/>
    <mergeCell ref="A18:B18"/>
    <mergeCell ref="H2:H3"/>
    <mergeCell ref="U2:U3"/>
    <mergeCell ref="U18:V18"/>
    <mergeCell ref="AD2:AD3"/>
    <mergeCell ref="I1:T1"/>
    <mergeCell ref="V1:AG1"/>
    <mergeCell ref="Q2:Q3"/>
    <mergeCell ref="R2:R3"/>
    <mergeCell ref="S2:S3"/>
    <mergeCell ref="T2:T3"/>
    <mergeCell ref="M2:M3"/>
    <mergeCell ref="Y2:Y3"/>
    <mergeCell ref="Z2:Z3"/>
    <mergeCell ref="AA2:AA3"/>
    <mergeCell ref="J2:J3"/>
    <mergeCell ref="K2:K3"/>
    <mergeCell ref="AI1:AT1"/>
    <mergeCell ref="AQ2:AQ3"/>
    <mergeCell ref="AR2:AR3"/>
    <mergeCell ref="AS2:AS3"/>
    <mergeCell ref="AT2:AT3"/>
    <mergeCell ref="AM2:AM3"/>
    <mergeCell ref="AN2:AN3"/>
    <mergeCell ref="AO2:AO3"/>
    <mergeCell ref="AP2:AP3"/>
    <mergeCell ref="AJ2:AJ3"/>
    <mergeCell ref="AK2:AK3"/>
    <mergeCell ref="AL2:AL3"/>
    <mergeCell ref="AI2:AI3"/>
  </mergeCells>
  <phoneticPr fontId="0" type="noConversion"/>
  <printOptions horizontalCentered="1"/>
  <pageMargins left="0" right="0.39370078740157483" top="1.3779527559055118" bottom="0.39370078740157483" header="0" footer="0"/>
  <pageSetup paperSize="9" scale="57" orientation="landscape" r:id="rId1"/>
  <headerFooter alignWithMargins="0"/>
  <colBreaks count="4" manualBreakCount="4">
    <brk id="7" max="17" man="1"/>
    <brk id="20" max="17" man="1"/>
    <brk id="33" max="17" man="1"/>
    <brk id="46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6"/>
  <dimension ref="A1:E17"/>
  <sheetViews>
    <sheetView rightToLeft="1" view="pageBreakPreview" zoomScaleNormal="100" workbookViewId="0">
      <selection activeCell="B20" sqref="B20"/>
    </sheetView>
  </sheetViews>
  <sheetFormatPr defaultColWidth="9.109375" defaultRowHeight="17.399999999999999"/>
  <cols>
    <col min="1" max="1" width="41.109375" style="267" customWidth="1"/>
    <col min="2" max="2" width="16.33203125" style="267" bestFit="1" customWidth="1"/>
    <col min="3" max="4" width="17.88671875" style="267" bestFit="1" customWidth="1"/>
    <col min="5" max="5" width="7.5546875" style="267" bestFit="1" customWidth="1"/>
    <col min="6" max="16384" width="9.109375" style="267"/>
  </cols>
  <sheetData>
    <row r="1" spans="1:5" ht="18" thickBot="1"/>
    <row r="2" spans="1:5" ht="27" customHeight="1">
      <c r="A2" s="332" t="s">
        <v>422</v>
      </c>
      <c r="B2" s="333" t="s">
        <v>101</v>
      </c>
      <c r="C2" s="334" t="s">
        <v>26</v>
      </c>
      <c r="D2" s="334" t="s">
        <v>423</v>
      </c>
      <c r="E2" s="335" t="s">
        <v>24</v>
      </c>
    </row>
    <row r="3" spans="1:5">
      <c r="A3" s="336" t="s">
        <v>424</v>
      </c>
      <c r="B3" s="751">
        <f>'سرمايه‌‌گذاري طرح'!D13</f>
        <v>72880000</v>
      </c>
      <c r="C3" s="751">
        <f>'سرمايه‌‌گذاري طرح'!E13</f>
        <v>122965000</v>
      </c>
      <c r="D3" s="751">
        <f>'سرمايه‌‌گذاري طرح'!F13</f>
        <v>195845000</v>
      </c>
      <c r="E3" s="750">
        <f>D3/$D$9</f>
        <v>0.13249847284358224</v>
      </c>
    </row>
    <row r="4" spans="1:5">
      <c r="A4" s="336" t="s">
        <v>425</v>
      </c>
      <c r="B4" s="751">
        <f>'سرمايه‌‌گذاري طرح'!D14</f>
        <v>0</v>
      </c>
      <c r="C4" s="751">
        <f>'سرمايه‌‌گذاري طرح'!E14</f>
        <v>1275001409.0019569</v>
      </c>
      <c r="D4" s="751">
        <f>'سرمايه‌‌گذاري طرح'!F14</f>
        <v>1275001409.0019569</v>
      </c>
      <c r="E4" s="750">
        <f t="shared" ref="E4:E9" si="0">D4/$D$9</f>
        <v>0.86259919613048519</v>
      </c>
    </row>
    <row r="5" spans="1:5">
      <c r="A5" s="336" t="s">
        <v>426</v>
      </c>
      <c r="B5" s="751">
        <f>B4+B3</f>
        <v>72880000</v>
      </c>
      <c r="C5" s="751">
        <f>C4+C3</f>
        <v>1397966409.0019569</v>
      </c>
      <c r="D5" s="751">
        <f>D4+D3</f>
        <v>1470846409.0019569</v>
      </c>
      <c r="E5" s="750">
        <f t="shared" si="0"/>
        <v>0.99509766897406737</v>
      </c>
    </row>
    <row r="6" spans="1:5">
      <c r="A6" s="336" t="s">
        <v>427</v>
      </c>
      <c r="B6" s="751">
        <f>'سرمايه‌‌گذاري طرح'!D16</f>
        <v>0</v>
      </c>
      <c r="C6" s="751">
        <f>'سرمايه‌‌گذاري طرح'!E16</f>
        <v>7246098.7599999998</v>
      </c>
      <c r="D6" s="751">
        <f>'سرمايه‌‌گذاري طرح'!F16</f>
        <v>7246098.7599999998</v>
      </c>
      <c r="E6" s="750">
        <f t="shared" si="0"/>
        <v>4.9023310259326243E-3</v>
      </c>
    </row>
    <row r="7" spans="1:5">
      <c r="A7" s="336" t="s">
        <v>428</v>
      </c>
      <c r="B7" s="751">
        <f>B6+B5</f>
        <v>72880000</v>
      </c>
      <c r="C7" s="751">
        <f>C6+C5</f>
        <v>1405212507.7619569</v>
      </c>
      <c r="D7" s="751">
        <f>D6+D5</f>
        <v>1478092507.7619569</v>
      </c>
      <c r="E7" s="750">
        <f t="shared" si="0"/>
        <v>1</v>
      </c>
    </row>
    <row r="8" spans="1:5">
      <c r="A8" s="336" t="s">
        <v>429</v>
      </c>
      <c r="B8" s="751">
        <v>0</v>
      </c>
      <c r="C8" s="751">
        <v>0</v>
      </c>
      <c r="D8" s="751">
        <v>0</v>
      </c>
      <c r="E8" s="750">
        <f t="shared" si="0"/>
        <v>0</v>
      </c>
    </row>
    <row r="9" spans="1:5">
      <c r="A9" s="338" t="s">
        <v>68</v>
      </c>
      <c r="B9" s="752">
        <f>B8+B7</f>
        <v>72880000</v>
      </c>
      <c r="C9" s="752">
        <f>C8+C7</f>
        <v>1405212507.7619569</v>
      </c>
      <c r="D9" s="752">
        <f>D8+D7</f>
        <v>1478092507.7619569</v>
      </c>
      <c r="E9" s="750">
        <f t="shared" si="0"/>
        <v>1</v>
      </c>
    </row>
    <row r="10" spans="1:5" ht="31.5" customHeight="1">
      <c r="A10" s="337" t="s">
        <v>430</v>
      </c>
      <c r="B10" s="751"/>
      <c r="C10" s="751"/>
      <c r="D10" s="751"/>
      <c r="E10" s="750"/>
    </row>
    <row r="11" spans="1:5">
      <c r="A11" s="336" t="s">
        <v>436</v>
      </c>
      <c r="B11" s="751">
        <f>'خلاصه گزارش'!C9</f>
        <v>10000000</v>
      </c>
      <c r="C11" s="753">
        <v>0</v>
      </c>
      <c r="D11" s="751">
        <f t="shared" ref="D11:D16" si="1">C11+B11</f>
        <v>10000000</v>
      </c>
      <c r="E11" s="750">
        <f>D11/$D$17</f>
        <v>6.7654764146943868E-3</v>
      </c>
    </row>
    <row r="12" spans="1:5">
      <c r="A12" s="336" t="s">
        <v>431</v>
      </c>
      <c r="B12" s="751">
        <f>B17-B11-B13-B14+B15-B16</f>
        <v>62880000</v>
      </c>
      <c r="C12" s="751">
        <f>C17-C11-C13-C14+C15-C16</f>
        <v>1403867244.7889817</v>
      </c>
      <c r="D12" s="751">
        <f t="shared" si="1"/>
        <v>1466747244.7889817</v>
      </c>
      <c r="E12" s="750">
        <f t="shared" ref="E12:E17" si="2">D12/$D$17</f>
        <v>0.99232438909378307</v>
      </c>
    </row>
    <row r="13" spans="1:5">
      <c r="A13" s="336" t="s">
        <v>434</v>
      </c>
      <c r="B13" s="751">
        <v>0</v>
      </c>
      <c r="C13" s="751">
        <f>'منابع تامين سرمايه گذاري'!E18</f>
        <v>0</v>
      </c>
      <c r="D13" s="751">
        <f t="shared" si="1"/>
        <v>0</v>
      </c>
      <c r="E13" s="750">
        <f t="shared" si="2"/>
        <v>0</v>
      </c>
    </row>
    <row r="14" spans="1:5">
      <c r="A14" s="336" t="s">
        <v>435</v>
      </c>
      <c r="B14" s="751">
        <v>0</v>
      </c>
      <c r="C14" s="751">
        <f>'منابع تامين سرمايه گذاري'!E41</f>
        <v>1345262.9729751665</v>
      </c>
      <c r="D14" s="751">
        <f t="shared" si="1"/>
        <v>1345262.9729751665</v>
      </c>
      <c r="E14" s="750">
        <f t="shared" si="2"/>
        <v>9.1013449152251415E-4</v>
      </c>
    </row>
    <row r="15" spans="1:5">
      <c r="A15" s="336" t="s">
        <v>432</v>
      </c>
      <c r="B15" s="751">
        <v>0</v>
      </c>
      <c r="C15" s="751">
        <v>0</v>
      </c>
      <c r="D15" s="751">
        <f t="shared" si="1"/>
        <v>0</v>
      </c>
      <c r="E15" s="750">
        <f t="shared" si="2"/>
        <v>0</v>
      </c>
    </row>
    <row r="16" spans="1:5">
      <c r="A16" s="336" t="s">
        <v>433</v>
      </c>
      <c r="B16" s="751">
        <v>0</v>
      </c>
      <c r="C16" s="751">
        <v>0</v>
      </c>
      <c r="D16" s="751">
        <f t="shared" si="1"/>
        <v>0</v>
      </c>
      <c r="E16" s="750">
        <f t="shared" si="2"/>
        <v>0</v>
      </c>
    </row>
    <row r="17" spans="1:5" ht="18" thickBot="1">
      <c r="A17" s="339" t="s">
        <v>8</v>
      </c>
      <c r="B17" s="754">
        <f>B9</f>
        <v>72880000</v>
      </c>
      <c r="C17" s="754">
        <f>C9</f>
        <v>1405212507.7619569</v>
      </c>
      <c r="D17" s="754">
        <f>D9</f>
        <v>1478092507.7619569</v>
      </c>
      <c r="E17" s="750">
        <f t="shared" si="2"/>
        <v>1</v>
      </c>
    </row>
  </sheetData>
  <phoneticPr fontId="5" type="noConversion"/>
  <printOptions horizontalCentered="1"/>
  <pageMargins left="0.94488188976377963" right="0.74803149606299213" top="1.3779527559055118" bottom="0.78740157480314965" header="0.51181102362204722" footer="0.51181102362204722"/>
  <pageSetup paperSize="9" scale="8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9">
    <tabColor indexed="53"/>
  </sheetPr>
  <dimension ref="A1:N54"/>
  <sheetViews>
    <sheetView rightToLeft="1" view="pageBreakPreview" topLeftCell="A16" zoomScaleNormal="85" workbookViewId="0">
      <selection activeCell="E22" sqref="E22"/>
    </sheetView>
  </sheetViews>
  <sheetFormatPr defaultColWidth="9.109375" defaultRowHeight="15"/>
  <cols>
    <col min="1" max="1" width="15.6640625" style="541" bestFit="1" customWidth="1"/>
    <col min="2" max="2" width="29.6640625" style="541" bestFit="1" customWidth="1"/>
    <col min="3" max="3" width="9.88671875" style="541" customWidth="1"/>
    <col min="4" max="4" width="11.6640625" style="541" bestFit="1" customWidth="1"/>
    <col min="5" max="5" width="11.88671875" style="541" bestFit="1" customWidth="1"/>
    <col min="6" max="9" width="11.6640625" style="541" bestFit="1" customWidth="1"/>
    <col min="10" max="13" width="11.5546875" style="541" bestFit="1" customWidth="1"/>
    <col min="14" max="14" width="11.44140625" style="541" bestFit="1" customWidth="1"/>
    <col min="15" max="16384" width="9.109375" style="541"/>
  </cols>
  <sheetData>
    <row r="1" spans="1:14" ht="18.600000000000001">
      <c r="A1" s="540"/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</row>
    <row r="2" spans="1:14" ht="19.2" thickBot="1">
      <c r="A2" s="1093" t="s">
        <v>520</v>
      </c>
      <c r="B2" s="1093"/>
      <c r="C2" s="542"/>
      <c r="D2" s="542"/>
      <c r="E2" s="542"/>
      <c r="F2" s="543"/>
      <c r="G2" s="1090"/>
      <c r="H2" s="1090"/>
      <c r="I2" s="542"/>
      <c r="J2" s="542"/>
      <c r="K2" s="540"/>
      <c r="L2" s="1090" t="s">
        <v>519</v>
      </c>
      <c r="M2" s="1090"/>
    </row>
    <row r="3" spans="1:14" ht="18.600000000000001">
      <c r="A3" s="1084" t="s">
        <v>336</v>
      </c>
      <c r="B3" s="1085"/>
      <c r="C3" s="1085" t="s">
        <v>516</v>
      </c>
      <c r="D3" s="1094" t="s">
        <v>337</v>
      </c>
      <c r="E3" s="1094"/>
      <c r="F3" s="1094"/>
      <c r="G3" s="1094"/>
      <c r="H3" s="1094"/>
      <c r="I3" s="1094"/>
      <c r="J3" s="1094"/>
      <c r="K3" s="1094"/>
      <c r="L3" s="1094"/>
      <c r="M3" s="1094"/>
      <c r="N3" s="1095"/>
    </row>
    <row r="4" spans="1:14" ht="18.600000000000001">
      <c r="A4" s="1086"/>
      <c r="B4" s="1087"/>
      <c r="C4" s="1087"/>
      <c r="D4" s="567" t="str">
        <f>'پيش بيني عملكرد سود و زيان'!C2</f>
        <v>سال بهره برداری</v>
      </c>
      <c r="E4" s="567" t="str">
        <f>'پيش بيني عملكرد سود و زيان'!D2</f>
        <v xml:space="preserve">سال اول </v>
      </c>
      <c r="F4" s="567" t="str">
        <f>'پيش بيني عملكرد سود و زيان'!E2</f>
        <v>سال دوم</v>
      </c>
      <c r="G4" s="567" t="str">
        <f>'پيش بيني عملكرد سود و زيان'!F2</f>
        <v>سال سوم</v>
      </c>
      <c r="H4" s="567" t="str">
        <f>'پيش بيني عملكرد سود و زيان'!G2</f>
        <v>سال چهارم</v>
      </c>
      <c r="I4" s="567" t="str">
        <f>'پيش بيني عملكرد سود و زيان'!H2</f>
        <v>سال پنجم</v>
      </c>
      <c r="J4" s="567" t="str">
        <f>'پيش بيني عملكرد سود و زيان'!I2</f>
        <v>سال ششم</v>
      </c>
      <c r="K4" s="567" t="str">
        <f>'پيش بيني عملكرد سود و زيان'!J2</f>
        <v>سال هفتم</v>
      </c>
      <c r="L4" s="567" t="str">
        <f>'پيش بيني عملكرد سود و زيان'!K2</f>
        <v>سال هشتم</v>
      </c>
      <c r="M4" s="567" t="str">
        <f>'پيش بيني عملكرد سود و زيان'!L2</f>
        <v>سال نهم</v>
      </c>
      <c r="N4" s="575" t="str">
        <f>'پيش بيني عملكرد سود و زيان'!M2</f>
        <v>سال دهم</v>
      </c>
    </row>
    <row r="5" spans="1:14" ht="18.600000000000001">
      <c r="A5" s="1096" t="s">
        <v>521</v>
      </c>
      <c r="B5" s="1097"/>
      <c r="C5" s="1097"/>
      <c r="D5" s="1097"/>
      <c r="E5" s="1097"/>
      <c r="F5" s="1097"/>
      <c r="G5" s="1097"/>
      <c r="H5" s="1097"/>
      <c r="I5" s="1097"/>
      <c r="J5" s="1097"/>
      <c r="K5" s="1097"/>
      <c r="L5" s="1097"/>
      <c r="M5" s="1097"/>
      <c r="N5" s="1098"/>
    </row>
    <row r="6" spans="1:14" ht="18.600000000000001">
      <c r="A6" s="1099" t="s">
        <v>510</v>
      </c>
      <c r="B6" s="539" t="s">
        <v>524</v>
      </c>
      <c r="C6" s="544"/>
      <c r="D6" s="545">
        <f>'پيش بيني عملكرد سود و زيان'!C28</f>
        <v>-224409949.86070454</v>
      </c>
      <c r="E6" s="545">
        <f>'پيش بيني عملكرد سود و زيان'!D28</f>
        <v>-74409949.860704541</v>
      </c>
      <c r="F6" s="545">
        <f>'پيش بيني عملكرد سود و زيان'!E28</f>
        <v>75590050.139295459</v>
      </c>
      <c r="G6" s="545">
        <f>'پيش بيني عملكرد سود و زيان'!F28</f>
        <v>325590050.13929546</v>
      </c>
      <c r="H6" s="545">
        <f>'پيش بيني عملكرد سود و زيان'!G28</f>
        <v>-524409937.86070454</v>
      </c>
      <c r="I6" s="545">
        <f>'پيش بيني عملكرد سود و زيان'!H28</f>
        <v>-63519430.620000005</v>
      </c>
      <c r="J6" s="545">
        <f>'پيش بيني عملكرد سود و زيان'!I28</f>
        <v>-63519430.620000005</v>
      </c>
      <c r="K6" s="545">
        <f>'پيش بيني عملكرد سود و زيان'!J28</f>
        <v>-63519430.620000005</v>
      </c>
      <c r="L6" s="545">
        <f>'پيش بيني عملكرد سود و زيان'!K28</f>
        <v>-63519430.620000005</v>
      </c>
      <c r="M6" s="545">
        <f>'پيش بيني عملكرد سود و زيان'!L28</f>
        <v>-63519430.620000005</v>
      </c>
      <c r="N6" s="546">
        <f>'پيش بيني عملكرد سود و زيان'!M28</f>
        <v>-62469580.620000005</v>
      </c>
    </row>
    <row r="7" spans="1:14" ht="18.600000000000001">
      <c r="A7" s="1099"/>
      <c r="B7" s="539" t="s">
        <v>500</v>
      </c>
      <c r="C7" s="544"/>
      <c r="D7" s="545">
        <f>'پيش بيني عملكرد سود و زيان'!C11</f>
        <v>237606103.62035227</v>
      </c>
      <c r="E7" s="545">
        <f>'پيش بيني عملكرد سود و زيان'!D11</f>
        <v>237606103.62035227</v>
      </c>
      <c r="F7" s="545">
        <f>'پيش بيني عملكرد سود و زيان'!E11</f>
        <v>237606103.62035227</v>
      </c>
      <c r="G7" s="545">
        <f>'پيش بيني عملكرد سود و زيان'!F11</f>
        <v>237606103.62035227</v>
      </c>
      <c r="H7" s="545">
        <f>'پيش بيني عملكرد سود و زيان'!G11</f>
        <v>237606103.62035227</v>
      </c>
      <c r="I7" s="545">
        <f>'پيش بيني عملكرد سود و زيان'!H11</f>
        <v>6215850.0000000009</v>
      </c>
      <c r="J7" s="545">
        <f>'پيش بيني عملكرد سود و زيان'!I11</f>
        <v>6215850.0000000009</v>
      </c>
      <c r="K7" s="545">
        <f>'پيش بيني عملكرد سود و زيان'!J11</f>
        <v>6215850.0000000009</v>
      </c>
      <c r="L7" s="545">
        <f>'پيش بيني عملكرد سود و زيان'!K11</f>
        <v>6215850.0000000009</v>
      </c>
      <c r="M7" s="545">
        <f>'پيش بيني عملكرد سود و زيان'!L11</f>
        <v>6215850.0000000009</v>
      </c>
      <c r="N7" s="546">
        <f>'پيش بيني عملكرد سود و زيان'!M11</f>
        <v>5166000.0000000009</v>
      </c>
    </row>
    <row r="8" spans="1:14" ht="18.600000000000001">
      <c r="A8" s="1099"/>
      <c r="B8" s="539" t="s">
        <v>523</v>
      </c>
      <c r="C8" s="544"/>
      <c r="D8" s="545">
        <f>'پيش بيني عملكرد سود و زيان'!C21</f>
        <v>229500253.62035227</v>
      </c>
      <c r="E8" s="545">
        <f>'پيش بيني عملكرد سود و زيان'!D21</f>
        <v>229500253.62035227</v>
      </c>
      <c r="F8" s="545">
        <f>'پيش بيني عملكرد سود و زيان'!E21</f>
        <v>229500253.62035227</v>
      </c>
      <c r="G8" s="545">
        <f>'پيش بيني عملكرد سود و زيان'!F21</f>
        <v>229500253.62035227</v>
      </c>
      <c r="H8" s="545">
        <f>'پيش بيني عملكرد سود و زيان'!G21</f>
        <v>229500253.62035227</v>
      </c>
      <c r="I8" s="545">
        <f>'پيش بيني عملكرد سود و زيان'!H21</f>
        <v>0</v>
      </c>
      <c r="J8" s="545">
        <f>'پيش بيني عملكرد سود و زيان'!I21</f>
        <v>0</v>
      </c>
      <c r="K8" s="545">
        <f>'پيش بيني عملكرد سود و زيان'!J21</f>
        <v>0</v>
      </c>
      <c r="L8" s="545">
        <f>'پيش بيني عملكرد سود و زيان'!K21</f>
        <v>0</v>
      </c>
      <c r="M8" s="545">
        <f>'پيش بيني عملكرد سود و زيان'!L21</f>
        <v>0</v>
      </c>
      <c r="N8" s="546">
        <f>'پيش بيني عملكرد سود و زيان'!M21</f>
        <v>0</v>
      </c>
    </row>
    <row r="9" spans="1:14" ht="18.600000000000001">
      <c r="A9" s="1078" t="s">
        <v>501</v>
      </c>
      <c r="B9" s="1079"/>
      <c r="C9" s="568">
        <v>0</v>
      </c>
      <c r="D9" s="568">
        <f>SUM(D6:D8)</f>
        <v>242696407.38</v>
      </c>
      <c r="E9" s="568">
        <f t="shared" ref="E9:N9" si="0">SUM(E6:E8)</f>
        <v>392696407.38</v>
      </c>
      <c r="F9" s="568">
        <f t="shared" si="0"/>
        <v>542696407.38</v>
      </c>
      <c r="G9" s="568">
        <f t="shared" si="0"/>
        <v>792696407.38</v>
      </c>
      <c r="H9" s="568">
        <f t="shared" si="0"/>
        <v>-57303580.620000005</v>
      </c>
      <c r="I9" s="568">
        <f t="shared" si="0"/>
        <v>-57303580.620000005</v>
      </c>
      <c r="J9" s="568">
        <f t="shared" si="0"/>
        <v>-57303580.620000005</v>
      </c>
      <c r="K9" s="568">
        <f t="shared" si="0"/>
        <v>-57303580.620000005</v>
      </c>
      <c r="L9" s="568">
        <f t="shared" si="0"/>
        <v>-57303580.620000005</v>
      </c>
      <c r="M9" s="568">
        <f t="shared" si="0"/>
        <v>-57303580.620000005</v>
      </c>
      <c r="N9" s="576">
        <f t="shared" si="0"/>
        <v>-57303580.620000005</v>
      </c>
    </row>
    <row r="10" spans="1:14" ht="18.600000000000001">
      <c r="A10" s="1099" t="s">
        <v>0</v>
      </c>
      <c r="B10" s="539" t="s">
        <v>359</v>
      </c>
      <c r="C10" s="545">
        <f>'منابع و مصارف'!B11</f>
        <v>10000000</v>
      </c>
      <c r="D10" s="545">
        <v>0</v>
      </c>
      <c r="E10" s="545">
        <v>0</v>
      </c>
      <c r="F10" s="545">
        <v>0</v>
      </c>
      <c r="G10" s="545">
        <v>0</v>
      </c>
      <c r="H10" s="545">
        <v>0</v>
      </c>
      <c r="I10" s="545">
        <v>0</v>
      </c>
      <c r="J10" s="545">
        <v>0</v>
      </c>
      <c r="K10" s="545">
        <v>0</v>
      </c>
      <c r="L10" s="545">
        <v>0</v>
      </c>
      <c r="M10" s="545">
        <v>0</v>
      </c>
      <c r="N10" s="546">
        <v>0</v>
      </c>
    </row>
    <row r="11" spans="1:14" ht="18.600000000000001">
      <c r="A11" s="1099"/>
      <c r="B11" s="539" t="s">
        <v>502</v>
      </c>
      <c r="C11" s="545">
        <f>IF(('جریان نقدینگی'!B5-C10-'منابع و مصارف'!C11)&lt;0,'منابع و مصارف'!C11+('جریان نقدینگی'!B5-C10-'منابع و مصارف'!C11),'منابع و مصارف'!C11)</f>
        <v>0</v>
      </c>
      <c r="D11" s="545">
        <v>0</v>
      </c>
      <c r="E11" s="545"/>
      <c r="F11" s="545"/>
      <c r="G11" s="545"/>
      <c r="H11" s="545"/>
      <c r="I11" s="545"/>
      <c r="J11" s="545"/>
      <c r="K11" s="545"/>
      <c r="L11" s="545"/>
      <c r="M11" s="545"/>
      <c r="N11" s="577"/>
    </row>
    <row r="12" spans="1:14" ht="18.600000000000001">
      <c r="A12" s="1099"/>
      <c r="B12" s="539" t="s">
        <v>503</v>
      </c>
      <c r="C12" s="545"/>
      <c r="D12" s="545">
        <v>0</v>
      </c>
      <c r="E12" s="545">
        <v>0</v>
      </c>
      <c r="F12" s="545">
        <v>0</v>
      </c>
      <c r="G12" s="545">
        <v>0</v>
      </c>
      <c r="H12" s="545">
        <v>0</v>
      </c>
      <c r="I12" s="545">
        <v>0</v>
      </c>
      <c r="J12" s="545">
        <v>0</v>
      </c>
      <c r="K12" s="545">
        <v>0</v>
      </c>
      <c r="L12" s="545">
        <v>0</v>
      </c>
      <c r="M12" s="545">
        <v>0</v>
      </c>
      <c r="N12" s="546">
        <v>0</v>
      </c>
    </row>
    <row r="13" spans="1:14" ht="18.600000000000001">
      <c r="A13" s="1099"/>
      <c r="B13" s="539" t="s">
        <v>1</v>
      </c>
      <c r="C13" s="545">
        <f>IF('جریان نقدینگی'!B5-C10-'منابع و مصارف'!C11&lt;0,0,'جریان نقدینگی'!B5-C10-'منابع و مصارف'!C11)</f>
        <v>1460846409.0019569</v>
      </c>
      <c r="D13" s="545">
        <f>'جریان نقدینگی'!C5</f>
        <v>5900835.7870248342</v>
      </c>
      <c r="E13" s="545">
        <f>'جریان نقدینگی'!D5</f>
        <v>0</v>
      </c>
      <c r="F13" s="545">
        <f>'جریان نقدینگی'!E5</f>
        <v>0</v>
      </c>
      <c r="G13" s="545">
        <f>'جریان نقدینگی'!F5</f>
        <v>0</v>
      </c>
      <c r="H13" s="545">
        <f>'جریان نقدینگی'!G5</f>
        <v>0</v>
      </c>
      <c r="I13" s="545">
        <f>'جریان نقدینگی'!H5</f>
        <v>0</v>
      </c>
      <c r="J13" s="545">
        <f>'جریان نقدینگی'!I5</f>
        <v>0</v>
      </c>
      <c r="K13" s="545">
        <f>'جریان نقدینگی'!J5</f>
        <v>0</v>
      </c>
      <c r="L13" s="545">
        <f>'جریان نقدینگی'!K5</f>
        <v>0</v>
      </c>
      <c r="M13" s="545">
        <f>'جریان نقدینگی'!L5</f>
        <v>0</v>
      </c>
      <c r="N13" s="546">
        <f>'جریان نقدینگی'!M5</f>
        <v>0</v>
      </c>
    </row>
    <row r="14" spans="1:14" ht="18.600000000000001">
      <c r="A14" s="1099"/>
      <c r="B14" s="539" t="s">
        <v>518</v>
      </c>
      <c r="C14" s="545">
        <v>0</v>
      </c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77"/>
    </row>
    <row r="15" spans="1:14" ht="18.600000000000001">
      <c r="A15" s="1099"/>
      <c r="B15" s="539" t="s">
        <v>517</v>
      </c>
      <c r="C15" s="545">
        <f>'جریان نقدینگی'!B6</f>
        <v>0</v>
      </c>
      <c r="D15" s="545">
        <f>'جریان نقدینگی'!C6</f>
        <v>0</v>
      </c>
      <c r="E15" s="545">
        <f>'جریان نقدینگی'!D6</f>
        <v>0</v>
      </c>
      <c r="F15" s="545">
        <f>'جریان نقدینگی'!E6</f>
        <v>0</v>
      </c>
      <c r="G15" s="545">
        <f>'جریان نقدینگی'!F6</f>
        <v>0</v>
      </c>
      <c r="H15" s="545">
        <f>'جریان نقدینگی'!G6</f>
        <v>0</v>
      </c>
      <c r="I15" s="545">
        <f>'جریان نقدینگی'!H6</f>
        <v>0</v>
      </c>
      <c r="J15" s="545">
        <f>'جریان نقدینگی'!I6</f>
        <v>0</v>
      </c>
      <c r="K15" s="545">
        <f>'جریان نقدینگی'!J6</f>
        <v>0</v>
      </c>
      <c r="L15" s="545">
        <f>'جریان نقدینگی'!K6</f>
        <v>0</v>
      </c>
      <c r="M15" s="545">
        <f>'جریان نقدینگی'!L6</f>
        <v>0</v>
      </c>
      <c r="N15" s="546">
        <f>'جریان نقدینگی'!M6</f>
        <v>0</v>
      </c>
    </row>
    <row r="16" spans="1:14" ht="18.600000000000001">
      <c r="A16" s="1099"/>
      <c r="B16" s="539" t="s">
        <v>504</v>
      </c>
      <c r="C16" s="545">
        <f>'جریان نقدینگی'!B7</f>
        <v>0</v>
      </c>
      <c r="D16" s="545">
        <f>'جریان نقدینگی'!C7</f>
        <v>1345262.9729751665</v>
      </c>
      <c r="E16" s="545">
        <f>'جریان نقدینگی'!D7</f>
        <v>0</v>
      </c>
      <c r="F16" s="545">
        <f>'جریان نقدینگی'!E7</f>
        <v>0</v>
      </c>
      <c r="G16" s="545">
        <f>'جریان نقدینگی'!F7</f>
        <v>0</v>
      </c>
      <c r="H16" s="545">
        <f>'جریان نقدینگی'!G7</f>
        <v>0</v>
      </c>
      <c r="I16" s="545">
        <f>'جریان نقدینگی'!H7</f>
        <v>0</v>
      </c>
      <c r="J16" s="545">
        <f>'جریان نقدینگی'!I7</f>
        <v>0</v>
      </c>
      <c r="K16" s="545">
        <f>'جریان نقدینگی'!J7</f>
        <v>0</v>
      </c>
      <c r="L16" s="545">
        <f>'جریان نقدینگی'!K7</f>
        <v>0</v>
      </c>
      <c r="M16" s="545">
        <f>'جریان نقدینگی'!L7</f>
        <v>0</v>
      </c>
      <c r="N16" s="546">
        <f>'جریان نقدینگی'!M7</f>
        <v>0</v>
      </c>
    </row>
    <row r="17" spans="1:14" ht="18.600000000000001">
      <c r="A17" s="1078" t="s">
        <v>505</v>
      </c>
      <c r="B17" s="1079"/>
      <c r="C17" s="568">
        <f>SUM(C10:C16)</f>
        <v>1470846409.0019569</v>
      </c>
      <c r="D17" s="568">
        <f t="shared" ref="D17:N17" si="1">SUM(D10:D16)</f>
        <v>7246098.7600000007</v>
      </c>
      <c r="E17" s="568">
        <f t="shared" si="1"/>
        <v>0</v>
      </c>
      <c r="F17" s="568">
        <f t="shared" si="1"/>
        <v>0</v>
      </c>
      <c r="G17" s="568">
        <f>SUM(G10:G16)</f>
        <v>0</v>
      </c>
      <c r="H17" s="568">
        <f t="shared" si="1"/>
        <v>0</v>
      </c>
      <c r="I17" s="568">
        <f t="shared" si="1"/>
        <v>0</v>
      </c>
      <c r="J17" s="568">
        <f t="shared" si="1"/>
        <v>0</v>
      </c>
      <c r="K17" s="568">
        <f t="shared" si="1"/>
        <v>0</v>
      </c>
      <c r="L17" s="568">
        <f t="shared" si="1"/>
        <v>0</v>
      </c>
      <c r="M17" s="568">
        <f t="shared" si="1"/>
        <v>0</v>
      </c>
      <c r="N17" s="576">
        <f t="shared" si="1"/>
        <v>0</v>
      </c>
    </row>
    <row r="18" spans="1:14" ht="18.600000000000001">
      <c r="A18" s="1078" t="s">
        <v>511</v>
      </c>
      <c r="B18" s="1079"/>
      <c r="C18" s="568">
        <f>C17+C9</f>
        <v>1470846409.0019569</v>
      </c>
      <c r="D18" s="568">
        <f t="shared" ref="D18:N18" si="2">D17+D9</f>
        <v>249942506.13999999</v>
      </c>
      <c r="E18" s="568">
        <f t="shared" si="2"/>
        <v>392696407.38</v>
      </c>
      <c r="F18" s="568">
        <f t="shared" si="2"/>
        <v>542696407.38</v>
      </c>
      <c r="G18" s="568">
        <f t="shared" si="2"/>
        <v>792696407.38</v>
      </c>
      <c r="H18" s="568">
        <f t="shared" si="2"/>
        <v>-57303580.620000005</v>
      </c>
      <c r="I18" s="568">
        <f t="shared" si="2"/>
        <v>-57303580.620000005</v>
      </c>
      <c r="J18" s="568">
        <f t="shared" si="2"/>
        <v>-57303580.620000005</v>
      </c>
      <c r="K18" s="568">
        <f t="shared" si="2"/>
        <v>-57303580.620000005</v>
      </c>
      <c r="L18" s="568">
        <f t="shared" si="2"/>
        <v>-57303580.620000005</v>
      </c>
      <c r="M18" s="568">
        <f t="shared" si="2"/>
        <v>-57303580.620000005</v>
      </c>
      <c r="N18" s="576">
        <f t="shared" si="2"/>
        <v>-57303580.620000005</v>
      </c>
    </row>
    <row r="19" spans="1:14" ht="18.600000000000001">
      <c r="A19" s="578" t="s">
        <v>522</v>
      </c>
      <c r="B19" s="569"/>
      <c r="C19" s="570"/>
      <c r="D19" s="570"/>
      <c r="E19" s="570"/>
      <c r="F19" s="570"/>
      <c r="G19" s="570"/>
      <c r="H19" s="570"/>
      <c r="I19" s="571"/>
      <c r="J19" s="571"/>
      <c r="K19" s="572"/>
      <c r="L19" s="572"/>
      <c r="M19" s="572"/>
      <c r="N19" s="577"/>
    </row>
    <row r="20" spans="1:14" ht="18.600000000000001">
      <c r="A20" s="1091" t="s">
        <v>506</v>
      </c>
      <c r="B20" s="1092"/>
      <c r="C20" s="545">
        <f>'سرمايه‌‌گذاري طرح'!F13</f>
        <v>195845000</v>
      </c>
      <c r="D20" s="545"/>
      <c r="E20" s="545"/>
      <c r="F20" s="545"/>
      <c r="G20" s="545"/>
      <c r="H20" s="545"/>
      <c r="I20" s="545"/>
      <c r="J20" s="545"/>
      <c r="K20" s="545"/>
      <c r="L20" s="545"/>
      <c r="M20" s="545"/>
      <c r="N20" s="577"/>
    </row>
    <row r="21" spans="1:14" ht="18.600000000000001">
      <c r="A21" s="1091" t="s">
        <v>507</v>
      </c>
      <c r="B21" s="1092"/>
      <c r="C21" s="545">
        <f>'سرمايه‌‌گذاري طرح'!F14</f>
        <v>1275001409.0019569</v>
      </c>
      <c r="D21" s="545"/>
      <c r="E21" s="545"/>
      <c r="F21" s="545"/>
      <c r="G21" s="545"/>
      <c r="H21" s="545"/>
      <c r="I21" s="545"/>
      <c r="J21" s="545"/>
      <c r="K21" s="545"/>
      <c r="L21" s="545"/>
      <c r="M21" s="545"/>
      <c r="N21" s="577"/>
    </row>
    <row r="22" spans="1:14" ht="18.600000000000001">
      <c r="A22" s="1078" t="s">
        <v>512</v>
      </c>
      <c r="B22" s="1079"/>
      <c r="C22" s="568">
        <v>0</v>
      </c>
      <c r="D22" s="568">
        <f>'سرمايه در گردش'!C21</f>
        <v>7246098.7600000007</v>
      </c>
      <c r="E22" s="568">
        <f>'سرمايه در گردش'!D21</f>
        <v>0</v>
      </c>
      <c r="F22" s="568">
        <f>'سرمايه در گردش'!E21</f>
        <v>0</v>
      </c>
      <c r="G22" s="568">
        <f>'سرمايه در گردش'!F21</f>
        <v>0</v>
      </c>
      <c r="H22" s="568">
        <f>'سرمايه در گردش'!G21</f>
        <v>0</v>
      </c>
      <c r="I22" s="568">
        <f>'سرمايه در گردش'!H21</f>
        <v>0</v>
      </c>
      <c r="J22" s="568">
        <f>'سرمايه در گردش'!I21</f>
        <v>0</v>
      </c>
      <c r="K22" s="568">
        <f>'سرمايه در گردش'!J21</f>
        <v>0</v>
      </c>
      <c r="L22" s="568">
        <f>'سرمايه در گردش'!K21</f>
        <v>0</v>
      </c>
      <c r="M22" s="568">
        <f>'سرمايه در گردش'!L21</f>
        <v>0</v>
      </c>
      <c r="N22" s="576">
        <f>'سرمايه در گردش'!M21</f>
        <v>0</v>
      </c>
    </row>
    <row r="23" spans="1:14" ht="18.600000000000001">
      <c r="A23" s="1080" t="s">
        <v>513</v>
      </c>
      <c r="B23" s="539" t="s">
        <v>508</v>
      </c>
      <c r="C23" s="544"/>
      <c r="D23" s="573">
        <f>'پيش بيني عملكرد سود و زيان'!C27</f>
        <v>0</v>
      </c>
      <c r="E23" s="573">
        <f>'پيش بيني عملكرد سود و زيان'!D27</f>
        <v>0</v>
      </c>
      <c r="F23" s="573">
        <f>'پيش بيني عملكرد سود و زيان'!E27</f>
        <v>0</v>
      </c>
      <c r="G23" s="573">
        <f>'پيش بيني عملكرد سود و زيان'!F27</f>
        <v>0</v>
      </c>
      <c r="H23" s="573">
        <f>'پيش بيني عملكرد سود و زيان'!G27</f>
        <v>0</v>
      </c>
      <c r="I23" s="573">
        <f>'پيش بيني عملكرد سود و زيان'!H27</f>
        <v>0</v>
      </c>
      <c r="J23" s="573">
        <f>'پيش بيني عملكرد سود و زيان'!I27</f>
        <v>0</v>
      </c>
      <c r="K23" s="573">
        <f>'پيش بيني عملكرد سود و زيان'!J27</f>
        <v>0</v>
      </c>
      <c r="L23" s="573">
        <f>'پيش بيني عملكرد سود و زيان'!K27</f>
        <v>0</v>
      </c>
      <c r="M23" s="573">
        <f>'پيش بيني عملكرد سود و زيان'!L27</f>
        <v>0</v>
      </c>
      <c r="N23" s="579">
        <f>'پيش بيني عملكرد سود و زيان'!M27</f>
        <v>0</v>
      </c>
    </row>
    <row r="24" spans="1:14" ht="18.600000000000001">
      <c r="A24" s="1080"/>
      <c r="B24" s="539" t="s">
        <v>353</v>
      </c>
      <c r="C24" s="544"/>
      <c r="D24" s="544">
        <f>'پيش بيني عملكرد سود و زيان'!C49</f>
        <v>0</v>
      </c>
      <c r="E24" s="544">
        <f>'پيش بيني عملكرد سود و زيان'!D49</f>
        <v>0</v>
      </c>
      <c r="F24" s="544">
        <f>'پيش بيني عملكرد سود و زيان'!E49</f>
        <v>0</v>
      </c>
      <c r="G24" s="544">
        <f>'پيش بيني عملكرد سود و زيان'!F49</f>
        <v>0</v>
      </c>
      <c r="H24" s="544">
        <f>'پيش بيني عملكرد سود و زيان'!G49</f>
        <v>0</v>
      </c>
      <c r="I24" s="544">
        <f>'پيش بيني عملكرد سود و زيان'!H49</f>
        <v>0</v>
      </c>
      <c r="J24" s="544">
        <f>'پيش بيني عملكرد سود و زيان'!I49</f>
        <v>0</v>
      </c>
      <c r="K24" s="544">
        <f>'پيش بيني عملكرد سود و زيان'!J49</f>
        <v>0</v>
      </c>
      <c r="L24" s="544">
        <f>'پيش بيني عملكرد سود و زيان'!K49</f>
        <v>0</v>
      </c>
      <c r="M24" s="544">
        <f>'پيش بيني عملكرد سود و زيان'!L49</f>
        <v>0</v>
      </c>
      <c r="N24" s="580">
        <f>'پيش بيني عملكرد سود و زيان'!M49</f>
        <v>0</v>
      </c>
    </row>
    <row r="25" spans="1:14" ht="18.600000000000001">
      <c r="A25" s="1080" t="s">
        <v>514</v>
      </c>
      <c r="B25" s="539" t="s">
        <v>2</v>
      </c>
      <c r="C25" s="544"/>
      <c r="D25" s="545">
        <v>0</v>
      </c>
      <c r="E25" s="545">
        <v>0</v>
      </c>
      <c r="F25" s="545">
        <v>0</v>
      </c>
      <c r="G25" s="545">
        <v>0</v>
      </c>
      <c r="H25" s="545">
        <v>0</v>
      </c>
      <c r="I25" s="545">
        <v>0</v>
      </c>
      <c r="J25" s="545">
        <v>0</v>
      </c>
      <c r="K25" s="545">
        <v>0</v>
      </c>
      <c r="L25" s="545">
        <v>0</v>
      </c>
      <c r="M25" s="545">
        <v>0</v>
      </c>
      <c r="N25" s="577"/>
    </row>
    <row r="26" spans="1:14" ht="18.600000000000001">
      <c r="A26" s="1081"/>
      <c r="B26" s="539" t="s">
        <v>3</v>
      </c>
      <c r="C26" s="544"/>
      <c r="D26" s="545">
        <f>'پيش بيني عملكرد سود و زيان'!C33</f>
        <v>0</v>
      </c>
      <c r="E26" s="545">
        <f>'پيش بيني عملكرد سود و زيان'!D33</f>
        <v>0</v>
      </c>
      <c r="F26" s="545">
        <f>'پيش بيني عملكرد سود و زيان'!E33</f>
        <v>0</v>
      </c>
      <c r="G26" s="545">
        <f>'پيش بيني عملكرد سود و زيان'!F33</f>
        <v>0</v>
      </c>
      <c r="H26" s="545">
        <f>'پيش بيني عملكرد سود و زيان'!G33</f>
        <v>0</v>
      </c>
      <c r="I26" s="545">
        <f>'پيش بيني عملكرد سود و زيان'!H33</f>
        <v>0</v>
      </c>
      <c r="J26" s="545">
        <f>'پيش بيني عملكرد سود و زيان'!I33</f>
        <v>0</v>
      </c>
      <c r="K26" s="545">
        <f>'پيش بيني عملكرد سود و زيان'!J33</f>
        <v>0</v>
      </c>
      <c r="L26" s="545">
        <f>'پيش بيني عملكرد سود و زيان'!K33</f>
        <v>0</v>
      </c>
      <c r="M26" s="545">
        <f>'پيش بيني عملكرد سود و زيان'!L33</f>
        <v>0</v>
      </c>
      <c r="N26" s="546">
        <f>'پيش بيني عملكرد سود و زيان'!M33</f>
        <v>0</v>
      </c>
    </row>
    <row r="27" spans="1:14" ht="18.600000000000001">
      <c r="A27" s="1081"/>
      <c r="B27" s="539" t="s">
        <v>4</v>
      </c>
      <c r="C27" s="544"/>
      <c r="D27" s="592">
        <f>'پيش بيني عملكرد سود و زيان'!C45</f>
        <v>1345262.9729751665</v>
      </c>
      <c r="E27" s="592">
        <f>'پيش بيني عملكرد سود و زيان'!D45</f>
        <v>0</v>
      </c>
      <c r="F27" s="592">
        <f>'پيش بيني عملكرد سود و زيان'!E45</f>
        <v>0</v>
      </c>
      <c r="G27" s="592">
        <f>'پيش بيني عملكرد سود و زيان'!F45</f>
        <v>0</v>
      </c>
      <c r="H27" s="592">
        <f>'پيش بيني عملكرد سود و زيان'!G45</f>
        <v>0</v>
      </c>
      <c r="I27" s="592">
        <f>'پيش بيني عملكرد سود و زيان'!H45</f>
        <v>0</v>
      </c>
      <c r="J27" s="592">
        <f>'پيش بيني عملكرد سود و زيان'!I45</f>
        <v>0</v>
      </c>
      <c r="K27" s="592">
        <f>'پيش بيني عملكرد سود و زيان'!J45</f>
        <v>0</v>
      </c>
      <c r="L27" s="592">
        <f>'پيش بيني عملكرد سود و زيان'!K45</f>
        <v>0</v>
      </c>
      <c r="M27" s="592">
        <f>'پيش بيني عملكرد سود و زيان'!L45</f>
        <v>0</v>
      </c>
      <c r="N27" s="593">
        <f>'پيش بيني عملكرد سود و زيان'!M45</f>
        <v>0</v>
      </c>
    </row>
    <row r="28" spans="1:14" ht="18.600000000000001">
      <c r="A28" s="1081"/>
      <c r="B28" s="539" t="s">
        <v>5</v>
      </c>
      <c r="C28" s="54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7"/>
    </row>
    <row r="29" spans="1:14" ht="18.600000000000001">
      <c r="A29" s="1078" t="s">
        <v>515</v>
      </c>
      <c r="B29" s="1079"/>
      <c r="C29" s="568">
        <f>SUM(C20:C28)</f>
        <v>1470846409.0019569</v>
      </c>
      <c r="D29" s="568">
        <f>SUM(D20:D28)</f>
        <v>8591361.7329751663</v>
      </c>
      <c r="E29" s="568">
        <f t="shared" ref="E29:N29" si="3">SUM(E20:E28)</f>
        <v>0</v>
      </c>
      <c r="F29" s="568">
        <f t="shared" si="3"/>
        <v>0</v>
      </c>
      <c r="G29" s="568">
        <f t="shared" si="3"/>
        <v>0</v>
      </c>
      <c r="H29" s="568">
        <f t="shared" si="3"/>
        <v>0</v>
      </c>
      <c r="I29" s="568">
        <f t="shared" si="3"/>
        <v>0</v>
      </c>
      <c r="J29" s="568">
        <f t="shared" si="3"/>
        <v>0</v>
      </c>
      <c r="K29" s="568">
        <f t="shared" si="3"/>
        <v>0</v>
      </c>
      <c r="L29" s="568">
        <f t="shared" si="3"/>
        <v>0</v>
      </c>
      <c r="M29" s="568">
        <f t="shared" si="3"/>
        <v>0</v>
      </c>
      <c r="N29" s="576">
        <f t="shared" si="3"/>
        <v>0</v>
      </c>
    </row>
    <row r="30" spans="1:14" ht="18.600000000000001">
      <c r="A30" s="1088" t="s">
        <v>509</v>
      </c>
      <c r="B30" s="1089"/>
      <c r="C30" s="545">
        <f t="shared" ref="C30:N30" si="4">C18-C29</f>
        <v>0</v>
      </c>
      <c r="D30" s="545">
        <f t="shared" si="4"/>
        <v>241351144.40702483</v>
      </c>
      <c r="E30" s="545">
        <f t="shared" si="4"/>
        <v>392696407.38</v>
      </c>
      <c r="F30" s="545">
        <f t="shared" si="4"/>
        <v>542696407.38</v>
      </c>
      <c r="G30" s="545">
        <f t="shared" si="4"/>
        <v>792696407.38</v>
      </c>
      <c r="H30" s="545">
        <f t="shared" si="4"/>
        <v>-57303580.620000005</v>
      </c>
      <c r="I30" s="545">
        <f t="shared" si="4"/>
        <v>-57303580.620000005</v>
      </c>
      <c r="J30" s="545">
        <f t="shared" si="4"/>
        <v>-57303580.620000005</v>
      </c>
      <c r="K30" s="545">
        <f t="shared" si="4"/>
        <v>-57303580.620000005</v>
      </c>
      <c r="L30" s="545">
        <f t="shared" si="4"/>
        <v>-57303580.620000005</v>
      </c>
      <c r="M30" s="545">
        <f t="shared" si="4"/>
        <v>-57303580.620000005</v>
      </c>
      <c r="N30" s="546">
        <f t="shared" si="4"/>
        <v>-57303580.620000005</v>
      </c>
    </row>
    <row r="31" spans="1:14" ht="18.600000000000001">
      <c r="A31" s="1082" t="s">
        <v>525</v>
      </c>
      <c r="B31" s="1083"/>
      <c r="C31" s="544"/>
      <c r="D31" s="545">
        <f>C32</f>
        <v>0</v>
      </c>
      <c r="E31" s="545">
        <f t="shared" ref="E31:N31" si="5">D32</f>
        <v>241351144.40702483</v>
      </c>
      <c r="F31" s="545">
        <f t="shared" si="5"/>
        <v>634047551.78702486</v>
      </c>
      <c r="G31" s="545">
        <f t="shared" si="5"/>
        <v>1176743959.1670249</v>
      </c>
      <c r="H31" s="545">
        <f t="shared" si="5"/>
        <v>1969440366.5470247</v>
      </c>
      <c r="I31" s="545">
        <f t="shared" si="5"/>
        <v>1912136785.9270248</v>
      </c>
      <c r="J31" s="545">
        <f t="shared" si="5"/>
        <v>1854833205.307025</v>
      </c>
      <c r="K31" s="545">
        <f t="shared" si="5"/>
        <v>1797529624.6870251</v>
      </c>
      <c r="L31" s="545">
        <f t="shared" si="5"/>
        <v>1740226044.0670252</v>
      </c>
      <c r="M31" s="545">
        <f t="shared" si="5"/>
        <v>1682922463.4470253</v>
      </c>
      <c r="N31" s="546">
        <f t="shared" si="5"/>
        <v>1625618882.8270254</v>
      </c>
    </row>
    <row r="32" spans="1:14" ht="19.2" thickBot="1">
      <c r="A32" s="1076" t="s">
        <v>526</v>
      </c>
      <c r="B32" s="1077"/>
      <c r="C32" s="581">
        <f>C31+C30</f>
        <v>0</v>
      </c>
      <c r="D32" s="581">
        <f t="shared" ref="D32:N32" si="6">D31+D30</f>
        <v>241351144.40702483</v>
      </c>
      <c r="E32" s="581">
        <f t="shared" si="6"/>
        <v>634047551.78702486</v>
      </c>
      <c r="F32" s="581">
        <f t="shared" si="6"/>
        <v>1176743959.1670249</v>
      </c>
      <c r="G32" s="581">
        <f t="shared" si="6"/>
        <v>1969440366.5470247</v>
      </c>
      <c r="H32" s="581">
        <f t="shared" si="6"/>
        <v>1912136785.9270248</v>
      </c>
      <c r="I32" s="581">
        <f t="shared" si="6"/>
        <v>1854833205.307025</v>
      </c>
      <c r="J32" s="581">
        <f t="shared" si="6"/>
        <v>1797529624.6870251</v>
      </c>
      <c r="K32" s="581">
        <f t="shared" si="6"/>
        <v>1740226044.0670252</v>
      </c>
      <c r="L32" s="581">
        <f t="shared" si="6"/>
        <v>1682922463.4470253</v>
      </c>
      <c r="M32" s="581">
        <f t="shared" si="6"/>
        <v>1625618882.8270254</v>
      </c>
      <c r="N32" s="582">
        <f t="shared" si="6"/>
        <v>1568315302.2070255</v>
      </c>
    </row>
    <row r="33" spans="1:13" ht="18.600000000000001">
      <c r="A33" s="540"/>
      <c r="B33" s="542"/>
      <c r="C33" s="547"/>
      <c r="D33" s="547"/>
      <c r="E33" s="547"/>
      <c r="F33" s="547"/>
      <c r="G33" s="547"/>
      <c r="H33" s="547"/>
      <c r="I33" s="547"/>
      <c r="J33" s="547"/>
      <c r="K33" s="547"/>
      <c r="L33" s="547"/>
      <c r="M33" s="547"/>
    </row>
    <row r="34" spans="1:13" ht="18.600000000000001">
      <c r="A34" s="542"/>
      <c r="B34" s="542"/>
      <c r="C34" s="547"/>
      <c r="D34" s="547"/>
      <c r="E34" s="547"/>
      <c r="F34" s="547"/>
      <c r="G34" s="547"/>
      <c r="H34" s="547"/>
      <c r="I34" s="547"/>
      <c r="J34" s="547"/>
      <c r="K34" s="547"/>
      <c r="L34" s="547"/>
      <c r="M34" s="547"/>
    </row>
    <row r="35" spans="1:13" ht="18.600000000000001">
      <c r="A35" s="548"/>
      <c r="B35" s="542"/>
      <c r="C35" s="547"/>
      <c r="D35" s="547"/>
      <c r="E35" s="547"/>
      <c r="F35" s="547"/>
      <c r="G35" s="547"/>
      <c r="H35" s="547"/>
      <c r="I35" s="547"/>
      <c r="J35" s="547"/>
      <c r="K35" s="547"/>
      <c r="L35" s="547"/>
      <c r="M35" s="547"/>
    </row>
    <row r="36" spans="1:13" ht="18.600000000000001">
      <c r="A36" s="542"/>
      <c r="B36" s="542"/>
      <c r="C36" s="547"/>
      <c r="D36" s="547"/>
      <c r="E36" s="547"/>
      <c r="F36" s="547"/>
      <c r="G36" s="547"/>
      <c r="H36" s="547"/>
      <c r="I36" s="547"/>
      <c r="J36" s="547"/>
      <c r="K36" s="547"/>
      <c r="L36" s="547"/>
      <c r="M36" s="547"/>
    </row>
    <row r="37" spans="1:13" ht="18.600000000000001">
      <c r="A37" s="542"/>
      <c r="B37" s="542"/>
      <c r="C37" s="547"/>
      <c r="D37" s="547"/>
      <c r="E37" s="547"/>
      <c r="F37" s="547"/>
      <c r="G37" s="547"/>
      <c r="H37" s="547"/>
      <c r="I37" s="547"/>
      <c r="J37" s="547"/>
      <c r="K37" s="547"/>
      <c r="L37" s="547"/>
      <c r="M37" s="547"/>
    </row>
    <row r="38" spans="1:13" ht="18.600000000000001">
      <c r="A38" s="542"/>
      <c r="B38" s="542"/>
      <c r="C38" s="547"/>
      <c r="D38" s="547"/>
      <c r="E38" s="547"/>
      <c r="F38" s="547"/>
      <c r="G38" s="547"/>
      <c r="H38" s="547"/>
      <c r="I38" s="547"/>
      <c r="J38" s="547"/>
      <c r="K38" s="547"/>
      <c r="L38" s="547"/>
      <c r="M38" s="547"/>
    </row>
    <row r="39" spans="1:13" ht="18.600000000000001">
      <c r="A39" s="542"/>
      <c r="B39" s="542"/>
      <c r="C39" s="547"/>
      <c r="D39" s="547"/>
      <c r="E39" s="547"/>
      <c r="F39" s="547"/>
      <c r="G39" s="547"/>
      <c r="H39" s="547"/>
      <c r="I39" s="547"/>
      <c r="J39" s="547"/>
      <c r="K39" s="547"/>
      <c r="L39" s="547"/>
      <c r="M39" s="547"/>
    </row>
    <row r="40" spans="1:13" ht="18.600000000000001">
      <c r="A40" s="542"/>
      <c r="B40" s="542"/>
      <c r="C40" s="547"/>
      <c r="D40" s="547"/>
      <c r="E40" s="547"/>
      <c r="F40" s="547"/>
      <c r="G40" s="547"/>
      <c r="H40" s="547"/>
      <c r="I40" s="547"/>
      <c r="J40" s="547"/>
      <c r="K40" s="547"/>
      <c r="L40" s="547"/>
      <c r="M40" s="547"/>
    </row>
    <row r="41" spans="1:13" ht="18.600000000000001">
      <c r="A41" s="542"/>
      <c r="B41" s="542"/>
      <c r="C41" s="547"/>
      <c r="D41" s="547"/>
      <c r="E41" s="547"/>
      <c r="F41" s="547"/>
      <c r="G41" s="547"/>
      <c r="H41" s="547"/>
      <c r="I41" s="547"/>
      <c r="J41" s="547"/>
      <c r="K41" s="547"/>
      <c r="L41" s="547"/>
      <c r="M41" s="547"/>
    </row>
    <row r="42" spans="1:13" ht="18.600000000000001">
      <c r="A42" s="542"/>
      <c r="B42" s="542"/>
      <c r="C42" s="547"/>
      <c r="D42" s="547"/>
      <c r="E42" s="547"/>
      <c r="F42" s="547"/>
      <c r="G42" s="547"/>
      <c r="H42" s="547"/>
      <c r="I42" s="547"/>
      <c r="J42" s="547"/>
      <c r="K42" s="547"/>
      <c r="L42" s="547"/>
      <c r="M42" s="547"/>
    </row>
    <row r="43" spans="1:13" ht="18.600000000000001">
      <c r="A43" s="542"/>
      <c r="B43" s="542"/>
      <c r="C43" s="547"/>
      <c r="D43" s="547"/>
      <c r="E43" s="547"/>
      <c r="F43" s="547"/>
      <c r="G43" s="547"/>
      <c r="H43" s="547"/>
      <c r="I43" s="547"/>
      <c r="J43" s="547"/>
      <c r="K43" s="547"/>
      <c r="L43" s="547"/>
      <c r="M43" s="547"/>
    </row>
    <row r="44" spans="1:13" ht="18.600000000000001">
      <c r="A44" s="542"/>
      <c r="B44" s="542"/>
      <c r="C44" s="547"/>
      <c r="D44" s="547"/>
      <c r="E44" s="547"/>
      <c r="F44" s="547"/>
      <c r="G44" s="547"/>
      <c r="H44" s="547"/>
      <c r="I44" s="547"/>
      <c r="J44" s="547"/>
      <c r="K44" s="547"/>
      <c r="L44" s="547"/>
      <c r="M44" s="547"/>
    </row>
    <row r="45" spans="1:13" ht="18.600000000000001">
      <c r="A45" s="542"/>
      <c r="B45" s="542"/>
      <c r="C45" s="547"/>
      <c r="D45" s="547"/>
      <c r="E45" s="547"/>
      <c r="F45" s="547"/>
      <c r="G45" s="547"/>
      <c r="H45" s="547"/>
      <c r="I45" s="547"/>
      <c r="J45" s="547"/>
      <c r="K45" s="547"/>
      <c r="L45" s="547"/>
      <c r="M45" s="547"/>
    </row>
    <row r="46" spans="1:13" ht="18.600000000000001">
      <c r="A46" s="542"/>
      <c r="B46" s="542"/>
      <c r="C46" s="547"/>
      <c r="D46" s="547"/>
      <c r="E46" s="547"/>
      <c r="F46" s="547"/>
      <c r="G46" s="547"/>
      <c r="H46" s="547"/>
      <c r="I46" s="547"/>
      <c r="J46" s="547"/>
      <c r="K46" s="547"/>
      <c r="L46" s="547"/>
      <c r="M46" s="547"/>
    </row>
    <row r="47" spans="1:13" ht="18.600000000000001">
      <c r="A47" s="542"/>
      <c r="B47" s="542"/>
      <c r="C47" s="547"/>
      <c r="D47" s="547"/>
      <c r="E47" s="547"/>
      <c r="F47" s="547"/>
      <c r="G47" s="547"/>
      <c r="H47" s="547"/>
      <c r="I47" s="547"/>
      <c r="J47" s="547"/>
      <c r="K47" s="547"/>
      <c r="L47" s="547"/>
      <c r="M47" s="547"/>
    </row>
    <row r="48" spans="1:13" ht="18.600000000000001">
      <c r="A48" s="542"/>
      <c r="B48" s="542"/>
      <c r="C48" s="547"/>
      <c r="D48" s="547"/>
      <c r="E48" s="547"/>
      <c r="F48" s="547"/>
      <c r="G48" s="547"/>
      <c r="H48" s="547"/>
      <c r="I48" s="547"/>
      <c r="J48" s="547"/>
      <c r="K48" s="547"/>
      <c r="L48" s="547"/>
      <c r="M48" s="547"/>
    </row>
    <row r="49" spans="1:13" ht="18.600000000000001">
      <c r="A49" s="542"/>
      <c r="B49" s="542"/>
      <c r="C49" s="547"/>
      <c r="D49" s="547"/>
      <c r="E49" s="547"/>
      <c r="F49" s="547"/>
      <c r="G49" s="547"/>
      <c r="H49" s="547"/>
      <c r="I49" s="547"/>
      <c r="J49" s="547"/>
      <c r="K49" s="547"/>
      <c r="L49" s="547"/>
      <c r="M49" s="547"/>
    </row>
    <row r="50" spans="1:13" ht="18.600000000000001">
      <c r="A50" s="542"/>
      <c r="B50" s="542"/>
      <c r="C50" s="547"/>
      <c r="D50" s="547"/>
      <c r="E50" s="547"/>
      <c r="F50" s="547"/>
      <c r="G50" s="547"/>
      <c r="H50" s="547"/>
      <c r="I50" s="547"/>
      <c r="J50" s="547"/>
      <c r="K50" s="547"/>
      <c r="L50" s="547"/>
      <c r="M50" s="547"/>
    </row>
    <row r="51" spans="1:13" ht="18.600000000000001">
      <c r="A51" s="542"/>
      <c r="B51" s="542"/>
      <c r="C51" s="547"/>
      <c r="D51" s="547"/>
      <c r="E51" s="547"/>
      <c r="F51" s="547"/>
      <c r="G51" s="547"/>
      <c r="H51" s="547"/>
      <c r="I51" s="547"/>
      <c r="J51" s="547"/>
      <c r="K51" s="547"/>
      <c r="L51" s="547"/>
      <c r="M51" s="547"/>
    </row>
    <row r="52" spans="1:13" ht="18.600000000000001">
      <c r="A52" s="542"/>
      <c r="B52" s="542"/>
      <c r="C52" s="547"/>
      <c r="D52" s="547"/>
      <c r="E52" s="547"/>
      <c r="F52" s="547"/>
      <c r="G52" s="547"/>
      <c r="H52" s="547"/>
      <c r="I52" s="547"/>
      <c r="J52" s="547"/>
      <c r="K52" s="547"/>
      <c r="L52" s="547"/>
      <c r="M52" s="547"/>
    </row>
    <row r="53" spans="1:13" ht="18.600000000000001">
      <c r="A53" s="542"/>
      <c r="B53" s="542"/>
      <c r="C53" s="547"/>
      <c r="D53" s="547"/>
      <c r="E53" s="547"/>
      <c r="F53" s="547"/>
      <c r="G53" s="547"/>
      <c r="H53" s="547"/>
      <c r="I53" s="547"/>
      <c r="J53" s="547"/>
      <c r="K53" s="547"/>
      <c r="L53" s="547"/>
      <c r="M53" s="547"/>
    </row>
    <row r="54" spans="1:13" ht="18.600000000000001">
      <c r="A54" s="542"/>
      <c r="B54" s="542"/>
      <c r="C54" s="547"/>
      <c r="D54" s="547"/>
      <c r="E54" s="547"/>
      <c r="F54" s="547"/>
      <c r="G54" s="547"/>
      <c r="H54" s="547"/>
      <c r="I54" s="547"/>
      <c r="J54" s="547"/>
      <c r="K54" s="547"/>
      <c r="L54" s="547"/>
      <c r="M54" s="547"/>
    </row>
  </sheetData>
  <sheetProtection password="C716" sheet="1" objects="1" scenarios="1"/>
  <mergeCells count="21">
    <mergeCell ref="A3:B4"/>
    <mergeCell ref="A17:B17"/>
    <mergeCell ref="A18:B18"/>
    <mergeCell ref="A30:B30"/>
    <mergeCell ref="L2:M2"/>
    <mergeCell ref="A20:B20"/>
    <mergeCell ref="A21:B21"/>
    <mergeCell ref="A2:B2"/>
    <mergeCell ref="G2:H2"/>
    <mergeCell ref="C3:C4"/>
    <mergeCell ref="D3:N3"/>
    <mergeCell ref="A5:N5"/>
    <mergeCell ref="A9:B9"/>
    <mergeCell ref="A6:A8"/>
    <mergeCell ref="A10:A16"/>
    <mergeCell ref="A32:B32"/>
    <mergeCell ref="A22:B22"/>
    <mergeCell ref="A23:A24"/>
    <mergeCell ref="A25:A28"/>
    <mergeCell ref="A29:B29"/>
    <mergeCell ref="A31:B31"/>
  </mergeCells>
  <phoneticPr fontId="5" type="noConversion"/>
  <pageMargins left="0.35433070866141736" right="0.35433070866141736" top="0.59055118110236227" bottom="0.59055118110236227" header="0.51181102362204722" footer="0.51181102362204722"/>
  <pageSetup paperSize="9" scale="75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40"/>
  <dimension ref="A1:N47"/>
  <sheetViews>
    <sheetView rightToLeft="1" topLeftCell="A17" zoomScale="70" workbookViewId="0">
      <selection activeCell="C24" sqref="C24"/>
    </sheetView>
  </sheetViews>
  <sheetFormatPr defaultColWidth="11.44140625" defaultRowHeight="17.399999999999999"/>
  <cols>
    <col min="1" max="1" width="20.33203125" style="267" bestFit="1" customWidth="1"/>
    <col min="2" max="2" width="32.88671875" style="267" bestFit="1" customWidth="1"/>
    <col min="3" max="3" width="11.5546875" style="273" bestFit="1" customWidth="1"/>
    <col min="4" max="9" width="11.44140625" style="273" customWidth="1"/>
    <col min="10" max="14" width="15.5546875" style="273" bestFit="1" customWidth="1"/>
    <col min="15" max="16384" width="11.44140625" style="267"/>
  </cols>
  <sheetData>
    <row r="1" spans="1:14" ht="18" thickBot="1">
      <c r="A1" s="1100" t="s">
        <v>335</v>
      </c>
      <c r="B1" s="1100"/>
      <c r="D1" s="274"/>
      <c r="E1" s="274"/>
      <c r="F1" s="274"/>
      <c r="G1" s="1101"/>
      <c r="H1" s="1101"/>
      <c r="I1" s="274"/>
      <c r="J1" s="274"/>
      <c r="K1" s="274"/>
      <c r="L1" s="1101"/>
      <c r="M1" s="1101"/>
    </row>
    <row r="2" spans="1:14">
      <c r="A2" s="1102" t="s">
        <v>336</v>
      </c>
      <c r="B2" s="1103"/>
      <c r="C2" s="1106" t="str">
        <f>'جریان نقدینگی'!B2</f>
        <v>سال ساخت</v>
      </c>
      <c r="D2" s="1108" t="s">
        <v>337</v>
      </c>
      <c r="E2" s="1109"/>
      <c r="F2" s="1109"/>
      <c r="G2" s="1109"/>
      <c r="H2" s="1109"/>
      <c r="I2" s="1109"/>
      <c r="J2" s="1109"/>
      <c r="K2" s="1109"/>
      <c r="L2" s="1109"/>
      <c r="M2" s="1109"/>
      <c r="N2" s="1110"/>
    </row>
    <row r="3" spans="1:14" ht="18" thickBot="1">
      <c r="A3" s="1104"/>
      <c r="B3" s="1105"/>
      <c r="C3" s="1107"/>
      <c r="D3" s="275" t="str">
        <f>'جریان نقدینگی'!C2</f>
        <v>سال جاری</v>
      </c>
      <c r="E3" s="275" t="str">
        <f>'جریان نقدینگی'!D2</f>
        <v xml:space="preserve">سال اول </v>
      </c>
      <c r="F3" s="275" t="str">
        <f>'جریان نقدینگی'!E2</f>
        <v>سال دوم</v>
      </c>
      <c r="G3" s="275" t="str">
        <f>'جریان نقدینگی'!F2</f>
        <v>سال سوم</v>
      </c>
      <c r="H3" s="275" t="str">
        <f>'جریان نقدینگی'!G2</f>
        <v>سال چهارم</v>
      </c>
      <c r="I3" s="275" t="str">
        <f>'جریان نقدینگی'!H2</f>
        <v>سال پنجم</v>
      </c>
      <c r="J3" s="275" t="str">
        <f>'جریان نقدینگی'!I2</f>
        <v>سال ششم</v>
      </c>
      <c r="K3" s="275" t="str">
        <f>'جریان نقدینگی'!J2</f>
        <v>سال هفتم</v>
      </c>
      <c r="L3" s="275" t="str">
        <f>'جریان نقدینگی'!K2</f>
        <v>سال هشتم</v>
      </c>
      <c r="M3" s="275" t="str">
        <f>'جریان نقدینگی'!L2</f>
        <v>سال نهم</v>
      </c>
      <c r="N3" s="276" t="str">
        <f>'جریان نقدینگی'!M2</f>
        <v>سال دهم</v>
      </c>
    </row>
    <row r="4" spans="1:14">
      <c r="A4" s="1116" t="s">
        <v>338</v>
      </c>
      <c r="B4" s="111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8"/>
    </row>
    <row r="5" spans="1:14">
      <c r="A5" s="1113" t="s">
        <v>339</v>
      </c>
      <c r="B5" s="269">
        <f>'سرمايه در گردش'!B14</f>
        <v>0</v>
      </c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</row>
    <row r="6" spans="1:14">
      <c r="A6" s="1113"/>
      <c r="B6" s="269" t="str">
        <f>'سرمايه در گردش'!B15</f>
        <v>مواد اوليه</v>
      </c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</row>
    <row r="7" spans="1:14">
      <c r="A7" s="1113"/>
      <c r="B7" s="269" t="str">
        <f>'سرمايه در گردش'!B16</f>
        <v xml:space="preserve">موجودی کالای ساخته شده </v>
      </c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</row>
    <row r="8" spans="1:14">
      <c r="A8" s="1113"/>
      <c r="B8" s="269" t="str">
        <f>'سرمايه در گردش'!B17</f>
        <v>مطالبات</v>
      </c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79"/>
    </row>
    <row r="9" spans="1:14">
      <c r="A9" s="1113"/>
      <c r="B9" s="269" t="str">
        <f>'سرمايه در گردش'!B18</f>
        <v>تنخواه گردان</v>
      </c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</row>
    <row r="10" spans="1:14">
      <c r="A10" s="1113"/>
      <c r="B10" s="269" t="str">
        <f>'سرمايه در گردش'!B19</f>
        <v>موجودی کالای در جریال ساخت</v>
      </c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</row>
    <row r="11" spans="1:14">
      <c r="A11" s="1113"/>
      <c r="B11" s="269" t="s">
        <v>340</v>
      </c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</row>
    <row r="12" spans="1:14">
      <c r="A12" s="1114" t="s">
        <v>341</v>
      </c>
      <c r="B12" s="1115"/>
      <c r="C12" s="280">
        <f>SUM(C5:C11)</f>
        <v>0</v>
      </c>
      <c r="D12" s="280">
        <f t="shared" ref="D12:N12" si="0">SUM(D5:D11)</f>
        <v>0</v>
      </c>
      <c r="E12" s="280">
        <f t="shared" si="0"/>
        <v>0</v>
      </c>
      <c r="F12" s="280">
        <f t="shared" si="0"/>
        <v>0</v>
      </c>
      <c r="G12" s="280">
        <f t="shared" si="0"/>
        <v>0</v>
      </c>
      <c r="H12" s="280">
        <f t="shared" si="0"/>
        <v>0</v>
      </c>
      <c r="I12" s="280">
        <f t="shared" si="0"/>
        <v>0</v>
      </c>
      <c r="J12" s="280">
        <f t="shared" si="0"/>
        <v>0</v>
      </c>
      <c r="K12" s="280">
        <f t="shared" si="0"/>
        <v>0</v>
      </c>
      <c r="L12" s="280">
        <f t="shared" si="0"/>
        <v>0</v>
      </c>
      <c r="M12" s="280">
        <f t="shared" si="0"/>
        <v>0</v>
      </c>
      <c r="N12" s="280">
        <f t="shared" si="0"/>
        <v>0</v>
      </c>
    </row>
    <row r="13" spans="1:14">
      <c r="A13" s="1113" t="s">
        <v>342</v>
      </c>
      <c r="B13" s="269" t="s">
        <v>342</v>
      </c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N13" s="279"/>
    </row>
    <row r="14" spans="1:14">
      <c r="A14" s="1113"/>
      <c r="B14" s="269" t="s">
        <v>343</v>
      </c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</row>
    <row r="15" spans="1:14" ht="24">
      <c r="A15" s="1111" t="s">
        <v>344</v>
      </c>
      <c r="B15" s="1112"/>
      <c r="C15" s="280">
        <f>C13-C14</f>
        <v>0</v>
      </c>
      <c r="D15" s="280">
        <f t="shared" ref="D15:N15" si="1">D13-D14</f>
        <v>0</v>
      </c>
      <c r="E15" s="280">
        <f t="shared" si="1"/>
        <v>0</v>
      </c>
      <c r="F15" s="280">
        <f t="shared" si="1"/>
        <v>0</v>
      </c>
      <c r="G15" s="280">
        <f t="shared" si="1"/>
        <v>0</v>
      </c>
      <c r="H15" s="280">
        <f t="shared" si="1"/>
        <v>0</v>
      </c>
      <c r="I15" s="280">
        <f t="shared" si="1"/>
        <v>0</v>
      </c>
      <c r="J15" s="280">
        <f t="shared" si="1"/>
        <v>0</v>
      </c>
      <c r="K15" s="280">
        <f t="shared" si="1"/>
        <v>0</v>
      </c>
      <c r="L15" s="280">
        <f t="shared" si="1"/>
        <v>0</v>
      </c>
      <c r="M15" s="280">
        <f t="shared" si="1"/>
        <v>0</v>
      </c>
      <c r="N15" s="280">
        <f t="shared" si="1"/>
        <v>0</v>
      </c>
    </row>
    <row r="16" spans="1:14">
      <c r="A16" s="1113" t="s">
        <v>345</v>
      </c>
      <c r="B16" s="269" t="s">
        <v>346</v>
      </c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</row>
    <row r="17" spans="1:14">
      <c r="A17" s="1113"/>
      <c r="B17" s="269" t="s">
        <v>347</v>
      </c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</row>
    <row r="18" spans="1:14" s="268" customFormat="1">
      <c r="A18" s="1114" t="s">
        <v>348</v>
      </c>
      <c r="B18" s="1115"/>
      <c r="C18" s="280">
        <f>C16-C17</f>
        <v>0</v>
      </c>
      <c r="D18" s="280">
        <f t="shared" ref="D18:N18" si="2">D16-D17</f>
        <v>0</v>
      </c>
      <c r="E18" s="280">
        <f t="shared" si="2"/>
        <v>0</v>
      </c>
      <c r="F18" s="280">
        <f t="shared" si="2"/>
        <v>0</v>
      </c>
      <c r="G18" s="280">
        <f t="shared" si="2"/>
        <v>0</v>
      </c>
      <c r="H18" s="280">
        <f t="shared" si="2"/>
        <v>0</v>
      </c>
      <c r="I18" s="280">
        <f t="shared" si="2"/>
        <v>0</v>
      </c>
      <c r="J18" s="280">
        <f t="shared" si="2"/>
        <v>0</v>
      </c>
      <c r="K18" s="280">
        <f t="shared" si="2"/>
        <v>0</v>
      </c>
      <c r="L18" s="280">
        <f t="shared" si="2"/>
        <v>0</v>
      </c>
      <c r="M18" s="280">
        <f t="shared" si="2"/>
        <v>0</v>
      </c>
      <c r="N18" s="280">
        <f t="shared" si="2"/>
        <v>0</v>
      </c>
    </row>
    <row r="19" spans="1:14" ht="18" thickBot="1">
      <c r="A19" s="1114" t="s">
        <v>349</v>
      </c>
      <c r="B19" s="1115"/>
      <c r="C19" s="280">
        <f>C12+C15+C18</f>
        <v>0</v>
      </c>
      <c r="D19" s="280">
        <f t="shared" ref="D19:N19" si="3">D12+D15+D18</f>
        <v>0</v>
      </c>
      <c r="E19" s="280">
        <f t="shared" si="3"/>
        <v>0</v>
      </c>
      <c r="F19" s="280">
        <f t="shared" si="3"/>
        <v>0</v>
      </c>
      <c r="G19" s="280">
        <f t="shared" si="3"/>
        <v>0</v>
      </c>
      <c r="H19" s="280">
        <f t="shared" si="3"/>
        <v>0</v>
      </c>
      <c r="I19" s="280">
        <f t="shared" si="3"/>
        <v>0</v>
      </c>
      <c r="J19" s="280">
        <f t="shared" si="3"/>
        <v>0</v>
      </c>
      <c r="K19" s="280">
        <f t="shared" si="3"/>
        <v>0</v>
      </c>
      <c r="L19" s="280">
        <f t="shared" si="3"/>
        <v>0</v>
      </c>
      <c r="M19" s="280">
        <f t="shared" si="3"/>
        <v>0</v>
      </c>
      <c r="N19" s="280">
        <f t="shared" si="3"/>
        <v>0</v>
      </c>
    </row>
    <row r="20" spans="1:14">
      <c r="A20" s="1116" t="s">
        <v>350</v>
      </c>
      <c r="B20" s="1117"/>
      <c r="C20" s="281"/>
      <c r="D20" s="281"/>
      <c r="E20" s="281"/>
      <c r="F20" s="281"/>
      <c r="G20" s="281"/>
      <c r="H20" s="281"/>
      <c r="I20" s="282"/>
      <c r="J20" s="566">
        <v>0</v>
      </c>
      <c r="K20" s="566">
        <v>0</v>
      </c>
      <c r="L20" s="566">
        <v>0</v>
      </c>
      <c r="M20" s="566">
        <v>0</v>
      </c>
      <c r="N20" s="566">
        <v>0</v>
      </c>
    </row>
    <row r="21" spans="1:14">
      <c r="A21" s="1113" t="s">
        <v>420</v>
      </c>
      <c r="B21" s="269" t="s">
        <v>351</v>
      </c>
      <c r="C21" s="279">
        <f>'ترازنامه ایجادی'!B18</f>
        <v>0</v>
      </c>
      <c r="D21" s="279">
        <f>'ترازنامه ایجادی'!C18</f>
        <v>0</v>
      </c>
      <c r="E21" s="279">
        <f>'ترازنامه ایجادی'!D18</f>
        <v>0</v>
      </c>
      <c r="F21" s="279">
        <f>'ترازنامه ایجادی'!E18</f>
        <v>0</v>
      </c>
      <c r="G21" s="279">
        <f>'ترازنامه ایجادی'!F18</f>
        <v>0</v>
      </c>
      <c r="H21" s="279">
        <f>'ترازنامه ایجادی'!G18</f>
        <v>0</v>
      </c>
      <c r="I21" s="279">
        <f>'ترازنامه ایجادی'!H18</f>
        <v>0</v>
      </c>
      <c r="J21" s="279">
        <f>'ترازنامه ایجادی'!I18</f>
        <v>0</v>
      </c>
      <c r="K21" s="279">
        <f>'ترازنامه ایجادی'!J18</f>
        <v>0</v>
      </c>
      <c r="L21" s="279">
        <f>'ترازنامه ایجادی'!K18</f>
        <v>0</v>
      </c>
      <c r="M21" s="279">
        <f>'ترازنامه ایجادی'!L18</f>
        <v>0</v>
      </c>
      <c r="N21" s="279">
        <f>'ترازنامه ایجادی'!M18</f>
        <v>0</v>
      </c>
    </row>
    <row r="22" spans="1:14">
      <c r="A22" s="1113"/>
      <c r="B22" s="269" t="s">
        <v>352</v>
      </c>
      <c r="C22" s="340">
        <v>0</v>
      </c>
      <c r="D22" s="340">
        <v>0</v>
      </c>
      <c r="E22" s="340">
        <v>0</v>
      </c>
      <c r="F22" s="340">
        <v>0</v>
      </c>
      <c r="G22" s="340">
        <v>0</v>
      </c>
      <c r="H22" s="340">
        <v>0</v>
      </c>
      <c r="I22" s="340">
        <v>0</v>
      </c>
      <c r="J22" s="340">
        <v>0</v>
      </c>
      <c r="K22" s="340">
        <v>0</v>
      </c>
      <c r="L22" s="340">
        <v>0</v>
      </c>
      <c r="M22" s="340">
        <v>0</v>
      </c>
      <c r="N22" s="341"/>
    </row>
    <row r="23" spans="1:14">
      <c r="A23" s="1114" t="s">
        <v>354</v>
      </c>
      <c r="B23" s="1115"/>
      <c r="C23" s="280">
        <f t="shared" ref="C23:N23" si="4">SUM(C21:C22)</f>
        <v>0</v>
      </c>
      <c r="D23" s="280">
        <f t="shared" si="4"/>
        <v>0</v>
      </c>
      <c r="E23" s="280">
        <f t="shared" si="4"/>
        <v>0</v>
      </c>
      <c r="F23" s="280">
        <f t="shared" si="4"/>
        <v>0</v>
      </c>
      <c r="G23" s="280">
        <f t="shared" si="4"/>
        <v>0</v>
      </c>
      <c r="H23" s="280">
        <f t="shared" si="4"/>
        <v>0</v>
      </c>
      <c r="I23" s="280">
        <f t="shared" si="4"/>
        <v>0</v>
      </c>
      <c r="J23" s="280">
        <f t="shared" si="4"/>
        <v>0</v>
      </c>
      <c r="K23" s="280">
        <f t="shared" si="4"/>
        <v>0</v>
      </c>
      <c r="L23" s="280">
        <f t="shared" si="4"/>
        <v>0</v>
      </c>
      <c r="M23" s="280">
        <f>SUM(M21:M22)</f>
        <v>0</v>
      </c>
      <c r="N23" s="280">
        <f t="shared" si="4"/>
        <v>0</v>
      </c>
    </row>
    <row r="24" spans="1:14">
      <c r="A24" s="1113" t="s">
        <v>421</v>
      </c>
      <c r="B24" s="269" t="s">
        <v>355</v>
      </c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</row>
    <row r="25" spans="1:14">
      <c r="A25" s="1113"/>
      <c r="B25" s="269" t="s">
        <v>356</v>
      </c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N25" s="279"/>
    </row>
    <row r="26" spans="1:14">
      <c r="A26" s="1120" t="s">
        <v>357</v>
      </c>
      <c r="B26" s="1121"/>
      <c r="C26" s="280">
        <f t="shared" ref="C26:N26" si="5">SUM(C24:C25)</f>
        <v>0</v>
      </c>
      <c r="D26" s="280">
        <f t="shared" si="5"/>
        <v>0</v>
      </c>
      <c r="E26" s="280">
        <f t="shared" si="5"/>
        <v>0</v>
      </c>
      <c r="F26" s="280">
        <f t="shared" si="5"/>
        <v>0</v>
      </c>
      <c r="G26" s="280">
        <f t="shared" si="5"/>
        <v>0</v>
      </c>
      <c r="H26" s="280">
        <f t="shared" si="5"/>
        <v>0</v>
      </c>
      <c r="I26" s="280">
        <f t="shared" si="5"/>
        <v>0</v>
      </c>
      <c r="J26" s="280">
        <f t="shared" si="5"/>
        <v>0</v>
      </c>
      <c r="K26" s="280">
        <f t="shared" si="5"/>
        <v>0</v>
      </c>
      <c r="L26" s="280">
        <f t="shared" si="5"/>
        <v>0</v>
      </c>
      <c r="M26" s="280">
        <f t="shared" si="5"/>
        <v>0</v>
      </c>
      <c r="N26" s="280">
        <f t="shared" si="5"/>
        <v>0</v>
      </c>
    </row>
    <row r="27" spans="1:14">
      <c r="A27" s="1113" t="s">
        <v>358</v>
      </c>
      <c r="B27" s="269" t="s">
        <v>359</v>
      </c>
      <c r="C27" s="279">
        <f>'منابع و مصارف'!$B$11</f>
        <v>10000000</v>
      </c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N27" s="279"/>
    </row>
    <row r="28" spans="1:14">
      <c r="A28" s="1113"/>
      <c r="B28" s="270" t="s">
        <v>360</v>
      </c>
      <c r="C28" s="279">
        <v>0</v>
      </c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</row>
    <row r="29" spans="1:14">
      <c r="A29" s="1113"/>
      <c r="B29" s="269" t="s">
        <v>330</v>
      </c>
      <c r="C29" s="279">
        <v>0</v>
      </c>
      <c r="D29" s="279"/>
      <c r="E29" s="279"/>
      <c r="F29" s="279"/>
      <c r="G29" s="279"/>
      <c r="H29" s="279"/>
      <c r="I29" s="279"/>
      <c r="J29" s="279"/>
      <c r="K29" s="279"/>
      <c r="L29" s="279"/>
      <c r="M29" s="279"/>
      <c r="N29" s="279"/>
    </row>
    <row r="30" spans="1:14">
      <c r="A30" s="1114" t="s">
        <v>361</v>
      </c>
      <c r="B30" s="1115"/>
      <c r="C30" s="280">
        <f t="shared" ref="C30:N30" si="6">SUM(C27:C29)</f>
        <v>10000000</v>
      </c>
      <c r="D30" s="280">
        <f>SUM(D27:D29)</f>
        <v>0</v>
      </c>
      <c r="E30" s="280">
        <f>SUM(E27:E29)</f>
        <v>0</v>
      </c>
      <c r="F30" s="280">
        <f t="shared" si="6"/>
        <v>0</v>
      </c>
      <c r="G30" s="280">
        <f t="shared" si="6"/>
        <v>0</v>
      </c>
      <c r="H30" s="280">
        <f t="shared" si="6"/>
        <v>0</v>
      </c>
      <c r="I30" s="280">
        <f t="shared" si="6"/>
        <v>0</v>
      </c>
      <c r="J30" s="280">
        <f t="shared" si="6"/>
        <v>0</v>
      </c>
      <c r="K30" s="280">
        <f t="shared" si="6"/>
        <v>0</v>
      </c>
      <c r="L30" s="280">
        <f t="shared" si="6"/>
        <v>0</v>
      </c>
      <c r="M30" s="280">
        <f t="shared" si="6"/>
        <v>0</v>
      </c>
      <c r="N30" s="280">
        <f t="shared" si="6"/>
        <v>0</v>
      </c>
    </row>
    <row r="31" spans="1:14" ht="18" thickBot="1">
      <c r="A31" s="1122" t="s">
        <v>362</v>
      </c>
      <c r="B31" s="1123"/>
      <c r="C31" s="283">
        <f t="shared" ref="C31:N31" si="7">C23+C26+C30</f>
        <v>10000000</v>
      </c>
      <c r="D31" s="283">
        <f t="shared" si="7"/>
        <v>0</v>
      </c>
      <c r="E31" s="283">
        <f t="shared" si="7"/>
        <v>0</v>
      </c>
      <c r="F31" s="283">
        <f>F23+F26+F30</f>
        <v>0</v>
      </c>
      <c r="G31" s="283">
        <f t="shared" si="7"/>
        <v>0</v>
      </c>
      <c r="H31" s="283">
        <f t="shared" si="7"/>
        <v>0</v>
      </c>
      <c r="I31" s="283">
        <f t="shared" si="7"/>
        <v>0</v>
      </c>
      <c r="J31" s="283">
        <f t="shared" si="7"/>
        <v>0</v>
      </c>
      <c r="K31" s="283">
        <f t="shared" si="7"/>
        <v>0</v>
      </c>
      <c r="L31" s="283">
        <f t="shared" si="7"/>
        <v>0</v>
      </c>
      <c r="M31" s="283">
        <f t="shared" si="7"/>
        <v>0</v>
      </c>
      <c r="N31" s="283">
        <f t="shared" si="7"/>
        <v>0</v>
      </c>
    </row>
    <row r="32" spans="1:14" ht="18" thickBot="1">
      <c r="A32" s="271"/>
      <c r="B32" s="272"/>
      <c r="C32" s="284"/>
      <c r="D32" s="284"/>
      <c r="E32" s="284"/>
      <c r="F32" s="285"/>
      <c r="G32" s="284"/>
      <c r="H32" s="284"/>
      <c r="I32" s="284"/>
      <c r="J32" s="284"/>
      <c r="K32" s="284"/>
      <c r="L32" s="284"/>
      <c r="M32" s="284"/>
    </row>
    <row r="33" spans="1:14" ht="18" thickBot="1">
      <c r="A33" s="1118" t="s">
        <v>363</v>
      </c>
      <c r="B33" s="1119"/>
      <c r="C33" s="286">
        <f t="shared" ref="C33:N33" si="8">C19-C31</f>
        <v>-10000000</v>
      </c>
      <c r="D33" s="286">
        <f t="shared" si="8"/>
        <v>0</v>
      </c>
      <c r="E33" s="286">
        <f t="shared" si="8"/>
        <v>0</v>
      </c>
      <c r="F33" s="286">
        <f t="shared" si="8"/>
        <v>0</v>
      </c>
      <c r="G33" s="286">
        <f t="shared" si="8"/>
        <v>0</v>
      </c>
      <c r="H33" s="286">
        <f t="shared" si="8"/>
        <v>0</v>
      </c>
      <c r="I33" s="286">
        <f t="shared" si="8"/>
        <v>0</v>
      </c>
      <c r="J33" s="286">
        <f t="shared" si="8"/>
        <v>0</v>
      </c>
      <c r="K33" s="286">
        <f t="shared" si="8"/>
        <v>0</v>
      </c>
      <c r="L33" s="286">
        <f t="shared" si="8"/>
        <v>0</v>
      </c>
      <c r="M33" s="286">
        <f t="shared" si="8"/>
        <v>0</v>
      </c>
      <c r="N33" s="286">
        <f t="shared" si="8"/>
        <v>0</v>
      </c>
    </row>
    <row r="34" spans="1:14"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</row>
    <row r="35" spans="1:14"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</row>
    <row r="36" spans="1:14">
      <c r="D36" s="550"/>
      <c r="E36" s="550"/>
      <c r="F36" s="550"/>
      <c r="G36" s="550"/>
      <c r="H36" s="550"/>
      <c r="I36" s="550"/>
      <c r="J36" s="550"/>
      <c r="K36" s="550"/>
      <c r="L36" s="550"/>
      <c r="M36" s="550"/>
      <c r="N36" s="550"/>
    </row>
    <row r="37" spans="1:14">
      <c r="D37" s="288"/>
      <c r="E37" s="288"/>
      <c r="F37" s="288"/>
      <c r="G37" s="288"/>
      <c r="H37" s="288"/>
      <c r="I37" s="288"/>
      <c r="J37" s="288"/>
      <c r="K37" s="288"/>
      <c r="L37" s="288"/>
      <c r="M37" s="288"/>
    </row>
    <row r="38" spans="1:14">
      <c r="D38" s="288"/>
      <c r="E38" s="288"/>
      <c r="F38" s="288"/>
      <c r="G38" s="288"/>
      <c r="H38" s="288"/>
      <c r="I38" s="288"/>
      <c r="J38" s="288"/>
      <c r="K38" s="288"/>
      <c r="L38" s="288"/>
      <c r="M38" s="288"/>
    </row>
    <row r="39" spans="1:14">
      <c r="E39" s="288"/>
      <c r="F39" s="288"/>
      <c r="G39" s="288"/>
      <c r="H39" s="288"/>
      <c r="I39" s="288"/>
      <c r="J39" s="288"/>
      <c r="K39" s="288"/>
      <c r="L39" s="288"/>
      <c r="M39" s="288"/>
    </row>
    <row r="40" spans="1:14">
      <c r="E40" s="288"/>
      <c r="F40" s="288"/>
      <c r="G40" s="288"/>
      <c r="H40" s="288"/>
      <c r="I40" s="288"/>
      <c r="J40" s="288"/>
      <c r="K40" s="288"/>
      <c r="L40" s="288"/>
      <c r="M40" s="288"/>
    </row>
    <row r="41" spans="1:14">
      <c r="E41" s="288"/>
      <c r="F41" s="288"/>
      <c r="G41" s="288"/>
    </row>
    <row r="42" spans="1:14">
      <c r="E42" s="288"/>
      <c r="F42" s="288"/>
      <c r="G42" s="288"/>
    </row>
    <row r="43" spans="1:14">
      <c r="E43" s="288"/>
      <c r="F43" s="288"/>
      <c r="G43" s="288"/>
    </row>
    <row r="44" spans="1:14">
      <c r="E44" s="288"/>
      <c r="F44" s="288"/>
      <c r="G44" s="288"/>
    </row>
    <row r="45" spans="1:14">
      <c r="E45" s="288"/>
      <c r="F45" s="288"/>
      <c r="G45" s="288"/>
    </row>
    <row r="46" spans="1:14">
      <c r="E46" s="288"/>
      <c r="F46" s="288"/>
      <c r="G46" s="288"/>
    </row>
    <row r="47" spans="1:14">
      <c r="E47" s="288"/>
      <c r="F47" s="288"/>
      <c r="G47" s="288"/>
    </row>
  </sheetData>
  <mergeCells count="23">
    <mergeCell ref="A20:B20"/>
    <mergeCell ref="A21:A22"/>
    <mergeCell ref="A23:B23"/>
    <mergeCell ref="A24:A25"/>
    <mergeCell ref="A33:B33"/>
    <mergeCell ref="A26:B26"/>
    <mergeCell ref="A27:A29"/>
    <mergeCell ref="A30:B30"/>
    <mergeCell ref="A31:B31"/>
    <mergeCell ref="A15:B15"/>
    <mergeCell ref="A16:A17"/>
    <mergeCell ref="A18:B18"/>
    <mergeCell ref="A19:B19"/>
    <mergeCell ref="A4:B4"/>
    <mergeCell ref="A5:A11"/>
    <mergeCell ref="A12:B12"/>
    <mergeCell ref="A13:A14"/>
    <mergeCell ref="A1:B1"/>
    <mergeCell ref="G1:H1"/>
    <mergeCell ref="L1:M1"/>
    <mergeCell ref="A2:B3"/>
    <mergeCell ref="C2:C3"/>
    <mergeCell ref="D2:N2"/>
  </mergeCells>
  <phoneticPr fontId="5" type="noConversion"/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indexed="53"/>
  </sheetPr>
  <dimension ref="A1:N47"/>
  <sheetViews>
    <sheetView rightToLeft="1" topLeftCell="A8" zoomScale="70" zoomScaleNormal="70" workbookViewId="0">
      <selection activeCell="M31" sqref="M31"/>
    </sheetView>
  </sheetViews>
  <sheetFormatPr defaultColWidth="11.44140625" defaultRowHeight="17.399999999999999"/>
  <cols>
    <col min="1" max="1" width="20.33203125" style="267" bestFit="1" customWidth="1"/>
    <col min="2" max="2" width="32.88671875" style="267" bestFit="1" customWidth="1"/>
    <col min="3" max="3" width="11.5546875" style="273" bestFit="1" customWidth="1"/>
    <col min="4" max="9" width="11.44140625" style="273" customWidth="1"/>
    <col min="10" max="14" width="15.5546875" style="273" bestFit="1" customWidth="1"/>
    <col min="15" max="16384" width="11.44140625" style="267"/>
  </cols>
  <sheetData>
    <row r="1" spans="1:14" ht="18" thickBot="1">
      <c r="A1" s="1100" t="s">
        <v>335</v>
      </c>
      <c r="B1" s="1100"/>
      <c r="D1" s="274"/>
      <c r="E1" s="274"/>
      <c r="F1" s="274"/>
      <c r="G1" s="1101"/>
      <c r="H1" s="1101"/>
      <c r="I1" s="274"/>
      <c r="J1" s="274"/>
      <c r="K1" s="274"/>
      <c r="L1" s="1101"/>
      <c r="M1" s="1101"/>
    </row>
    <row r="2" spans="1:14">
      <c r="A2" s="1102" t="s">
        <v>336</v>
      </c>
      <c r="B2" s="1103"/>
      <c r="C2" s="1106" t="str">
        <f>'جریان نقدینگی'!B2</f>
        <v>سال ساخت</v>
      </c>
      <c r="D2" s="1108" t="s">
        <v>337</v>
      </c>
      <c r="E2" s="1109"/>
      <c r="F2" s="1109"/>
      <c r="G2" s="1109"/>
      <c r="H2" s="1109"/>
      <c r="I2" s="1109"/>
      <c r="J2" s="1109"/>
      <c r="K2" s="1109"/>
      <c r="L2" s="1109"/>
      <c r="M2" s="1109"/>
      <c r="N2" s="1110"/>
    </row>
    <row r="3" spans="1:14" ht="18" thickBot="1">
      <c r="A3" s="1104"/>
      <c r="B3" s="1105"/>
      <c r="C3" s="1107"/>
      <c r="D3" s="275" t="str">
        <f>'جریان نقدینگی'!C2</f>
        <v>سال جاری</v>
      </c>
      <c r="E3" s="275" t="str">
        <f>'جریان نقدینگی'!D2</f>
        <v xml:space="preserve">سال اول </v>
      </c>
      <c r="F3" s="275" t="str">
        <f>'جریان نقدینگی'!E2</f>
        <v>سال دوم</v>
      </c>
      <c r="G3" s="275" t="str">
        <f>'جریان نقدینگی'!F2</f>
        <v>سال سوم</v>
      </c>
      <c r="H3" s="275" t="str">
        <f>'جریان نقدینگی'!G2</f>
        <v>سال چهارم</v>
      </c>
      <c r="I3" s="275" t="str">
        <f>'جریان نقدینگی'!H2</f>
        <v>سال پنجم</v>
      </c>
      <c r="J3" s="275" t="str">
        <f>'جریان نقدینگی'!I2</f>
        <v>سال ششم</v>
      </c>
      <c r="K3" s="275" t="str">
        <f>'جریان نقدینگی'!J2</f>
        <v>سال هفتم</v>
      </c>
      <c r="L3" s="275" t="str">
        <f>'جریان نقدینگی'!K2</f>
        <v>سال هشتم</v>
      </c>
      <c r="M3" s="275" t="str">
        <f>'جریان نقدینگی'!L2</f>
        <v>سال نهم</v>
      </c>
      <c r="N3" s="276" t="str">
        <f>'جریان نقدینگی'!M2</f>
        <v>سال دهم</v>
      </c>
    </row>
    <row r="4" spans="1:14">
      <c r="A4" s="1116" t="s">
        <v>338</v>
      </c>
      <c r="B4" s="111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8"/>
    </row>
    <row r="5" spans="1:14">
      <c r="A5" s="1113" t="s">
        <v>339</v>
      </c>
      <c r="B5" s="269">
        <f>'سرمايه در گردش'!B14</f>
        <v>0</v>
      </c>
      <c r="C5" s="279">
        <f>'[1]هزينه توليد وسرمايه در گردش'!D22</f>
        <v>0</v>
      </c>
      <c r="D5" s="279">
        <f>'سرمايه در گردش'!C14</f>
        <v>0</v>
      </c>
      <c r="E5" s="279">
        <f>'سرمايه در گردش'!D14</f>
        <v>0</v>
      </c>
      <c r="F5" s="279">
        <f>'سرمايه در گردش'!E14</f>
        <v>0</v>
      </c>
      <c r="G5" s="279">
        <f>'سرمايه در گردش'!F14</f>
        <v>0</v>
      </c>
      <c r="H5" s="279">
        <f>'سرمايه در گردش'!G14</f>
        <v>0</v>
      </c>
      <c r="I5" s="279">
        <f>'سرمايه در گردش'!H14</f>
        <v>0</v>
      </c>
      <c r="J5" s="279">
        <f>'سرمايه در گردش'!I14</f>
        <v>0</v>
      </c>
      <c r="K5" s="279">
        <f>'سرمايه در گردش'!J14</f>
        <v>0</v>
      </c>
      <c r="L5" s="279">
        <f>'سرمايه در گردش'!K14</f>
        <v>0</v>
      </c>
      <c r="M5" s="279">
        <f>'سرمايه در گردش'!L14</f>
        <v>0</v>
      </c>
      <c r="N5" s="279">
        <f>'سرمايه در گردش'!M14</f>
        <v>0</v>
      </c>
    </row>
    <row r="6" spans="1:14">
      <c r="A6" s="1113"/>
      <c r="B6" s="269" t="str">
        <f>'سرمايه در گردش'!B15</f>
        <v>مواد اوليه</v>
      </c>
      <c r="C6" s="279">
        <v>0</v>
      </c>
      <c r="D6" s="279">
        <f>'سرمايه در گردش'!C15</f>
        <v>0</v>
      </c>
      <c r="E6" s="279">
        <f>'سرمايه در گردش'!D15</f>
        <v>0</v>
      </c>
      <c r="F6" s="279">
        <f>'سرمايه در گردش'!E15</f>
        <v>0</v>
      </c>
      <c r="G6" s="279">
        <f>'سرمايه در گردش'!F15</f>
        <v>0</v>
      </c>
      <c r="H6" s="279">
        <f>'سرمايه در گردش'!G15</f>
        <v>0</v>
      </c>
      <c r="I6" s="279">
        <f>'سرمايه در گردش'!H15</f>
        <v>0</v>
      </c>
      <c r="J6" s="279">
        <f>'سرمايه در گردش'!I15</f>
        <v>0</v>
      </c>
      <c r="K6" s="279">
        <f>'سرمايه در گردش'!J15</f>
        <v>0</v>
      </c>
      <c r="L6" s="279">
        <f>'سرمايه در گردش'!K15</f>
        <v>0</v>
      </c>
      <c r="M6" s="279">
        <f>'سرمايه در گردش'!L15</f>
        <v>0</v>
      </c>
      <c r="N6" s="279">
        <f>'سرمايه در گردش'!M15</f>
        <v>0</v>
      </c>
    </row>
    <row r="7" spans="1:14">
      <c r="A7" s="1113"/>
      <c r="B7" s="269" t="str">
        <f>'سرمايه در گردش'!B16</f>
        <v xml:space="preserve">موجودی کالای ساخته شده </v>
      </c>
      <c r="C7" s="279">
        <v>0</v>
      </c>
      <c r="D7" s="279">
        <f>'سرمايه در گردش'!C16</f>
        <v>2470799.375</v>
      </c>
      <c r="E7" s="279">
        <f>'سرمايه در گردش'!D16</f>
        <v>2470799.375</v>
      </c>
      <c r="F7" s="279">
        <f>'سرمايه در گردش'!E16</f>
        <v>2470799.375</v>
      </c>
      <c r="G7" s="279">
        <f>'سرمايه در گردش'!F16</f>
        <v>2470799.375</v>
      </c>
      <c r="H7" s="279">
        <f>'سرمايه در گردش'!G16</f>
        <v>2470799.375</v>
      </c>
      <c r="I7" s="279">
        <f>'سرمايه در گردش'!H16</f>
        <v>2470799.375</v>
      </c>
      <c r="J7" s="279">
        <f>'سرمايه در گردش'!I16</f>
        <v>2470799.375</v>
      </c>
      <c r="K7" s="279">
        <f>'سرمايه در گردش'!J16</f>
        <v>2470799.375</v>
      </c>
      <c r="L7" s="279">
        <f>'سرمايه در گردش'!K16</f>
        <v>2470799.375</v>
      </c>
      <c r="M7" s="279">
        <f>'سرمايه در گردش'!L16</f>
        <v>2470799.375</v>
      </c>
      <c r="N7" s="279">
        <f>'سرمايه در گردش'!M16</f>
        <v>2470799.375</v>
      </c>
    </row>
    <row r="8" spans="1:14">
      <c r="A8" s="1113"/>
      <c r="B8" s="269" t="str">
        <f>'سرمايه در گردش'!B17</f>
        <v>مطالبات</v>
      </c>
      <c r="C8" s="279">
        <v>0</v>
      </c>
      <c r="D8" s="279">
        <f>'سرمايه در گردش'!C17</f>
        <v>4775299.3850000007</v>
      </c>
      <c r="E8" s="279">
        <f>'سرمايه در گردش'!D17</f>
        <v>4775299.3850000007</v>
      </c>
      <c r="F8" s="279">
        <f>'سرمايه در گردش'!E17</f>
        <v>4775299.3850000007</v>
      </c>
      <c r="G8" s="279">
        <f>'سرمايه در گردش'!F17</f>
        <v>4775299.3850000007</v>
      </c>
      <c r="H8" s="279">
        <f>'سرمايه در گردش'!G17</f>
        <v>4775299.3850000007</v>
      </c>
      <c r="I8" s="279">
        <f>'سرمايه در گردش'!H17</f>
        <v>4775299.3849999998</v>
      </c>
      <c r="J8" s="279">
        <f>'سرمايه در گردش'!I17</f>
        <v>4775299.3849999998</v>
      </c>
      <c r="K8" s="279">
        <f>'سرمايه در گردش'!J17</f>
        <v>4775299.3849999998</v>
      </c>
      <c r="L8" s="279">
        <f>'سرمايه در گردش'!K17</f>
        <v>4775299.3849999998</v>
      </c>
      <c r="M8" s="279">
        <f>'سرمايه در گردش'!L17</f>
        <v>4775299.3849999998</v>
      </c>
      <c r="N8" s="279">
        <f>'سرمايه در گردش'!M17</f>
        <v>4775299.3849999998</v>
      </c>
    </row>
    <row r="9" spans="1:14">
      <c r="A9" s="1113"/>
      <c r="B9" s="269" t="str">
        <f>'سرمايه در گردش'!B18</f>
        <v>تنخواه گردان</v>
      </c>
      <c r="C9" s="279">
        <v>0</v>
      </c>
      <c r="D9" s="279">
        <f>'سرمايه در گردش'!C18</f>
        <v>0</v>
      </c>
      <c r="E9" s="279">
        <f>'سرمايه در گردش'!D18</f>
        <v>0</v>
      </c>
      <c r="F9" s="279">
        <f>'سرمايه در گردش'!E18</f>
        <v>0</v>
      </c>
      <c r="G9" s="279">
        <f>'سرمايه در گردش'!F18</f>
        <v>0</v>
      </c>
      <c r="H9" s="279">
        <f>'سرمايه در گردش'!G18</f>
        <v>0</v>
      </c>
      <c r="I9" s="279">
        <f>'سرمايه در گردش'!H18</f>
        <v>0</v>
      </c>
      <c r="J9" s="279">
        <f>'سرمايه در گردش'!I18</f>
        <v>0</v>
      </c>
      <c r="K9" s="279">
        <f>'سرمايه در گردش'!J18</f>
        <v>0</v>
      </c>
      <c r="L9" s="279">
        <f>'سرمايه در گردش'!K18</f>
        <v>0</v>
      </c>
      <c r="M9" s="279">
        <f>'سرمايه در گردش'!L18</f>
        <v>0</v>
      </c>
      <c r="N9" s="279">
        <f>'سرمايه در گردش'!M18</f>
        <v>0</v>
      </c>
    </row>
    <row r="10" spans="1:14">
      <c r="A10" s="1113"/>
      <c r="B10" s="269" t="str">
        <f>'سرمايه در گردش'!B19</f>
        <v>موجودی کالای در جریال ساخت</v>
      </c>
      <c r="C10" s="279">
        <v>0</v>
      </c>
      <c r="D10" s="279">
        <f>'سرمايه در گردش'!C19</f>
        <v>0</v>
      </c>
      <c r="E10" s="279">
        <f>'سرمايه در گردش'!D19</f>
        <v>0</v>
      </c>
      <c r="F10" s="279">
        <f>'سرمايه در گردش'!E19</f>
        <v>0</v>
      </c>
      <c r="G10" s="279">
        <f>'سرمايه در گردش'!F19</f>
        <v>0</v>
      </c>
      <c r="H10" s="279">
        <f>'سرمايه در گردش'!G19</f>
        <v>0</v>
      </c>
      <c r="I10" s="279">
        <f>'سرمايه در گردش'!H19</f>
        <v>0</v>
      </c>
      <c r="J10" s="279">
        <f>'سرمايه در گردش'!I19</f>
        <v>0</v>
      </c>
      <c r="K10" s="279">
        <f>'سرمايه در گردش'!J19</f>
        <v>0</v>
      </c>
      <c r="L10" s="279">
        <f>'سرمايه در گردش'!K19</f>
        <v>0</v>
      </c>
      <c r="M10" s="279">
        <f>'سرمايه در گردش'!L19</f>
        <v>0</v>
      </c>
      <c r="N10" s="279">
        <f>'سرمايه در گردش'!M19</f>
        <v>0</v>
      </c>
    </row>
    <row r="11" spans="1:14">
      <c r="A11" s="1113"/>
      <c r="B11" s="269" t="s">
        <v>340</v>
      </c>
      <c r="C11" s="279">
        <v>0</v>
      </c>
      <c r="D11" s="279">
        <f>'منابع و مصارف1'!D32</f>
        <v>241351144.40702483</v>
      </c>
      <c r="E11" s="279">
        <f>'منابع و مصارف1'!E32</f>
        <v>634047551.78702486</v>
      </c>
      <c r="F11" s="279">
        <f>'منابع و مصارف1'!F32</f>
        <v>1176743959.1670249</v>
      </c>
      <c r="G11" s="279">
        <f>'منابع و مصارف1'!G32</f>
        <v>1969440366.5470247</v>
      </c>
      <c r="H11" s="279">
        <f>'منابع و مصارف1'!H32</f>
        <v>1912136785.9270248</v>
      </c>
      <c r="I11" s="279">
        <f>'منابع و مصارف1'!I32</f>
        <v>1854833205.307025</v>
      </c>
      <c r="J11" s="279">
        <f>'منابع و مصارف1'!J32</f>
        <v>1797529624.6870251</v>
      </c>
      <c r="K11" s="279">
        <f>'منابع و مصارف1'!K32</f>
        <v>1740226044.0670252</v>
      </c>
      <c r="L11" s="279">
        <f>'منابع و مصارف1'!L32</f>
        <v>1682922463.4470253</v>
      </c>
      <c r="M11" s="279">
        <f>'منابع و مصارف1'!M32</f>
        <v>1625618882.8270254</v>
      </c>
      <c r="N11" s="279">
        <f>'منابع و مصارف1'!N32</f>
        <v>1568315302.2070255</v>
      </c>
    </row>
    <row r="12" spans="1:14">
      <c r="A12" s="1114" t="s">
        <v>341</v>
      </c>
      <c r="B12" s="1115"/>
      <c r="C12" s="280">
        <f>SUM(C5:C11)</f>
        <v>0</v>
      </c>
      <c r="D12" s="280">
        <f t="shared" ref="D12:N12" si="0">SUM(D5:D11)</f>
        <v>248597243.16702482</v>
      </c>
      <c r="E12" s="280">
        <f t="shared" si="0"/>
        <v>641293650.54702485</v>
      </c>
      <c r="F12" s="280">
        <f t="shared" si="0"/>
        <v>1183990057.9270248</v>
      </c>
      <c r="G12" s="280">
        <f t="shared" si="0"/>
        <v>1976686465.3070247</v>
      </c>
      <c r="H12" s="280">
        <f t="shared" si="0"/>
        <v>1919382884.6870248</v>
      </c>
      <c r="I12" s="280">
        <f t="shared" si="0"/>
        <v>1862079304.0670249</v>
      </c>
      <c r="J12" s="280">
        <f t="shared" si="0"/>
        <v>1804775723.4470251</v>
      </c>
      <c r="K12" s="280">
        <f t="shared" si="0"/>
        <v>1747472142.8270252</v>
      </c>
      <c r="L12" s="280">
        <f t="shared" si="0"/>
        <v>1690168562.2070253</v>
      </c>
      <c r="M12" s="280">
        <f t="shared" si="0"/>
        <v>1632864981.5870254</v>
      </c>
      <c r="N12" s="280">
        <f t="shared" si="0"/>
        <v>1575561400.9670255</v>
      </c>
    </row>
    <row r="13" spans="1:14">
      <c r="A13" s="1113" t="s">
        <v>342</v>
      </c>
      <c r="B13" s="269" t="s">
        <v>342</v>
      </c>
      <c r="C13" s="279">
        <f>'سرمايه‌‌گذاري طرح'!$F$13</f>
        <v>195845000</v>
      </c>
      <c r="D13" s="279">
        <f>'سرمايه‌‌گذاري طرح'!$F$13</f>
        <v>195845000</v>
      </c>
      <c r="E13" s="279">
        <f>'سرمايه‌‌گذاري طرح'!$F$13</f>
        <v>195845000</v>
      </c>
      <c r="F13" s="279">
        <f>'سرمايه‌‌گذاري طرح'!$F$13</f>
        <v>195845000</v>
      </c>
      <c r="G13" s="279">
        <f>'سرمايه‌‌گذاري طرح'!$F$13</f>
        <v>195845000</v>
      </c>
      <c r="H13" s="279">
        <f>'سرمايه‌‌گذاري طرح'!$F$13</f>
        <v>195845000</v>
      </c>
      <c r="I13" s="279">
        <f>'سرمايه‌‌گذاري طرح'!$F$13</f>
        <v>195845000</v>
      </c>
      <c r="J13" s="279">
        <f>'سرمايه‌‌گذاري طرح'!$F$13</f>
        <v>195845000</v>
      </c>
      <c r="K13" s="279">
        <f>'سرمايه‌‌گذاري طرح'!$F$13</f>
        <v>195845000</v>
      </c>
      <c r="L13" s="279">
        <f>'سرمايه‌‌گذاري طرح'!$F$13</f>
        <v>195845000</v>
      </c>
      <c r="M13" s="279">
        <f>'سرمايه‌‌گذاري طرح'!$F$13</f>
        <v>195845000</v>
      </c>
      <c r="N13" s="279">
        <f>'سرمايه‌‌گذاري طرح'!$F$13</f>
        <v>195845000</v>
      </c>
    </row>
    <row r="14" spans="1:14">
      <c r="A14" s="1113"/>
      <c r="B14" s="269" t="s">
        <v>343</v>
      </c>
      <c r="C14" s="279">
        <v>0</v>
      </c>
      <c r="D14" s="279">
        <f>'پيش بيني عملكرد سود و زيان'!C11</f>
        <v>237606103.62035227</v>
      </c>
      <c r="E14" s="279">
        <f>'پيش بيني عملكرد سود و زيان'!D11+D14</f>
        <v>475212207.24070454</v>
      </c>
      <c r="F14" s="279">
        <f>'پيش بيني عملكرد سود و زيان'!E11+E14</f>
        <v>712818310.8610568</v>
      </c>
      <c r="G14" s="279">
        <f>'پيش بيني عملكرد سود و زيان'!F11+F14</f>
        <v>950424414.48140907</v>
      </c>
      <c r="H14" s="279">
        <f>'پيش بيني عملكرد سود و زيان'!G11+G14</f>
        <v>1188030518.1017613</v>
      </c>
      <c r="I14" s="279">
        <f>'پيش بيني عملكرد سود و زيان'!H11+H14</f>
        <v>1194246368.1017613</v>
      </c>
      <c r="J14" s="279">
        <f>'پيش بيني عملكرد سود و زيان'!I11+I14</f>
        <v>1200462218.1017613</v>
      </c>
      <c r="K14" s="279">
        <f>'پيش بيني عملكرد سود و زيان'!J11+J14</f>
        <v>1206678068.1017613</v>
      </c>
      <c r="L14" s="279">
        <f>'پيش بيني عملكرد سود و زيان'!K11+K14</f>
        <v>1212893918.1017613</v>
      </c>
      <c r="M14" s="279">
        <f>'پيش بيني عملكرد سود و زيان'!L11+L14</f>
        <v>1219109768.1017613</v>
      </c>
      <c r="N14" s="279">
        <f>'پيش بيني عملكرد سود و زيان'!M11+M14</f>
        <v>1224275768.1017613</v>
      </c>
    </row>
    <row r="15" spans="1:14" ht="24">
      <c r="A15" s="1111" t="s">
        <v>344</v>
      </c>
      <c r="B15" s="1112"/>
      <c r="C15" s="280">
        <f>C13-C14</f>
        <v>195845000</v>
      </c>
      <c r="D15" s="280">
        <f t="shared" ref="D15:N15" si="1">D13-D14</f>
        <v>-41761103.620352268</v>
      </c>
      <c r="E15" s="280">
        <f t="shared" si="1"/>
        <v>-279367207.24070454</v>
      </c>
      <c r="F15" s="280">
        <f t="shared" si="1"/>
        <v>-516973310.8610568</v>
      </c>
      <c r="G15" s="280">
        <f t="shared" si="1"/>
        <v>-754579414.48140907</v>
      </c>
      <c r="H15" s="280">
        <f t="shared" si="1"/>
        <v>-992185518.10176134</v>
      </c>
      <c r="I15" s="280">
        <f t="shared" si="1"/>
        <v>-998401368.10176134</v>
      </c>
      <c r="J15" s="280">
        <f t="shared" si="1"/>
        <v>-1004617218.1017613</v>
      </c>
      <c r="K15" s="280">
        <f t="shared" si="1"/>
        <v>-1010833068.1017613</v>
      </c>
      <c r="L15" s="280">
        <f t="shared" si="1"/>
        <v>-1017048918.1017613</v>
      </c>
      <c r="M15" s="280">
        <f t="shared" si="1"/>
        <v>-1023264768.1017613</v>
      </c>
      <c r="N15" s="280">
        <f t="shared" si="1"/>
        <v>-1028430768.1017613</v>
      </c>
    </row>
    <row r="16" spans="1:14">
      <c r="A16" s="1113" t="s">
        <v>345</v>
      </c>
      <c r="B16" s="269" t="s">
        <v>346</v>
      </c>
      <c r="C16" s="279">
        <f>'سرمايه‌‌گذاري طرح'!$F$14</f>
        <v>1275001409.0019569</v>
      </c>
      <c r="D16" s="279">
        <f>'سرمايه‌‌گذاري طرح'!$F$14</f>
        <v>1275001409.0019569</v>
      </c>
      <c r="E16" s="279">
        <f>'سرمايه‌‌گذاري طرح'!$F$14</f>
        <v>1275001409.0019569</v>
      </c>
      <c r="F16" s="279">
        <f>'سرمايه‌‌گذاري طرح'!$F$14</f>
        <v>1275001409.0019569</v>
      </c>
      <c r="G16" s="279">
        <f>'سرمايه‌‌گذاري طرح'!$F$14</f>
        <v>1275001409.0019569</v>
      </c>
      <c r="H16" s="279">
        <f>'سرمايه‌‌گذاري طرح'!$F$14</f>
        <v>1275001409.0019569</v>
      </c>
      <c r="I16" s="279">
        <f>'سرمايه‌‌گذاري طرح'!$F$14</f>
        <v>1275001409.0019569</v>
      </c>
      <c r="J16" s="279">
        <f>'سرمايه‌‌گذاري طرح'!$F$14</f>
        <v>1275001409.0019569</v>
      </c>
      <c r="K16" s="279">
        <f>'سرمايه‌‌گذاري طرح'!$F$14</f>
        <v>1275001409.0019569</v>
      </c>
      <c r="L16" s="279">
        <f>'سرمايه‌‌گذاري طرح'!$F$14</f>
        <v>1275001409.0019569</v>
      </c>
      <c r="M16" s="279">
        <f>'سرمايه‌‌گذاري طرح'!$F$14</f>
        <v>1275001409.0019569</v>
      </c>
      <c r="N16" s="279">
        <f>'سرمايه‌‌گذاري طرح'!$F$14</f>
        <v>1275001409.0019569</v>
      </c>
    </row>
    <row r="17" spans="1:14">
      <c r="A17" s="1113"/>
      <c r="B17" s="269" t="s">
        <v>347</v>
      </c>
      <c r="C17" s="279">
        <v>0</v>
      </c>
      <c r="D17" s="279">
        <f>استهلاك!C29</f>
        <v>229500253.62035227</v>
      </c>
      <c r="E17" s="279">
        <f>استهلاك!D29+D17</f>
        <v>459000507.24070454</v>
      </c>
      <c r="F17" s="279">
        <f>استهلاك!E29+E17</f>
        <v>688500760.8610568</v>
      </c>
      <c r="G17" s="279">
        <f>استهلاك!F29+F17</f>
        <v>918001014.48140907</v>
      </c>
      <c r="H17" s="279">
        <f>استهلاك!G29+G17</f>
        <v>1147501268.1017613</v>
      </c>
      <c r="I17" s="279">
        <f>استهلاك!H29+H17</f>
        <v>1147501268.1017613</v>
      </c>
      <c r="J17" s="279">
        <f>استهلاك!I29+I17</f>
        <v>1147501268.1017613</v>
      </c>
      <c r="K17" s="279">
        <f>استهلاك!J29+J17</f>
        <v>1147501268.1017613</v>
      </c>
      <c r="L17" s="279">
        <f>استهلاك!K29+K17</f>
        <v>1147501268.1017613</v>
      </c>
      <c r="M17" s="279">
        <f>استهلاك!L29+L17</f>
        <v>1147501268.1017613</v>
      </c>
      <c r="N17" s="279">
        <f>استهلاك!M29+M17</f>
        <v>1147501268.1017613</v>
      </c>
    </row>
    <row r="18" spans="1:14" s="268" customFormat="1">
      <c r="A18" s="1114" t="s">
        <v>348</v>
      </c>
      <c r="B18" s="1115"/>
      <c r="C18" s="280">
        <f>C16-C17</f>
        <v>1275001409.0019569</v>
      </c>
      <c r="D18" s="280">
        <f t="shared" ref="D18:N18" si="2">D16-D17</f>
        <v>1045501155.3816047</v>
      </c>
      <c r="E18" s="280">
        <f t="shared" si="2"/>
        <v>816000901.7612524</v>
      </c>
      <c r="F18" s="280">
        <f t="shared" si="2"/>
        <v>586500648.14090014</v>
      </c>
      <c r="G18" s="280">
        <f t="shared" si="2"/>
        <v>357000394.52054787</v>
      </c>
      <c r="H18" s="280">
        <f t="shared" si="2"/>
        <v>127500140.9001956</v>
      </c>
      <c r="I18" s="280">
        <f t="shared" si="2"/>
        <v>127500140.9001956</v>
      </c>
      <c r="J18" s="280">
        <f t="shared" si="2"/>
        <v>127500140.9001956</v>
      </c>
      <c r="K18" s="280">
        <f t="shared" si="2"/>
        <v>127500140.9001956</v>
      </c>
      <c r="L18" s="280">
        <f t="shared" si="2"/>
        <v>127500140.9001956</v>
      </c>
      <c r="M18" s="280">
        <f t="shared" si="2"/>
        <v>127500140.9001956</v>
      </c>
      <c r="N18" s="280">
        <f t="shared" si="2"/>
        <v>127500140.9001956</v>
      </c>
    </row>
    <row r="19" spans="1:14" ht="18" thickBot="1">
      <c r="A19" s="1114" t="s">
        <v>349</v>
      </c>
      <c r="B19" s="1115"/>
      <c r="C19" s="280">
        <f>C12+C15+C18</f>
        <v>1470846409.0019569</v>
      </c>
      <c r="D19" s="280">
        <f t="shared" ref="D19:N19" si="3">D12+D15+D18</f>
        <v>1252337294.9282773</v>
      </c>
      <c r="E19" s="280">
        <f t="shared" si="3"/>
        <v>1177927345.0675726</v>
      </c>
      <c r="F19" s="280">
        <f t="shared" si="3"/>
        <v>1253517395.2068682</v>
      </c>
      <c r="G19" s="280">
        <f t="shared" si="3"/>
        <v>1579107445.3461635</v>
      </c>
      <c r="H19" s="280">
        <f t="shared" si="3"/>
        <v>1054697507.4854591</v>
      </c>
      <c r="I19" s="280">
        <f t="shared" si="3"/>
        <v>991178076.8654592</v>
      </c>
      <c r="J19" s="280">
        <f t="shared" si="3"/>
        <v>927658646.24545932</v>
      </c>
      <c r="K19" s="280">
        <f t="shared" si="3"/>
        <v>864139215.62545943</v>
      </c>
      <c r="L19" s="280">
        <f t="shared" si="3"/>
        <v>800619785.00545955</v>
      </c>
      <c r="M19" s="280">
        <f t="shared" si="3"/>
        <v>737100354.38545966</v>
      </c>
      <c r="N19" s="280">
        <f t="shared" si="3"/>
        <v>674630773.76545978</v>
      </c>
    </row>
    <row r="20" spans="1:14">
      <c r="A20" s="1116" t="s">
        <v>350</v>
      </c>
      <c r="B20" s="1117"/>
      <c r="C20" s="281"/>
      <c r="D20" s="281"/>
      <c r="E20" s="281"/>
      <c r="F20" s="281"/>
      <c r="G20" s="281"/>
      <c r="H20" s="281"/>
      <c r="I20" s="282"/>
      <c r="J20" s="566">
        <v>0</v>
      </c>
      <c r="K20" s="566">
        <v>0</v>
      </c>
      <c r="L20" s="566">
        <v>0</v>
      </c>
      <c r="M20" s="566">
        <v>0</v>
      </c>
      <c r="N20" s="566">
        <v>0</v>
      </c>
    </row>
    <row r="21" spans="1:14">
      <c r="A21" s="1113" t="s">
        <v>420</v>
      </c>
      <c r="B21" s="269" t="s">
        <v>351</v>
      </c>
      <c r="C21" s="279">
        <f>'ترازنامه ایجادی'!B18</f>
        <v>0</v>
      </c>
      <c r="D21" s="279">
        <f>'ترازنامه ایجادی'!C18</f>
        <v>0</v>
      </c>
      <c r="E21" s="279">
        <f>'ترازنامه ایجادی'!D18</f>
        <v>0</v>
      </c>
      <c r="F21" s="279">
        <f>'ترازنامه ایجادی'!E18</f>
        <v>0</v>
      </c>
      <c r="G21" s="279">
        <f>'ترازنامه ایجادی'!F18</f>
        <v>0</v>
      </c>
      <c r="H21" s="279">
        <f>'ترازنامه ایجادی'!G18</f>
        <v>0</v>
      </c>
      <c r="I21" s="279">
        <f>'ترازنامه ایجادی'!H18</f>
        <v>0</v>
      </c>
      <c r="J21" s="279">
        <f>'ترازنامه ایجادی'!I18</f>
        <v>0</v>
      </c>
      <c r="K21" s="279">
        <f>'ترازنامه ایجادی'!J18</f>
        <v>0</v>
      </c>
      <c r="L21" s="279">
        <f>'ترازنامه ایجادی'!K18</f>
        <v>0</v>
      </c>
      <c r="M21" s="279">
        <f>'ترازنامه ایجادی'!L18</f>
        <v>0</v>
      </c>
      <c r="N21" s="279">
        <f>'ترازنامه ایجادی'!M18</f>
        <v>0</v>
      </c>
    </row>
    <row r="22" spans="1:14">
      <c r="A22" s="1113"/>
      <c r="B22" s="269" t="s">
        <v>352</v>
      </c>
      <c r="C22" s="340" t="e">
        <f>'[1]منابع و مصارف'!D34</f>
        <v>#REF!</v>
      </c>
      <c r="D22" s="340" t="e">
        <f>'[1]منابع و مصارف'!E34</f>
        <v>#REF!</v>
      </c>
      <c r="E22" s="340" t="e">
        <f>'[1]منابع و مصارف'!F34</f>
        <v>#REF!</v>
      </c>
      <c r="F22" s="340" t="e">
        <f>'[1]منابع و مصارف'!G34</f>
        <v>#REF!</v>
      </c>
      <c r="G22" s="340" t="e">
        <f>'[1]منابع و مصارف'!H34</f>
        <v>#REF!</v>
      </c>
      <c r="H22" s="340" t="e">
        <f>'[1]منابع و مصارف'!I34</f>
        <v>#REF!</v>
      </c>
      <c r="I22" s="340" t="e">
        <f>'[1]منابع و مصارف'!J34</f>
        <v>#REF!</v>
      </c>
      <c r="J22" s="340" t="e">
        <f>'[1]منابع و مصارف'!K34</f>
        <v>#REF!</v>
      </c>
      <c r="K22" s="340" t="e">
        <f>'[1]منابع و مصارف'!L34</f>
        <v>#REF!</v>
      </c>
      <c r="L22" s="340" t="e">
        <f>'[1]منابع و مصارف'!M34</f>
        <v>#REF!</v>
      </c>
      <c r="M22" s="340" t="e">
        <f>'[1]منابع و مصارف'!N34</f>
        <v>#REF!</v>
      </c>
      <c r="N22" s="341"/>
    </row>
    <row r="23" spans="1:14">
      <c r="A23" s="1114" t="s">
        <v>354</v>
      </c>
      <c r="B23" s="1115"/>
      <c r="C23" s="280" t="e">
        <f t="shared" ref="C23:N23" si="4">SUM(C21:C22)</f>
        <v>#REF!</v>
      </c>
      <c r="D23" s="280" t="e">
        <f t="shared" si="4"/>
        <v>#REF!</v>
      </c>
      <c r="E23" s="280" t="e">
        <f t="shared" si="4"/>
        <v>#REF!</v>
      </c>
      <c r="F23" s="280" t="e">
        <f t="shared" si="4"/>
        <v>#REF!</v>
      </c>
      <c r="G23" s="280" t="e">
        <f t="shared" si="4"/>
        <v>#REF!</v>
      </c>
      <c r="H23" s="280" t="e">
        <f t="shared" si="4"/>
        <v>#REF!</v>
      </c>
      <c r="I23" s="280" t="e">
        <f t="shared" si="4"/>
        <v>#REF!</v>
      </c>
      <c r="J23" s="280" t="e">
        <f t="shared" si="4"/>
        <v>#REF!</v>
      </c>
      <c r="K23" s="280" t="e">
        <f t="shared" si="4"/>
        <v>#REF!</v>
      </c>
      <c r="L23" s="280" t="e">
        <f t="shared" si="4"/>
        <v>#REF!</v>
      </c>
      <c r="M23" s="280" t="e">
        <f t="shared" si="4"/>
        <v>#REF!</v>
      </c>
      <c r="N23" s="280">
        <f t="shared" si="4"/>
        <v>0</v>
      </c>
    </row>
    <row r="24" spans="1:14">
      <c r="A24" s="1113" t="s">
        <v>421</v>
      </c>
      <c r="B24" s="269" t="s">
        <v>355</v>
      </c>
      <c r="C24" s="279">
        <f>'منابع تامين سرمايه گذاري'!E18</f>
        <v>0</v>
      </c>
      <c r="D24" s="279">
        <f>'ترازنامه ایجادی'!C19</f>
        <v>0</v>
      </c>
      <c r="E24" s="279">
        <f>'ترازنامه ایجادی'!D19</f>
        <v>0</v>
      </c>
      <c r="F24" s="279">
        <f>'ترازنامه ایجادی'!E19</f>
        <v>0</v>
      </c>
      <c r="G24" s="279">
        <f>'ترازنامه ایجادی'!F19</f>
        <v>0</v>
      </c>
      <c r="H24" s="279">
        <f>'ترازنامه ایجادی'!G19</f>
        <v>0</v>
      </c>
      <c r="I24" s="279">
        <f>'ترازنامه ایجادی'!H19</f>
        <v>0</v>
      </c>
      <c r="J24" s="279">
        <f>'ترازنامه ایجادی'!I19</f>
        <v>0</v>
      </c>
      <c r="K24" s="279">
        <f>'ترازنامه ایجادی'!J19</f>
        <v>0</v>
      </c>
      <c r="L24" s="279">
        <f>'ترازنامه ایجادی'!K19</f>
        <v>0</v>
      </c>
      <c r="M24" s="279">
        <f>'ترازنامه ایجادی'!L19</f>
        <v>0</v>
      </c>
      <c r="N24" s="279">
        <f>'ترازنامه ایجادی'!M19</f>
        <v>0</v>
      </c>
    </row>
    <row r="25" spans="1:14">
      <c r="A25" s="1113"/>
      <c r="B25" s="269" t="s">
        <v>356</v>
      </c>
      <c r="C25" s="279">
        <f>'ترازنامه ایجادی'!B20-C27</f>
        <v>1460846409.0019569</v>
      </c>
      <c r="D25" s="279">
        <f>'ترازنامه ایجادی'!C20-D27</f>
        <v>1466747244.7889817</v>
      </c>
      <c r="E25" s="279">
        <f>'ترازنامه ایجادی'!D20-E27</f>
        <v>1466747244.7889817</v>
      </c>
      <c r="F25" s="279">
        <f>'ترازنامه ایجادی'!E20-F27</f>
        <v>1466747244.7889817</v>
      </c>
      <c r="G25" s="279">
        <f>'ترازنامه ایجادی'!F20-G27</f>
        <v>1466747244.7889817</v>
      </c>
      <c r="H25" s="279">
        <f>'ترازنامه ایجادی'!G20-H27</f>
        <v>1466747244.7889817</v>
      </c>
      <c r="I25" s="279">
        <f>'ترازنامه ایجادی'!H20-I27</f>
        <v>1466747244.7889817</v>
      </c>
      <c r="J25" s="279">
        <f>'ترازنامه ایجادی'!I20-J27</f>
        <v>1466747244.7889817</v>
      </c>
      <c r="K25" s="279">
        <f>'ترازنامه ایجادی'!J20-K27</f>
        <v>1466747244.7889817</v>
      </c>
      <c r="L25" s="279">
        <f>'ترازنامه ایجادی'!K20-L27</f>
        <v>1466747244.7889817</v>
      </c>
      <c r="M25" s="279">
        <f>'ترازنامه ایجادی'!L20-M27</f>
        <v>1466747244.7889817</v>
      </c>
      <c r="N25" s="279">
        <f>'ترازنامه ایجادی'!M20-N27</f>
        <v>1466747244.7889817</v>
      </c>
    </row>
    <row r="26" spans="1:14">
      <c r="A26" s="1120" t="s">
        <v>357</v>
      </c>
      <c r="B26" s="1121"/>
      <c r="C26" s="280">
        <f t="shared" ref="C26:N26" si="5">SUM(C24:C25)</f>
        <v>1460846409.0019569</v>
      </c>
      <c r="D26" s="280">
        <f t="shared" si="5"/>
        <v>1466747244.7889817</v>
      </c>
      <c r="E26" s="280">
        <f t="shared" si="5"/>
        <v>1466747244.7889817</v>
      </c>
      <c r="F26" s="280">
        <f t="shared" si="5"/>
        <v>1466747244.7889817</v>
      </c>
      <c r="G26" s="280">
        <f t="shared" si="5"/>
        <v>1466747244.7889817</v>
      </c>
      <c r="H26" s="280">
        <f t="shared" si="5"/>
        <v>1466747244.7889817</v>
      </c>
      <c r="I26" s="280">
        <f t="shared" si="5"/>
        <v>1466747244.7889817</v>
      </c>
      <c r="J26" s="280">
        <f t="shared" si="5"/>
        <v>1466747244.7889817</v>
      </c>
      <c r="K26" s="280">
        <f t="shared" si="5"/>
        <v>1466747244.7889817</v>
      </c>
      <c r="L26" s="280">
        <f t="shared" si="5"/>
        <v>1466747244.7889817</v>
      </c>
      <c r="M26" s="280">
        <f t="shared" si="5"/>
        <v>1466747244.7889817</v>
      </c>
      <c r="N26" s="280">
        <f t="shared" si="5"/>
        <v>1466747244.7889817</v>
      </c>
    </row>
    <row r="27" spans="1:14">
      <c r="A27" s="1113" t="s">
        <v>358</v>
      </c>
      <c r="B27" s="269" t="s">
        <v>359</v>
      </c>
      <c r="C27" s="279">
        <f>'منابع و مصارف'!$B$11</f>
        <v>10000000</v>
      </c>
      <c r="D27" s="279">
        <f>'منابع و مصارف'!$B$11</f>
        <v>10000000</v>
      </c>
      <c r="E27" s="279">
        <f>'منابع و مصارف'!$B$11</f>
        <v>10000000</v>
      </c>
      <c r="F27" s="279">
        <f>'منابع و مصارف'!$B$11</f>
        <v>10000000</v>
      </c>
      <c r="G27" s="279">
        <f>'منابع و مصارف'!$B$11</f>
        <v>10000000</v>
      </c>
      <c r="H27" s="279">
        <f>'منابع و مصارف'!$B$11</f>
        <v>10000000</v>
      </c>
      <c r="I27" s="279">
        <f>'منابع و مصارف'!$B$11</f>
        <v>10000000</v>
      </c>
      <c r="J27" s="279">
        <f>'منابع و مصارف'!$B$11</f>
        <v>10000000</v>
      </c>
      <c r="K27" s="279">
        <f>'منابع و مصارف'!$B$11</f>
        <v>10000000</v>
      </c>
      <c r="L27" s="279">
        <f>'منابع و مصارف'!$B$11</f>
        <v>10000000</v>
      </c>
      <c r="M27" s="279">
        <f>'منابع و مصارف'!$B$11</f>
        <v>10000000</v>
      </c>
      <c r="N27" s="279">
        <f>'منابع و مصارف'!$B$11</f>
        <v>10000000</v>
      </c>
    </row>
    <row r="28" spans="1:14">
      <c r="A28" s="1113"/>
      <c r="B28" s="270" t="s">
        <v>360</v>
      </c>
      <c r="C28" s="279">
        <v>0</v>
      </c>
      <c r="D28" s="279">
        <f>'پيش بيني عملكرد سود و زيان'!C52</f>
        <v>-224409949.86070454</v>
      </c>
      <c r="E28" s="279">
        <f>'پيش بيني عملكرد سود و زيان'!D52</f>
        <v>-298819899.72140908</v>
      </c>
      <c r="F28" s="279">
        <f>'پيش بيني عملكرد سود و زيان'!E52</f>
        <v>-227009352.0890784</v>
      </c>
      <c r="G28" s="279">
        <f>'پيش بيني عملكرد سود و زيان'!F52</f>
        <v>82301195.543252259</v>
      </c>
      <c r="H28" s="279">
        <f>'پيش بيني عملكرد سود و زيان'!G52</f>
        <v>-442108742.31745231</v>
      </c>
      <c r="I28" s="279">
        <f>'پيش بيني عملكرد سود و زيان'!H52</f>
        <v>-505628172.93745232</v>
      </c>
      <c r="J28" s="279">
        <f>'پيش بيني عملكرد سود و زيان'!I52</f>
        <v>-569147603.55745232</v>
      </c>
      <c r="K28" s="279">
        <f>'پيش بيني عملكرد سود و زيان'!J52</f>
        <v>-632667034.17745233</v>
      </c>
      <c r="L28" s="279">
        <f>'پيش بيني عملكرد سود و زيان'!K52</f>
        <v>-696186464.79745233</v>
      </c>
      <c r="M28" s="279">
        <f>'پيش بيني عملكرد سود و زيان'!L52</f>
        <v>-759705895.41745234</v>
      </c>
      <c r="N28" s="279">
        <f>'پيش بيني عملكرد سود و زيان'!M52</f>
        <v>-822175476.03745234</v>
      </c>
    </row>
    <row r="29" spans="1:14">
      <c r="A29" s="1113"/>
      <c r="B29" s="269" t="s">
        <v>330</v>
      </c>
      <c r="C29" s="279">
        <v>0</v>
      </c>
      <c r="D29" s="279">
        <f>'پيش بيني عملكرد سود و زيان'!C48</f>
        <v>0</v>
      </c>
      <c r="E29" s="279">
        <f>SUM('پيش بيني عملكرد سود و زيان'!C48:D48)</f>
        <v>0</v>
      </c>
      <c r="F29" s="279">
        <f>SUM('پيش بيني عملكرد سود و زيان'!C48:E48)</f>
        <v>3779502.5069647729</v>
      </c>
      <c r="G29" s="279">
        <f>SUM('پيش بيني عملكرد سود و زيان'!C48:F48)</f>
        <v>20059005.013929546</v>
      </c>
      <c r="H29" s="279">
        <f>SUM('پيش بيني عملكرد سود و زيان'!C48:G48)</f>
        <v>20059005.013929546</v>
      </c>
      <c r="I29" s="279">
        <f>SUM('پيش بيني عملكرد سود و زيان'!C48:H48)</f>
        <v>20059005.013929546</v>
      </c>
      <c r="J29" s="279">
        <f>SUM('پيش بيني عملكرد سود و زيان'!C48:I48)</f>
        <v>20059005.013929546</v>
      </c>
      <c r="K29" s="279">
        <f>SUM('پيش بيني عملكرد سود و زيان'!C48:J48)</f>
        <v>20059005.013929546</v>
      </c>
      <c r="L29" s="279">
        <f>SUM('پيش بيني عملكرد سود و زيان'!C48:K48)</f>
        <v>20059005.013929546</v>
      </c>
      <c r="M29" s="279">
        <f>SUM('پيش بيني عملكرد سود و زيان'!C48:L48)</f>
        <v>20059005.013929546</v>
      </c>
      <c r="N29" s="279">
        <f>SUM('پيش بيني عملكرد سود و زيان'!C48:M48)</f>
        <v>20059005.013929546</v>
      </c>
    </row>
    <row r="30" spans="1:14">
      <c r="A30" s="1114" t="s">
        <v>361</v>
      </c>
      <c r="B30" s="1115"/>
      <c r="C30" s="280">
        <f t="shared" ref="C30:N30" si="6">SUM(C27:C29)</f>
        <v>10000000</v>
      </c>
      <c r="D30" s="280">
        <f>SUM(D27:D29)</f>
        <v>-214409949.86070454</v>
      </c>
      <c r="E30" s="280">
        <f>SUM(E27:E29)</f>
        <v>-288819899.72140908</v>
      </c>
      <c r="F30" s="280">
        <f t="shared" si="6"/>
        <v>-213229849.58211362</v>
      </c>
      <c r="G30" s="280">
        <f t="shared" si="6"/>
        <v>112360200.55718181</v>
      </c>
      <c r="H30" s="280">
        <f t="shared" si="6"/>
        <v>-412049737.30352277</v>
      </c>
      <c r="I30" s="280">
        <f t="shared" si="6"/>
        <v>-475569167.92352277</v>
      </c>
      <c r="J30" s="280">
        <f t="shared" si="6"/>
        <v>-539088598.54352283</v>
      </c>
      <c r="K30" s="280">
        <f t="shared" si="6"/>
        <v>-602608029.16352272</v>
      </c>
      <c r="L30" s="280">
        <f t="shared" si="6"/>
        <v>-666127459.78352284</v>
      </c>
      <c r="M30" s="280">
        <f t="shared" si="6"/>
        <v>-729646890.40352273</v>
      </c>
      <c r="N30" s="280">
        <f t="shared" si="6"/>
        <v>-792116471.02352285</v>
      </c>
    </row>
    <row r="31" spans="1:14" ht="18" thickBot="1">
      <c r="A31" s="1122" t="s">
        <v>362</v>
      </c>
      <c r="B31" s="1123"/>
      <c r="C31" s="283" t="e">
        <f t="shared" ref="C31:N31" si="7">C23+C26+C30</f>
        <v>#REF!</v>
      </c>
      <c r="D31" s="283" t="e">
        <f t="shared" si="7"/>
        <v>#REF!</v>
      </c>
      <c r="E31" s="283" t="e">
        <f t="shared" si="7"/>
        <v>#REF!</v>
      </c>
      <c r="F31" s="283" t="e">
        <f>F23+F26+F30</f>
        <v>#REF!</v>
      </c>
      <c r="G31" s="283" t="e">
        <f t="shared" si="7"/>
        <v>#REF!</v>
      </c>
      <c r="H31" s="283" t="e">
        <f t="shared" si="7"/>
        <v>#REF!</v>
      </c>
      <c r="I31" s="283" t="e">
        <f t="shared" si="7"/>
        <v>#REF!</v>
      </c>
      <c r="J31" s="283" t="e">
        <f t="shared" si="7"/>
        <v>#REF!</v>
      </c>
      <c r="K31" s="283" t="e">
        <f t="shared" si="7"/>
        <v>#REF!</v>
      </c>
      <c r="L31" s="283" t="e">
        <f t="shared" si="7"/>
        <v>#REF!</v>
      </c>
      <c r="M31" s="283" t="e">
        <f t="shared" si="7"/>
        <v>#REF!</v>
      </c>
      <c r="N31" s="283">
        <f t="shared" si="7"/>
        <v>674630773.76545882</v>
      </c>
    </row>
    <row r="32" spans="1:14" ht="18" thickBot="1">
      <c r="A32" s="271"/>
      <c r="B32" s="272"/>
      <c r="C32" s="284"/>
      <c r="D32" s="284"/>
      <c r="E32" s="284"/>
      <c r="F32" s="285"/>
      <c r="G32" s="284"/>
      <c r="H32" s="284"/>
      <c r="I32" s="284"/>
      <c r="J32" s="284"/>
      <c r="K32" s="284"/>
      <c r="L32" s="284"/>
      <c r="M32" s="284"/>
    </row>
    <row r="33" spans="1:14" ht="18" thickBot="1">
      <c r="A33" s="1118" t="s">
        <v>363</v>
      </c>
      <c r="B33" s="1119"/>
      <c r="C33" s="286" t="e">
        <f t="shared" ref="C33:N33" si="8">C19-C31</f>
        <v>#REF!</v>
      </c>
      <c r="D33" s="286" t="e">
        <f t="shared" si="8"/>
        <v>#REF!</v>
      </c>
      <c r="E33" s="286" t="e">
        <f t="shared" si="8"/>
        <v>#REF!</v>
      </c>
      <c r="F33" s="286" t="e">
        <f t="shared" si="8"/>
        <v>#REF!</v>
      </c>
      <c r="G33" s="286" t="e">
        <f t="shared" si="8"/>
        <v>#REF!</v>
      </c>
      <c r="H33" s="286" t="e">
        <f t="shared" si="8"/>
        <v>#REF!</v>
      </c>
      <c r="I33" s="286" t="e">
        <f t="shared" si="8"/>
        <v>#REF!</v>
      </c>
      <c r="J33" s="286" t="e">
        <f t="shared" si="8"/>
        <v>#REF!</v>
      </c>
      <c r="K33" s="286" t="e">
        <f t="shared" si="8"/>
        <v>#REF!</v>
      </c>
      <c r="L33" s="286" t="e">
        <f t="shared" si="8"/>
        <v>#REF!</v>
      </c>
      <c r="M33" s="286" t="e">
        <f t="shared" si="8"/>
        <v>#REF!</v>
      </c>
      <c r="N33" s="286">
        <f t="shared" si="8"/>
        <v>9.5367431640625E-7</v>
      </c>
    </row>
    <row r="34" spans="1:14"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</row>
    <row r="35" spans="1:14"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</row>
    <row r="36" spans="1:14">
      <c r="D36" s="550"/>
      <c r="E36" s="550"/>
      <c r="F36" s="550"/>
      <c r="G36" s="550"/>
      <c r="H36" s="550"/>
      <c r="I36" s="550"/>
      <c r="J36" s="550"/>
      <c r="K36" s="550"/>
      <c r="L36" s="550"/>
      <c r="M36" s="550"/>
      <c r="N36" s="550"/>
    </row>
    <row r="37" spans="1:14">
      <c r="D37" s="288"/>
      <c r="E37" s="288"/>
      <c r="F37" s="288"/>
      <c r="G37" s="288"/>
      <c r="H37" s="288"/>
      <c r="I37" s="288"/>
      <c r="J37" s="288"/>
      <c r="K37" s="288"/>
      <c r="L37" s="288"/>
      <c r="M37" s="288"/>
    </row>
    <row r="38" spans="1:14">
      <c r="D38" s="288"/>
      <c r="E38" s="288"/>
      <c r="F38" s="288"/>
      <c r="G38" s="288"/>
      <c r="H38" s="288"/>
      <c r="I38" s="288"/>
      <c r="J38" s="288"/>
      <c r="K38" s="288"/>
      <c r="L38" s="288"/>
      <c r="M38" s="288"/>
    </row>
    <row r="39" spans="1:14">
      <c r="E39" s="288"/>
      <c r="F39" s="288"/>
      <c r="G39" s="288"/>
      <c r="H39" s="288"/>
      <c r="I39" s="288"/>
      <c r="J39" s="288"/>
      <c r="K39" s="288"/>
      <c r="L39" s="288"/>
      <c r="M39" s="288"/>
    </row>
    <row r="40" spans="1:14">
      <c r="E40" s="288"/>
      <c r="F40" s="288"/>
      <c r="G40" s="288"/>
      <c r="H40" s="288"/>
      <c r="I40" s="288"/>
      <c r="J40" s="288"/>
      <c r="K40" s="288"/>
      <c r="L40" s="288"/>
      <c r="M40" s="288"/>
    </row>
    <row r="41" spans="1:14">
      <c r="E41" s="288"/>
      <c r="F41" s="288"/>
      <c r="G41" s="288"/>
    </row>
    <row r="42" spans="1:14">
      <c r="E42" s="288"/>
      <c r="F42" s="288"/>
      <c r="G42" s="288"/>
    </row>
    <row r="43" spans="1:14">
      <c r="E43" s="288"/>
      <c r="F43" s="288"/>
      <c r="G43" s="288"/>
    </row>
    <row r="44" spans="1:14">
      <c r="E44" s="288"/>
      <c r="F44" s="288"/>
      <c r="G44" s="288"/>
    </row>
    <row r="45" spans="1:14">
      <c r="E45" s="288"/>
      <c r="F45" s="288"/>
      <c r="G45" s="288"/>
    </row>
    <row r="46" spans="1:14">
      <c r="E46" s="288"/>
      <c r="F46" s="288"/>
      <c r="G46" s="288"/>
    </row>
    <row r="47" spans="1:14">
      <c r="E47" s="288"/>
      <c r="F47" s="288"/>
      <c r="G47" s="288"/>
    </row>
  </sheetData>
  <sheetProtection password="C716" sheet="1" objects="1" scenarios="1"/>
  <mergeCells count="23">
    <mergeCell ref="L1:M1"/>
    <mergeCell ref="A2:B3"/>
    <mergeCell ref="C2:C3"/>
    <mergeCell ref="A19:B19"/>
    <mergeCell ref="A4:B4"/>
    <mergeCell ref="A1:B1"/>
    <mergeCell ref="G1:H1"/>
    <mergeCell ref="A30:B30"/>
    <mergeCell ref="A31:B31"/>
    <mergeCell ref="A33:B33"/>
    <mergeCell ref="D2:N2"/>
    <mergeCell ref="A23:B23"/>
    <mergeCell ref="A24:A25"/>
    <mergeCell ref="A26:B26"/>
    <mergeCell ref="A27:A29"/>
    <mergeCell ref="A16:A17"/>
    <mergeCell ref="A18:B18"/>
    <mergeCell ref="A21:A22"/>
    <mergeCell ref="A5:A11"/>
    <mergeCell ref="A12:B12"/>
    <mergeCell ref="A13:A14"/>
    <mergeCell ref="A15:B15"/>
    <mergeCell ref="A20:B20"/>
  </mergeCells>
  <phoneticPr fontId="5" type="noConversion"/>
  <printOptions horizontalCentered="1" verticalCentered="1"/>
  <pageMargins left="0.39370078740157483" right="1.7716535433070868" top="0.39370078740157483" bottom="0.39370078740157483" header="0.51181102362204722" footer="0.51181102362204722"/>
  <pageSetup paperSize="9" scale="58" orientation="landscape" r:id="rId1"/>
  <headerFooter alignWithMargins="0"/>
  <rowBreaks count="1" manualBreakCount="1">
    <brk id="3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41">
    <tabColor indexed="53"/>
  </sheetPr>
  <dimension ref="A1:N31"/>
  <sheetViews>
    <sheetView rightToLeft="1" view="pageBreakPreview" topLeftCell="A3" zoomScale="115" zoomScaleNormal="85" workbookViewId="0">
      <selection activeCell="L14" sqref="L14"/>
    </sheetView>
  </sheetViews>
  <sheetFormatPr defaultColWidth="9.109375" defaultRowHeight="17.399999999999999"/>
  <cols>
    <col min="1" max="1" width="3.33203125" style="249" customWidth="1"/>
    <col min="2" max="2" width="23.6640625" style="249" bestFit="1" customWidth="1"/>
    <col min="3" max="3" width="10.5546875" style="249" bestFit="1" customWidth="1"/>
    <col min="4" max="4" width="11.5546875" style="249" bestFit="1" customWidth="1"/>
    <col min="5" max="5" width="10.5546875" style="249" bestFit="1" customWidth="1"/>
    <col min="6" max="6" width="11.88671875" style="249" bestFit="1" customWidth="1"/>
    <col min="7" max="13" width="10.5546875" style="249" bestFit="1" customWidth="1"/>
    <col min="14" max="16384" width="9.109375" style="249"/>
  </cols>
  <sheetData>
    <row r="1" spans="1:13" ht="24.9" customHeight="1" thickBot="1">
      <c r="A1" s="896" t="s">
        <v>136</v>
      </c>
      <c r="B1" s="896"/>
      <c r="C1" s="896"/>
      <c r="D1" s="896"/>
      <c r="E1" s="896"/>
      <c r="F1" s="896"/>
      <c r="G1" s="896"/>
      <c r="H1" s="896"/>
      <c r="I1" s="896"/>
      <c r="J1" s="896"/>
    </row>
    <row r="2" spans="1:13" ht="39.75" customHeight="1">
      <c r="A2" s="920" t="s">
        <v>6</v>
      </c>
      <c r="B2" s="915" t="s">
        <v>7</v>
      </c>
      <c r="C2" s="918" t="s">
        <v>478</v>
      </c>
      <c r="D2" s="918"/>
      <c r="E2" s="918" t="s">
        <v>13</v>
      </c>
      <c r="F2" s="1031" t="s">
        <v>84</v>
      </c>
      <c r="G2" s="1031" t="s">
        <v>85</v>
      </c>
      <c r="H2" s="1031"/>
      <c r="I2" s="1031"/>
      <c r="J2" s="1031" t="s">
        <v>477</v>
      </c>
      <c r="K2" s="1031" t="s">
        <v>85</v>
      </c>
      <c r="L2" s="1032"/>
      <c r="M2" s="491"/>
    </row>
    <row r="3" spans="1:13" ht="24.9" customHeight="1" thickBot="1">
      <c r="A3" s="1124"/>
      <c r="B3" s="1125"/>
      <c r="C3" s="511" t="s">
        <v>101</v>
      </c>
      <c r="D3" s="512" t="s">
        <v>26</v>
      </c>
      <c r="E3" s="1126"/>
      <c r="F3" s="1127"/>
      <c r="G3" s="511" t="s">
        <v>101</v>
      </c>
      <c r="H3" s="512" t="s">
        <v>26</v>
      </c>
      <c r="I3" s="512" t="s">
        <v>8</v>
      </c>
      <c r="J3" s="1127"/>
      <c r="K3" s="511" t="s">
        <v>260</v>
      </c>
      <c r="L3" s="513" t="s">
        <v>8</v>
      </c>
    </row>
    <row r="4" spans="1:13" ht="24.9" customHeight="1">
      <c r="A4" s="505">
        <v>1</v>
      </c>
      <c r="B4" s="506" t="s">
        <v>480</v>
      </c>
      <c r="C4" s="507">
        <f>ex!R4</f>
        <v>0</v>
      </c>
      <c r="D4" s="507">
        <f>ex!S4</f>
        <v>0</v>
      </c>
      <c r="E4" s="507">
        <f>IF(F4=0,0,1/F4)</f>
        <v>0</v>
      </c>
      <c r="F4" s="508">
        <v>0</v>
      </c>
      <c r="G4" s="509">
        <f>C4*F4</f>
        <v>0</v>
      </c>
      <c r="H4" s="509">
        <f>D4*F4</f>
        <v>0</v>
      </c>
      <c r="I4" s="509">
        <f>G4+H4</f>
        <v>0</v>
      </c>
      <c r="J4" s="508">
        <v>1</v>
      </c>
      <c r="K4" s="509">
        <f>J4*I4</f>
        <v>0</v>
      </c>
      <c r="L4" s="510">
        <f>I4-K4</f>
        <v>0</v>
      </c>
    </row>
    <row r="5" spans="1:13" ht="20.100000000000001" customHeight="1">
      <c r="A5" s="177">
        <v>1</v>
      </c>
      <c r="B5" s="178" t="str">
        <f>'سرمايه‌‌گذاري طرح'!B5</f>
        <v>محوطه سازي</v>
      </c>
      <c r="C5" s="507">
        <f>ex!R5</f>
        <v>0</v>
      </c>
      <c r="D5" s="507">
        <f>ex!S5</f>
        <v>0</v>
      </c>
      <c r="E5" s="59">
        <f>IF(F5=0,0,1/F5)</f>
        <v>14.285714285714285</v>
      </c>
      <c r="F5" s="263">
        <v>7.0000000000000007E-2</v>
      </c>
      <c r="G5" s="94">
        <f t="shared" ref="G5:G12" si="0">C5*F5</f>
        <v>0</v>
      </c>
      <c r="H5" s="94">
        <f>D5*F5</f>
        <v>0</v>
      </c>
      <c r="I5" s="94">
        <f>G5+H5</f>
        <v>0</v>
      </c>
      <c r="J5" s="263">
        <v>0.1</v>
      </c>
      <c r="K5" s="94">
        <f>J5*I5</f>
        <v>0</v>
      </c>
      <c r="L5" s="179">
        <f>I5-K5</f>
        <v>0</v>
      </c>
      <c r="M5" s="408"/>
    </row>
    <row r="6" spans="1:13" ht="20.100000000000001" customHeight="1">
      <c r="A6" s="177">
        <v>1</v>
      </c>
      <c r="B6" s="178" t="str">
        <f>'سرمايه‌‌گذاري طرح'!B6</f>
        <v>ساختمان توليدي و اداري</v>
      </c>
      <c r="C6" s="507">
        <f>ex!R6</f>
        <v>57000000</v>
      </c>
      <c r="D6" s="507">
        <f>ex!S6</f>
        <v>25000000</v>
      </c>
      <c r="E6" s="59">
        <f>IF(F6=0,0,1/F6)</f>
        <v>14.285714285714285</v>
      </c>
      <c r="F6" s="263">
        <v>7.0000000000000007E-2</v>
      </c>
      <c r="G6" s="94">
        <f>C6*F6</f>
        <v>3990000.0000000005</v>
      </c>
      <c r="H6" s="94">
        <f>D6*F6</f>
        <v>1750000.0000000002</v>
      </c>
      <c r="I6" s="94">
        <f t="shared" ref="I6:I12" si="1">G6+H6</f>
        <v>5740000.0000000009</v>
      </c>
      <c r="J6" s="263">
        <v>0.1</v>
      </c>
      <c r="K6" s="94">
        <f t="shared" ref="K6:K13" si="2">J6*I6</f>
        <v>574000.00000000012</v>
      </c>
      <c r="L6" s="179">
        <f t="shared" ref="L6:L12" si="3">I6-K6</f>
        <v>5166000.0000000009</v>
      </c>
      <c r="M6" s="408"/>
    </row>
    <row r="7" spans="1:13" ht="20.100000000000001" customHeight="1">
      <c r="A7" s="177">
        <v>1</v>
      </c>
      <c r="B7" s="178" t="str">
        <f>'سرمايه‌‌گذاري طرح'!B7</f>
        <v>تاسيسات و تجهيزات عمومي</v>
      </c>
      <c r="C7" s="507">
        <f>ex!R7</f>
        <v>0</v>
      </c>
      <c r="D7" s="507">
        <f>ex!S7</f>
        <v>0</v>
      </c>
      <c r="E7" s="59">
        <f>IF(F7=0,0,1/F7)</f>
        <v>10</v>
      </c>
      <c r="F7" s="263">
        <v>0.1</v>
      </c>
      <c r="G7" s="94">
        <f t="shared" si="0"/>
        <v>0</v>
      </c>
      <c r="H7" s="94">
        <f t="shared" ref="H7:H12" si="4">D7*F7</f>
        <v>0</v>
      </c>
      <c r="I7" s="94">
        <f t="shared" si="1"/>
        <v>0</v>
      </c>
      <c r="J7" s="263">
        <v>0.1</v>
      </c>
      <c r="K7" s="94">
        <f t="shared" si="2"/>
        <v>0</v>
      </c>
      <c r="L7" s="179">
        <f t="shared" si="3"/>
        <v>0</v>
      </c>
      <c r="M7" s="408"/>
    </row>
    <row r="8" spans="1:13" ht="20.100000000000001" customHeight="1">
      <c r="A8" s="177">
        <v>1</v>
      </c>
      <c r="B8" s="178" t="str">
        <f>'سرمايه‌‌گذاري طرح'!B8</f>
        <v xml:space="preserve">ماشين آلات و تجهيزات </v>
      </c>
      <c r="C8" s="507">
        <f>ex!R8</f>
        <v>0</v>
      </c>
      <c r="D8" s="507">
        <f>ex!S8</f>
        <v>0</v>
      </c>
      <c r="E8" s="59">
        <f t="shared" ref="E8:E13" si="5">IF(F8=0,0,1/F8)</f>
        <v>10</v>
      </c>
      <c r="F8" s="263">
        <v>0.1</v>
      </c>
      <c r="G8" s="94">
        <f t="shared" si="0"/>
        <v>0</v>
      </c>
      <c r="H8" s="94">
        <f t="shared" si="4"/>
        <v>0</v>
      </c>
      <c r="I8" s="94">
        <f t="shared" si="1"/>
        <v>0</v>
      </c>
      <c r="J8" s="263">
        <v>0.1</v>
      </c>
      <c r="K8" s="94">
        <f t="shared" si="2"/>
        <v>0</v>
      </c>
      <c r="L8" s="179">
        <f t="shared" si="3"/>
        <v>0</v>
      </c>
      <c r="M8" s="408"/>
    </row>
    <row r="9" spans="1:13" ht="20.100000000000001" customHeight="1">
      <c r="A9" s="177">
        <v>1</v>
      </c>
      <c r="B9" s="178" t="str">
        <f>'سرمايه‌‌گذاري طرح'!B9</f>
        <v>اثاثيه و تجهيزات اداري</v>
      </c>
      <c r="C9" s="507">
        <f>ex!R9</f>
        <v>8400000</v>
      </c>
      <c r="D9" s="507">
        <f>ex!S9</f>
        <v>2100000</v>
      </c>
      <c r="E9" s="59">
        <f t="shared" si="5"/>
        <v>5</v>
      </c>
      <c r="F9" s="263">
        <v>0.2</v>
      </c>
      <c r="G9" s="94">
        <f t="shared" si="0"/>
        <v>1680000</v>
      </c>
      <c r="H9" s="94">
        <f t="shared" si="4"/>
        <v>420000</v>
      </c>
      <c r="I9" s="94">
        <f t="shared" si="1"/>
        <v>2100000</v>
      </c>
      <c r="J9" s="263">
        <v>0.1</v>
      </c>
      <c r="K9" s="94">
        <f t="shared" si="2"/>
        <v>210000</v>
      </c>
      <c r="L9" s="179">
        <f t="shared" si="3"/>
        <v>1890000</v>
      </c>
      <c r="M9" s="408"/>
    </row>
    <row r="10" spans="1:13" ht="20.100000000000001" customHeight="1">
      <c r="A10" s="177">
        <v>1</v>
      </c>
      <c r="B10" s="178" t="str">
        <f>'سرمايه‌‌گذاري طرح'!B10</f>
        <v>وسائط نقليه</v>
      </c>
      <c r="C10" s="507">
        <f>ex!R10</f>
        <v>7000000</v>
      </c>
      <c r="D10" s="507">
        <f>ex!S10</f>
        <v>0</v>
      </c>
      <c r="E10" s="59">
        <f t="shared" si="5"/>
        <v>4</v>
      </c>
      <c r="F10" s="263">
        <v>0.25</v>
      </c>
      <c r="G10" s="94">
        <f t="shared" si="0"/>
        <v>1750000</v>
      </c>
      <c r="H10" s="94">
        <f t="shared" si="4"/>
        <v>0</v>
      </c>
      <c r="I10" s="94">
        <f t="shared" si="1"/>
        <v>1750000</v>
      </c>
      <c r="J10" s="263">
        <v>0.1</v>
      </c>
      <c r="K10" s="94">
        <f t="shared" si="2"/>
        <v>175000</v>
      </c>
      <c r="L10" s="179">
        <f t="shared" si="3"/>
        <v>1575000</v>
      </c>
      <c r="M10" s="408"/>
    </row>
    <row r="11" spans="1:13" ht="20.100000000000001" customHeight="1">
      <c r="A11" s="177">
        <v>1</v>
      </c>
      <c r="B11" s="178" t="str">
        <f>'سرمايه‌‌گذاري طرح'!B11</f>
        <v>ساير هزينه هاي بخش ثابت</v>
      </c>
      <c r="C11" s="507">
        <f>ex!R11</f>
        <v>480000</v>
      </c>
      <c r="D11" s="507">
        <f>ex!S11</f>
        <v>91200000</v>
      </c>
      <c r="E11" s="59">
        <f t="shared" si="5"/>
        <v>10</v>
      </c>
      <c r="F11" s="263">
        <v>0.1</v>
      </c>
      <c r="G11" s="94">
        <f t="shared" si="0"/>
        <v>48000</v>
      </c>
      <c r="H11" s="94">
        <f t="shared" si="4"/>
        <v>9120000</v>
      </c>
      <c r="I11" s="94">
        <f t="shared" si="1"/>
        <v>9168000</v>
      </c>
      <c r="J11" s="263">
        <v>0.1</v>
      </c>
      <c r="K11" s="94">
        <f t="shared" si="2"/>
        <v>916800</v>
      </c>
      <c r="L11" s="179">
        <f t="shared" si="3"/>
        <v>8251200</v>
      </c>
      <c r="M11" s="408"/>
    </row>
    <row r="12" spans="1:13" ht="20.100000000000001" customHeight="1">
      <c r="A12" s="177">
        <v>1</v>
      </c>
      <c r="B12" s="178" t="str">
        <f>'سرمايه‌‌گذاري طرح'!B12</f>
        <v>هزينه‌هاي پيش‌بيني‌نشده‌</v>
      </c>
      <c r="C12" s="507">
        <f>ex!R12</f>
        <v>0</v>
      </c>
      <c r="D12" s="507">
        <f>ex!S12</f>
        <v>4665000</v>
      </c>
      <c r="E12" s="59">
        <f t="shared" si="5"/>
        <v>10</v>
      </c>
      <c r="F12" s="263">
        <v>0.1</v>
      </c>
      <c r="G12" s="94">
        <f t="shared" si="0"/>
        <v>0</v>
      </c>
      <c r="H12" s="94">
        <f t="shared" si="4"/>
        <v>466500</v>
      </c>
      <c r="I12" s="94">
        <f t="shared" si="1"/>
        <v>466500</v>
      </c>
      <c r="J12" s="263">
        <v>0.1</v>
      </c>
      <c r="K12" s="94">
        <f t="shared" si="2"/>
        <v>46650</v>
      </c>
      <c r="L12" s="179">
        <f t="shared" si="3"/>
        <v>419850</v>
      </c>
      <c r="M12" s="408"/>
    </row>
    <row r="13" spans="1:13" ht="20.100000000000001" customHeight="1">
      <c r="A13" s="177">
        <v>1</v>
      </c>
      <c r="B13" s="178" t="s">
        <v>44</v>
      </c>
      <c r="C13" s="59">
        <f>ex!R14</f>
        <v>0</v>
      </c>
      <c r="D13" s="59">
        <f>ex!S14</f>
        <v>1275001409.0019569</v>
      </c>
      <c r="E13" s="59">
        <f t="shared" si="5"/>
        <v>5</v>
      </c>
      <c r="F13" s="263">
        <v>0.2</v>
      </c>
      <c r="G13" s="94">
        <f>C13*F13</f>
        <v>0</v>
      </c>
      <c r="H13" s="94">
        <f>D13*F13</f>
        <v>255000281.80039141</v>
      </c>
      <c r="I13" s="94">
        <f>G13+H13</f>
        <v>255000281.80039141</v>
      </c>
      <c r="J13" s="263">
        <v>0.1</v>
      </c>
      <c r="K13" s="94">
        <f t="shared" si="2"/>
        <v>25500028.180039141</v>
      </c>
      <c r="L13" s="179">
        <f>I13-K13</f>
        <v>229500253.62035227</v>
      </c>
      <c r="M13" s="408"/>
    </row>
    <row r="14" spans="1:13" ht="24.9" customHeight="1" thickBot="1">
      <c r="A14" s="1033" t="s">
        <v>68</v>
      </c>
      <c r="B14" s="1034"/>
      <c r="C14" s="75">
        <f>SUM(C5:C13)</f>
        <v>72880000</v>
      </c>
      <c r="D14" s="75">
        <f>SUM(D5:D13)</f>
        <v>1397966409.0019569</v>
      </c>
      <c r="E14" s="75"/>
      <c r="F14" s="74"/>
      <c r="G14" s="75">
        <f>SUM(G5:G13)</f>
        <v>7468000</v>
      </c>
      <c r="H14" s="75">
        <f>SUM(H5:H13)</f>
        <v>266756781.80039141</v>
      </c>
      <c r="I14" s="75">
        <f>SUM(I5:I13)</f>
        <v>274224781.80039144</v>
      </c>
      <c r="J14" s="74"/>
      <c r="K14" s="75">
        <f>SUM(K5:K13)</f>
        <v>27422478.180039141</v>
      </c>
      <c r="L14" s="76">
        <f>SUM(L5:L13)</f>
        <v>246802303.62035227</v>
      </c>
      <c r="M14" s="408"/>
    </row>
    <row r="15" spans="1:13" ht="24.9" customHeight="1">
      <c r="M15" s="408"/>
    </row>
    <row r="16" spans="1:13" ht="24.9" customHeight="1">
      <c r="B16" s="1039" t="s">
        <v>322</v>
      </c>
      <c r="C16" s="1039"/>
      <c r="D16" s="1039"/>
      <c r="E16" s="1039"/>
      <c r="F16" s="1039"/>
      <c r="G16" s="1039"/>
      <c r="H16" s="1039"/>
      <c r="I16" s="1039"/>
      <c r="J16" s="1039"/>
      <c r="K16" s="1039"/>
      <c r="L16" s="1039"/>
      <c r="M16" s="1039"/>
    </row>
    <row r="17" spans="2:14" s="250" customFormat="1" ht="5.25" customHeight="1" thickBot="1">
      <c r="C17" s="250">
        <v>0</v>
      </c>
      <c r="D17" s="250">
        <v>1</v>
      </c>
      <c r="E17" s="250">
        <v>2</v>
      </c>
      <c r="F17" s="250">
        <v>3</v>
      </c>
      <c r="G17" s="250">
        <v>4</v>
      </c>
      <c r="H17" s="250">
        <v>5</v>
      </c>
      <c r="I17" s="250">
        <v>6</v>
      </c>
      <c r="J17" s="250">
        <v>7</v>
      </c>
      <c r="K17" s="250">
        <v>8</v>
      </c>
      <c r="L17" s="250">
        <v>9</v>
      </c>
      <c r="M17" s="250">
        <v>10</v>
      </c>
    </row>
    <row r="18" spans="2:14" s="199" customFormat="1" ht="24.9" customHeight="1">
      <c r="B18" s="251" t="s">
        <v>13</v>
      </c>
      <c r="C18" s="252" t="str">
        <f>'برآورد فروش'!B2</f>
        <v>سال بهره برداری</v>
      </c>
      <c r="D18" s="252" t="str">
        <f>'برآورد فروش'!C2</f>
        <v xml:space="preserve">سال اول </v>
      </c>
      <c r="E18" s="252" t="str">
        <f>'برآورد فروش'!D2</f>
        <v>سال دوم</v>
      </c>
      <c r="F18" s="252" t="str">
        <f>'برآورد فروش'!E2</f>
        <v>سال سوم</v>
      </c>
      <c r="G18" s="252" t="str">
        <f>'برآورد فروش'!F2</f>
        <v>سال چهارم</v>
      </c>
      <c r="H18" s="252" t="str">
        <f>'برآورد فروش'!G2</f>
        <v>سال پنجم</v>
      </c>
      <c r="I18" s="252" t="str">
        <f>'برآورد فروش'!H2</f>
        <v>سال ششم</v>
      </c>
      <c r="J18" s="252" t="str">
        <f>'برآورد فروش'!I2</f>
        <v>سال هفتم</v>
      </c>
      <c r="K18" s="252" t="str">
        <f>'برآورد فروش'!J2</f>
        <v>سال هشتم</v>
      </c>
      <c r="L18" s="252" t="str">
        <f>'برآورد فروش'!K2</f>
        <v>سال نهم</v>
      </c>
      <c r="M18" s="253" t="str">
        <f>'برآورد فروش'!L2</f>
        <v>سال دهم</v>
      </c>
    </row>
    <row r="19" spans="2:14" s="402" customFormat="1" ht="24.9" customHeight="1">
      <c r="B19" s="403"/>
      <c r="C19" s="404"/>
      <c r="D19" s="404">
        <v>1</v>
      </c>
      <c r="E19" s="404">
        <v>2</v>
      </c>
      <c r="F19" s="404">
        <v>3</v>
      </c>
      <c r="G19" s="404">
        <v>4</v>
      </c>
      <c r="H19" s="404">
        <v>5</v>
      </c>
      <c r="I19" s="404">
        <v>6</v>
      </c>
      <c r="J19" s="404">
        <v>7</v>
      </c>
      <c r="K19" s="404">
        <v>8</v>
      </c>
      <c r="L19" s="404">
        <v>9</v>
      </c>
      <c r="M19" s="405">
        <v>10</v>
      </c>
    </row>
    <row r="20" spans="2:14" ht="24.9" customHeight="1">
      <c r="B20" s="254" t="str">
        <f>'برآورد فروش'!A3</f>
        <v>تعداد ماههاي فعاليت</v>
      </c>
      <c r="C20" s="255">
        <f>'برآورد فروش'!B3</f>
        <v>12</v>
      </c>
      <c r="D20" s="255">
        <f>'برآورد فروش'!C3</f>
        <v>12</v>
      </c>
      <c r="E20" s="255">
        <f>'برآورد فروش'!D3</f>
        <v>12</v>
      </c>
      <c r="F20" s="255">
        <f>'برآورد فروش'!E3</f>
        <v>12</v>
      </c>
      <c r="G20" s="255">
        <f>'برآورد فروش'!F3</f>
        <v>12</v>
      </c>
      <c r="H20" s="255">
        <f>'برآورد فروش'!G3</f>
        <v>12</v>
      </c>
      <c r="I20" s="255">
        <f>H20</f>
        <v>12</v>
      </c>
      <c r="J20" s="255">
        <f>I20</f>
        <v>12</v>
      </c>
      <c r="K20" s="255">
        <f>J20</f>
        <v>12</v>
      </c>
      <c r="L20" s="255">
        <f>K20</f>
        <v>12</v>
      </c>
      <c r="M20" s="256">
        <f>L20</f>
        <v>12</v>
      </c>
    </row>
    <row r="21" spans="2:14" ht="20.100000000000001" customHeight="1">
      <c r="B21" s="177" t="str">
        <f t="shared" ref="B21:B29" si="6">B5</f>
        <v>محوطه سازي</v>
      </c>
      <c r="C21" s="401">
        <f>L5*$C$20/12</f>
        <v>0</v>
      </c>
      <c r="D21" s="401">
        <f>IF(مفروضات!$T$7=TRUE,IF((E5*12-$C$20)&gt;0,IF((E5*12-$C$20)&gt;12,L5*$D$20/12,IF((L5*E5-C21)&gt;=L5,L5,(L5*E5-C21))),IF(E5*12-$C$20=0,IF(C21=L5*E5,0,L5*E5-C21),0)),'استهلاک ها'!D4)</f>
        <v>0</v>
      </c>
      <c r="E21" s="401">
        <f>IF(مفروضات!$T$7=TRUE,IF((E5*12-$D$20-$C$20)&gt;0,IF((E5*12-$D$20-$C$20)&gt;12,L5*$E$20/12,IF((L5*E5-D21-C21)&gt;=L5,L5,(L5*E5-D21-C21))),IF(E5*12-$D$20-$C$20=0,IF(C21+D21=L5*E5,0,L5*E5-D21-C21),0)),'استهلاک ها'!E4)</f>
        <v>0</v>
      </c>
      <c r="F21" s="401">
        <f>IF(مفروضات!$T$7=TRUE,IF((E5*12-$E$20-$D$20-$C$20)&gt;0,IF((E5*12-$E$20-$D$20-$C$20)&gt;12,L5*$F$20/12,IF((L5*E5-E21-D21-C21)&gt;=L5,L5,(L5*E5-E21-D21-C21))),IF(E5*12-$E$20-$D$20-$C$20=0,IF(C21+D21+E21=L5*E5,0,L5*E5-E21-D21-C21),0)),'استهلاک ها'!F4)</f>
        <v>0</v>
      </c>
      <c r="G21" s="401">
        <f>IF(مفروضات!$T$7=TRUE,IF((E5*12-$F$20-$E$20-$D$20-$C$20)&gt;0,IF((E5*12-$F$20-$E$20-$D$20-$C$20)&gt;12,L5*$G$20/12,IF((L5*E5-F21-E21-D21-C21)&gt;=L5,L5,(L5*E5-F21-E21-D21-C21))),IF(E5*12-$F$20-$E$20-$D$20-$C$20=0,IF(C21+D21+E21+F21=L5*E5,0,L5*E5-F21-E21-D21-C21),0)),'استهلاک ها'!G4)</f>
        <v>0</v>
      </c>
      <c r="H21" s="401">
        <f>IF(مفروضات!$T$7=TRUE,IF((E5*12-$G$20-$F$20-$E$20-$D$20-$C$20)&gt;0,IF((E5*12-$G$20-$F$20-$E$20-$D$20-$C$20)&gt;12,L5*$H$20/12,IF((L5*E5-G21-F21-E21-D21-C21)&gt;=L5,L5,(L5*E5-G21-F21-E21-D21-C21))),IF(E5*12-$G$20-$F$20-$E$20-$D$20-$C$20=0,IF(C21+D21+E21+F21+G21=L5*E5,0,L5*E5-G21-F21-E21-D21-C21),0)),'استهلاک ها'!H4)</f>
        <v>0</v>
      </c>
      <c r="I21" s="401">
        <f>IF(مفروضات!$T$7=TRUE,IF((E5*12-$H$20-$G$20-$F$20-$E$20-$D$20-$C$20)&gt;0,IF((E5*12-$H$20-$G$20-$F$20-$E$20-$D$20-$C$20)&gt;12,L5*$H$20/12,IF((L5*E5-H21-G21-F21-E21-D21-C21)&gt;=L5,L5,(L5*E5-H21-G21-F21-E21-D21-C21))),IF(E5*12-$H$20-$G$20-$F$20-$E$20-$D$20-$C$20=0,IF(C21+D21+E21+F21+G21+H21=L5*E5,0,L5*E5-H21-G21-F21-E21-D21-C21),0)),'استهلاک ها'!I4)</f>
        <v>0</v>
      </c>
      <c r="J21" s="401">
        <f>IF(مفروضات!$T$7=TRUE,IF((E5*12-$I$20-$H$20-$G$20-$F$20-$E$20-$D$20-$C$20)&gt;0,IF((E5*12-$I$20-$H$20-$G$20-$F$20-$E$20-$D$20-$C$20)&gt;12,L5*$J$20/12,IF((L5*E5-I21-H21-G21-F21-E21-D21-C21)&gt;=L5,L5,(L5*E5-I21-H21-G21-F21-E21-D21-C21))),IF(E5*12-$I$20-$H$20-$G$20-$F$20-$E$20-$D$20-$C$20=0,IF(C21+D21+E21+F21+G21+H21+I21=L5*E5,0,L5*E5-I21-H21-G21-F21-E21-D21-C21),0)),'استهلاک ها'!J4)</f>
        <v>0</v>
      </c>
      <c r="K21" s="401">
        <f>IF(مفروضات!$T$7=TRUE,IF((E5*12-$J$20-$I$20-$H$20-$G$20-$F$20-$E$20-$D$20-$C$20)&gt;0,IF((E5*12-$J$20-$I$20-$H$20-$G$20-$F$20-$E$20-$D$20-$C$20)&gt;12,L5*$K$20/12,IF((L5*E5-J21-I21-H21-G21-F21-E21-D21-C21)&gt;=L5,L5,(L5*E5-J21-I21-H21-G21-F21-E21-D21-C21))),IF(E5*12-$J$20-$I$20-$H$20-$G$20-$F$20-$E$20-$D$20-$C$20=0,IF(C21+D21+E21+F21+G21+H21+I21+J21=L5*E5,0,L5*E5-J21-I21-H21-G21-F21-E21-D21-C21),0)),'استهلاک ها'!K4)</f>
        <v>0</v>
      </c>
      <c r="L21" s="401">
        <f>IF(مفروضات!$T$7=TRUE,IF((E5*12-$K$20-$J$20-$I$20-$H$20-$G$20-$F$20-$E$20-$D$20-$C$20)&gt;0,IF((E5*12-$K$20-$J$20-$I$20-$H$20-$G$20-$F$20-$E$20-$D$20-$C$20)&gt;12,L5*$L$20/12,IF((L5*E5-K21-J21-I21-H21-G21-F21-E21-D21-C21)&gt;=L5,L5,(L5*E5-K21-J21-I21-H21-G21-F21-E21-D21-C21))),IF(E5*12-$K$20-$J$20-$I$20-$H$20-$G$20-$F$20-$E$20-$D$20-$C$20=0,IF(C21+D21+E21+F21+G21+H21+I21+J21+K21=L5*E5,0,L5*E5-K21-J21-I21-H21-G21-F21-E21-D21-C21),0)),'استهلاک ها'!L4)</f>
        <v>0</v>
      </c>
      <c r="M21" s="401">
        <f>IF(مفروضات!$T$7=TRUE,IF((E5*12-$L$20-$K$20-$J$20-$I$20-$H$20-$G$20-$F$20-$E$20-$D$20-$C$20)&gt;0,IF((E5*12-$L$20-$K$20-$J$20-$I$20-$H$20-$G$20-$F$20-$E$20-$D$20-$C$20)&gt;12,L5*$M$20/12,IF((L5*E5-L21-K21-J21-I21-H21-G21-F21-E21-D21-C21)&gt;=L5,L5,(L5*E5-L21-K21-J21-I21-H21-G21-F21-E21-D21-C21))),IF(E5*12-$L$20-$K$20-$J$20-$I$20-$H$20-$G$20-$F$20-$E$20-$D$20-$C$20=0,IF(C21+D21+E21+F21+G21+H21+I21+J21+K21+L21=L5*E5,0,L5*E5-L21-K21-J21-I21-H21-G21-F21-E21-D21-C21),0)),'استهلاک ها'!M4)</f>
        <v>0</v>
      </c>
      <c r="N21" s="408"/>
    </row>
    <row r="22" spans="2:14" ht="20.100000000000001" customHeight="1">
      <c r="B22" s="177" t="str">
        <f t="shared" si="6"/>
        <v>ساختمان توليدي و اداري</v>
      </c>
      <c r="C22" s="401">
        <f t="shared" ref="C22:C29" si="7">L6*$C$20/12</f>
        <v>5166000.0000000009</v>
      </c>
      <c r="D22" s="401">
        <f>IF(مفروضات!$T$7=TRUE,IF((E6*12-$C$20)&gt;0,IF((E6*12-$C$20)&gt;12,L6*$D$20/12,IF((L6*E6-C22)&gt;=L6,L6,(L6*E6-C22))),IF(E6*12-$C$20=0,IF(C22=L6*E6,0,L6*E6-C22),0)),'استهلاک ها'!D5)</f>
        <v>5166000.0000000009</v>
      </c>
      <c r="E22" s="401">
        <f>IF(مفروضات!$T$7=TRUE,IF((E6*12-$D$20-$C$20)&gt;0,IF((E6*12-$D$20-$C$20)&gt;12,L6*$E$20/12,IF((L6*E6-D22-C22)&gt;=L6,L6,(L6*E6-D22-C22))),IF(E6*12-$D$20-$C$20=0,IF(C22+D22=L6*E6,0,L6*E6-D22-C22),0)),'استهلاک ها'!E5)</f>
        <v>5166000.0000000009</v>
      </c>
      <c r="F22" s="401">
        <f>IF(مفروضات!$T$7=TRUE,IF((E6*12-$E$20-$D$20-$C$20)&gt;0,IF((E6*12-$E$20-$D$20-$C$20)&gt;12,L6*$F$20/12,IF((L6*E6-E22-D22-C22)&gt;=L6,L6,(L6*E6-E22-D22-C22))),IF(E6*12-$E$20-$D$20-$C$20=0,IF(C22+D22+E22=L6*E6,0,L6*E6-E22-D22-C22),0)),'استهلاک ها'!F5)</f>
        <v>5166000.0000000009</v>
      </c>
      <c r="G22" s="401">
        <f>IF(مفروضات!$T$7=TRUE,IF((E6*12-$F$20-$E$20-$D$20-$C$20)&gt;0,IF((E6*12-$F$20-$E$20-$D$20-$C$20)&gt;12,L6*$G$20/12,IF((L6*E6-F22-E22-D22-C22)&gt;=L6,L6,(L6*E6-F22-E22-D22-C22))),IF(E6*12-$F$20-$E$20-$D$20-$C$20=0,IF(C22+D22+E22+F22=L6*E6,0,L6*E6-F22-E22-D22-C22),0)),'استهلاک ها'!G5)</f>
        <v>5166000.0000000009</v>
      </c>
      <c r="H22" s="401">
        <f>IF(مفروضات!$T$7=TRUE,IF((E6*12-$G$20-$F$20-$E$20-$D$20-$C$20)&gt;0,IF((E6*12-$G$20-$F$20-$E$20-$D$20-$C$20)&gt;12,L6*$H$20/12,IF((L6*E6-G22-F22-E22-D22-C22)&gt;=L6,L6,(L6*E6-G22-F22-E22-D22-C22))),IF(E6*12-$G$20-$F$20-$E$20-$D$20-$C$20=0,IF(C22+D22+E22+F22+G22=L6*E6,0,L6*E6-G22-F22-E22-D22-C22),0)),'استهلاک ها'!H5)</f>
        <v>5166000.0000000009</v>
      </c>
      <c r="I22" s="401">
        <f>IF(مفروضات!$T$7=TRUE,IF((E6*12-$H$20-$G$20-$F$20-$E$20-$D$20-$C$20)&gt;0,IF((E6*12-$H$20-$G$20-$F$20-$E$20-$D$20-$C$20)&gt;12,L6*$H$20/12,IF((L6*E6-H22-G22-F22-E22-D22-C22)&gt;=L6,L6,(L6*E6-H22-G22-F22-E22-D22-C22))),IF(E6*12-$H$20-$G$20-$F$20-$E$20-$D$20-$C$20=0,IF(C22+D22+E22+F22+G22+H22=L6*E6,0,L6*E6-H22-G22-F22-E22-D22-C22),0)),'استهلاک ها'!I5)</f>
        <v>5166000.0000000009</v>
      </c>
      <c r="J22" s="401">
        <f>IF(مفروضات!$T$7=TRUE,IF((E6*12-$I$20-$H$20-$G$20-$F$20-$E$20-$D$20-$C$20)&gt;0,IF((E6*12-$I$20-$H$20-$G$20-$F$20-$E$20-$D$20-$C$20)&gt;12,L6*$J$20/12,IF((L6*E6-I22-H22-G22-F22-E22-D22-C22)&gt;=L6,L6,(L6*E6-I22-H22-G22-F22-E22-D22-C22))),IF(E6*12-$I$20-$H$20-$G$20-$F$20-$E$20-$D$20-$C$20=0,IF(C22+D22+E22+F22+G22+H22+I22=L6*E6,0,L6*E6-I22-H22-G22-F22-E22-D22-C22),0)),'استهلاک ها'!J5)</f>
        <v>5166000.0000000009</v>
      </c>
      <c r="K22" s="401">
        <f>IF(مفروضات!$T$7=TRUE,IF((E6*12-$J$20-$I$20-$H$20-$G$20-$F$20-$E$20-$D$20-$C$20)&gt;0,IF((E6*12-$J$20-$I$20-$H$20-$G$20-$F$20-$E$20-$D$20-$C$20)&gt;12,L6*$K$20/12,IF((L6*E6-J22-I22-H22-G22-F22-E22-D22-C22)&gt;=L6,L6,(L6*E6-J22-I22-H22-G22-F22-E22-D22-C22))),IF(E6*12-$J$20-$I$20-$H$20-$G$20-$F$20-$E$20-$D$20-$C$20=0,IF(C22+D22+E22+F22+G22+H22+I22+J22=L6*E6,0,L6*E6-J22-I22-H22-G22-F22-E22-D22-C22),0)),'استهلاک ها'!K5)</f>
        <v>5166000.0000000009</v>
      </c>
      <c r="L22" s="401">
        <f>IF(مفروضات!$T$7=TRUE,IF((E6*12-$K$20-$J$20-$I$20-$H$20-$G$20-$F$20-$E$20-$D$20-$C$20)&gt;0,IF((E6*12-$K$20-$J$20-$I$20-$H$20-$G$20-$F$20-$E$20-$D$20-$C$20)&gt;12,L6*$L$20/12,IF((L6*E6-K22-J22-I22-H22-G22-F22-E22-D22-C22)&gt;=L6,L6,(L6*E6-K22-J22-I22-H22-G22-F22-E22-D22-C22))),IF(E6*12-$K$20-$J$20-$I$20-$H$20-$G$20-$F$20-$E$20-$D$20-$C$20=0,IF(C22+D22+E22+F22+G22+H22+I22+J22+K22=L6*E6,0,L6*E6-K22-J22-I22-H22-G22-F22-E22-D22-C22),0)),'استهلاک ها'!L5)</f>
        <v>5166000.0000000009</v>
      </c>
      <c r="M22" s="401">
        <f>IF(مفروضات!$T$7=TRUE,IF((E6*12-$L$20-$K$20-$J$20-$I$20-$H$20-$G$20-$F$20-$E$20-$D$20-$C$20)&gt;0,IF((E6*12-$L$20-$K$20-$J$20-$I$20-$H$20-$G$20-$F$20-$E$20-$D$20-$C$20)&gt;12,L6*$M$20/12,IF((L6*E6-L22-K22-J22-I22-H22-G22-F22-E22-D22-C22)&gt;=L6,L6,(L6*E6-L22-K22-J22-I22-H22-G22-F22-E22-D22-C22))),IF(E6*12-$L$20-$K$20-$J$20-$I$20-$H$20-$G$20-$F$20-$E$20-$D$20-$C$20=0,IF(C22+D22+E22+F22+G22+H22+I22+J22+K22+L22=L6*E6,0,L6*E6-L22-K22-J22-I22-H22-G22-F22-E22-D22-C22),0)),'استهلاک ها'!M5)</f>
        <v>5166000.0000000009</v>
      </c>
      <c r="N22" s="408"/>
    </row>
    <row r="23" spans="2:14" ht="20.100000000000001" customHeight="1">
      <c r="B23" s="177" t="str">
        <f t="shared" si="6"/>
        <v>تاسيسات و تجهيزات عمومي</v>
      </c>
      <c r="C23" s="401">
        <f t="shared" si="7"/>
        <v>0</v>
      </c>
      <c r="D23" s="401">
        <f>IF(مفروضات!$T$7=TRUE,IF((E7*12-$C$20)&gt;0,IF((E7*12-$C$20)&gt;12,L7*$D$20/12,IF((L7*E7-C23)&gt;=L7,L7,(L7*E7-C23))),IF(E7*12-$C$20=0,IF(C23=L7*E7,0,L7*E7-C23),0)),'استهلاک ها'!D6)</f>
        <v>0</v>
      </c>
      <c r="E23" s="401">
        <f>IF(مفروضات!$T$7=TRUE,IF((E7*12-$D$20-$C$20)&gt;0,IF((E7*12-$D$20-$C$20)&gt;12,L7*$E$20/12,IF((L7*E7-D23-C23)&gt;=L7,L7,(L7*E7-D23-C23))),IF(E7*12-$D$20-$C$20=0,IF(C23+D23=L7*E7,0,L7*E7-D23-C23),0)),'استهلاک ها'!E6)</f>
        <v>0</v>
      </c>
      <c r="F23" s="401">
        <f>IF(مفروضات!$T$7=TRUE,IF((E7*12-$E$20-$D$20-$C$20)&gt;0,IF((E7*12-$E$20-$D$20-$C$20)&gt;12,L7*$F$20/12,IF((L7*E7-E23-D23-C23)&gt;=L7,L7,(L7*E7-E23-D23-C23))),IF(E7*12-$E$20-$D$20-$C$20=0,IF(C23+D23+E23=L7*E7,0,L7*E7-E23-D23-C23),0)),'استهلاک ها'!F6)</f>
        <v>0</v>
      </c>
      <c r="G23" s="401">
        <f>IF(مفروضات!$T$7=TRUE,IF((E7*12-$F$20-$E$20-$D$20-$C$20)&gt;0,IF((E7*12-$F$20-$E$20-$D$20-$C$20)&gt;12,L7*$G$20/12,IF((L7*E7-F23-E23-D23-C23)&gt;=L7,L7,(L7*E7-F23-E23-D23-C23))),IF(E7*12-$F$20-$E$20-$D$20-$C$20=0,IF(C23+D23+E23+F23=L7*E7,0,L7*E7-F23-E23-D23-C23),0)),'استهلاک ها'!G6)</f>
        <v>0</v>
      </c>
      <c r="H23" s="401">
        <f>IF(مفروضات!$T$7=TRUE,IF((E7*12-$G$20-$F$20-$E$20-$D$20-$C$20)&gt;0,IF((E7*12-$G$20-$F$20-$E$20-$D$20-$C$20)&gt;12,L7*$H$20/12,IF((L7*E7-G23-F23-E23-D23-C23)&gt;=L7,L7,(L7*E7-G23-F23-E23-D23-C23))),IF(E7*12-$G$20-$F$20-$E$20-$D$20-$C$20=0,IF(C23+D23+E23+F23+G23=L7*E7,0,L7*E7-G23-F23-E23-D23-C23),0)),'استهلاک ها'!H6)</f>
        <v>0</v>
      </c>
      <c r="I23" s="401">
        <f>IF(مفروضات!$T$7=TRUE,IF((E7*12-$H$20-$G$20-$F$20-$E$20-$D$20-$C$20)&gt;0,IF((E7*12-$H$20-$G$20-$F$20-$E$20-$D$20-$C$20)&gt;12,L7*$H$20/12,IF((L7*E7-H23-G23-F23-E23-D23-C23)&gt;=L7,L7,(L7*E7-H23-G23-F23-E23-D23-C23))),IF(E7*12-$H$20-$G$20-$F$20-$E$20-$D$20-$C$20=0,IF(C23+D23+E23+F23+G23+H23=L7*E7,0,L7*E7-H23-G23-F23-E23-D23-C23),0)),'استهلاک ها'!I6)</f>
        <v>0</v>
      </c>
      <c r="J23" s="401">
        <f>IF(مفروضات!$T$7=TRUE,IF((E7*12-$I$20-$H$20-$G$20-$F$20-$E$20-$D$20-$C$20)&gt;0,IF((E7*12-$I$20-$H$20-$G$20-$F$20-$E$20-$D$20-$C$20)&gt;12,L7*$J$20/12,IF((L7*E7-I23-H23-G23-F23-E23-D23-C23)&gt;=L7,L7,(L7*E7-I23-H23-G23-F23-E23-D23-C23))),IF(E7*12-$I$20-$H$20-$G$20-$F$20-$E$20-$D$20-$C$20=0,IF(C23+D23+E23+F23+G23+H23+I23=L7*E7,0,L7*E7-I23-H23-G23-F23-E23-D23-C23),0)),'استهلاک ها'!J6)</f>
        <v>0</v>
      </c>
      <c r="K23" s="401">
        <f>IF(مفروضات!$T$7=TRUE,IF((E7*12-$J$20-$I$20-$H$20-$G$20-$F$20-$E$20-$D$20-$C$20)&gt;0,IF((E7*12-$J$20-$I$20-$H$20-$G$20-$F$20-$E$20-$D$20-$C$20)&gt;12,L7*$K$20/12,IF((L7*E7-J23-I23-H23-G23-F23-E23-D23-C23)&gt;=L7,L7,(L7*E7-J23-I23-H23-G23-F23-E23-D23-C23))),IF(E7*12-$J$20-$I$20-$H$20-$G$20-$F$20-$E$20-$D$20-$C$20=0,IF(C23+D23+E23+F23+G23+H23+I23+J23=L7*E7,0,L7*E7-J23-I23-H23-G23-F23-E23-D23-C23),0)),'استهلاک ها'!K6)</f>
        <v>0</v>
      </c>
      <c r="L23" s="401">
        <f>IF(مفروضات!$T$7=TRUE,IF((E7*12-$K$20-$J$20-$I$20-$H$20-$G$20-$F$20-$E$20-$D$20-$C$20)&gt;0,IF((E7*12-$K$20-$J$20-$I$20-$H$20-$G$20-$F$20-$E$20-$D$20-$C$20)&gt;12,L7*$L$20/12,IF((L7*E7-K23-J23-I23-H23-G23-F23-E23-D23-C23)&gt;=L7,L7,(L7*E7-K23-J23-I23-H23-G23-F23-E23-D23-C23))),IF(E7*12-$K$20-$J$20-$I$20-$H$20-$G$20-$F$20-$E$20-$D$20-$C$20=0,IF(C23+D23+E23+F23+G23+H23+I23+J23+K23=L7*E7,0,L7*E7-K23-J23-I23-H23-G23-F23-E23-D23-C23),0)),'استهلاک ها'!L6)</f>
        <v>0</v>
      </c>
      <c r="M23" s="401">
        <f>IF(مفروضات!$T$7=TRUE,IF((E7*12-$L$20-$K$20-$J$20-$I$20-$H$20-$G$20-$F$20-$E$20-$D$20-$C$20)&gt;0,IF((E7*12-$L$20-$K$20-$J$20-$I$20-$H$20-$G$20-$F$20-$E$20-$D$20-$C$20)&gt;12,L7*$M$20/12,IF((L7*E7-L23-K23-J23-I23-H23-G23-F23-E23-D23-C23)&gt;=L7,L7,(L7*E7-L23-K23-J23-I23-H23-G23-F23-E23-D23-C23))),IF(E7*12-$L$20-$K$20-$J$20-$I$20-$H$20-$G$20-$F$20-$E$20-$D$20-$C$20=0,IF(C23+D23+E23+F23+G23+H23+I23+J23+K23+L23=L7*E7,0,L7*E7-L23-K23-J23-I23-H23-G23-F23-E23-D23-C23),0)),'استهلاک ها'!M6)</f>
        <v>0</v>
      </c>
      <c r="N23" s="408"/>
    </row>
    <row r="24" spans="2:14" ht="20.100000000000001" customHeight="1">
      <c r="B24" s="177" t="str">
        <f t="shared" si="6"/>
        <v xml:space="preserve">ماشين آلات و تجهيزات </v>
      </c>
      <c r="C24" s="401">
        <f t="shared" si="7"/>
        <v>0</v>
      </c>
      <c r="D24" s="401">
        <f>IF(مفروضات!$T$7=TRUE,IF((E8*12-$C$20)&gt;0,IF((E8*12-$C$20)&gt;12,L8*$D$20/12,IF((L8*E8-C24)&gt;=L8,L8,(L8*E8-C24))),IF(E8*12-$C$20=0,IF(C24=L8*E8,0,L8*E8-C24),0)),'استهلاک ها'!D7)</f>
        <v>0</v>
      </c>
      <c r="E24" s="401">
        <f>IF(مفروضات!$T$7=TRUE,IF((E8*12-$D$20-$C$20)&gt;0,IF((E8*12-$D$20-$C$20)&gt;12,L8*$E$20/12,IF((L8*E8-D24-C24)&gt;=L8,L8,(L8*E8-D24-C24))),IF(E8*12-$D$20-$C$20=0,IF(C24+D24=L8*E8,0,L8*E8-D24-C24),0)),'استهلاک ها'!E7)</f>
        <v>0</v>
      </c>
      <c r="F24" s="401">
        <f>IF(مفروضات!$T$7=TRUE,IF((E8*12-$E$20-$D$20-$C$20)&gt;0,IF((E8*12-$E$20-$D$20-$C$20)&gt;12,L8*$F$20/12,IF((L8*E8-E24-D24-C24)&gt;=L8,L8,(L8*E8-E24-D24-C24))),IF(E8*12-$E$20-$D$20-$C$20=0,IF(C24+D24+E24=L8*E8,0,L8*E8-E24-D24-C24),0)),'استهلاک ها'!F7)</f>
        <v>0</v>
      </c>
      <c r="G24" s="401">
        <f>IF(مفروضات!$T$7=TRUE,IF((E8*12-$F$20-$E$20-$D$20-$C$20)&gt;0,IF((E8*12-$F$20-$E$20-$D$20-$C$20)&gt;12,L8*$G$20/12,IF((L8*E8-F24-E24-D24-C24)&gt;=L8,L8,(L8*E8-F24-E24-D24-C24))),IF(E8*12-$F$20-$E$20-$D$20-$C$20=0,IF(C24+D24+E24+F24=L8*E8,0,L8*E8-F24-E24-D24-C24),0)),'استهلاک ها'!G7)</f>
        <v>0</v>
      </c>
      <c r="H24" s="401">
        <f>IF(مفروضات!$T$7=TRUE,IF((E8*12-$G$20-$F$20-$E$20-$D$20-$C$20)&gt;0,IF((E8*12-$G$20-$F$20-$E$20-$D$20-$C$20)&gt;12,L8*$H$20/12,IF((L8*E8-G24-F24-E24-D24-C24)&gt;=L8,L8,(L8*E8-G24-F24-E24-D24-C24))),IF(E8*12-$G$20-$F$20-$E$20-$D$20-$C$20=0,IF(C24+D24+E24+F24+G24=L8*E8,0,L8*E8-G24-F24-E24-D24-C24),0)),'استهلاک ها'!H7)</f>
        <v>0</v>
      </c>
      <c r="I24" s="401">
        <f>IF(مفروضات!$T$7=TRUE,IF((E8*12-$H$20-$G$20-$F$20-$E$20-$D$20-$C$20)&gt;0,IF((E8*12-$H$20-$G$20-$F$20-$E$20-$D$20-$C$20)&gt;12,L8*$H$20/12,IF((L8*E8-H24-G24-F24-E24-D24-C24)&gt;=L8,L8,(L8*E8-H24-G24-F24-E24-D24-C24))),IF(E8*12-$H$20-$G$20-$F$20-$E$20-$D$20-$C$20=0,IF(C24+D24+E24+F24+G24+H24=L8*E8,0,L8*E8-H24-G24-F24-E24-D24-C24),0)),'استهلاک ها'!I7)</f>
        <v>0</v>
      </c>
      <c r="J24" s="401">
        <f>IF(مفروضات!$T$7=TRUE,IF((E8*12-$I$20-$H$20-$G$20-$F$20-$E$20-$D$20-$C$20)&gt;0,IF((E8*12-$I$20-$H$20-$G$20-$F$20-$E$20-$D$20-$C$20)&gt;12,L8*$J$20/12,IF((L8*E8-I24-H24-G24-F24-E24-D24-C24)&gt;=L8,L8,(L8*E8-I24-H24-G24-F24-E24-D24-C24))),IF(E8*12-$I$20-$H$20-$G$20-$F$20-$E$20-$D$20-$C$20=0,IF(C24+D24+E24+F24+G24+H24+I24=L8*E8,0,L8*E8-I24-H24-G24-F24-E24-D24-C24),0)),'استهلاک ها'!J7)</f>
        <v>0</v>
      </c>
      <c r="K24" s="401">
        <f>IF(مفروضات!$T$7=TRUE,IF((E8*12-$J$20-$I$20-$H$20-$G$20-$F$20-$E$20-$D$20-$C$20)&gt;0,IF((E8*12-$J$20-$I$20-$H$20-$G$20-$F$20-$E$20-$D$20-$C$20)&gt;12,L8*$K$20/12,IF((L8*E8-J24-I24-H24-G24-F24-E24-D24-C24)&gt;=L8,L8,(L8*E8-J24-I24-H24-G24-F24-E24-D24-C24))),IF(E8*12-$J$20-$I$20-$H$20-$G$20-$F$20-$E$20-$D$20-$C$20=0,IF(C24+D24+E24+F24+G24+H24+I24+J24=L8*E8,0,L8*E8-J24-I24-H24-G24-F24-E24-D24-C24),0)),'استهلاک ها'!K7)</f>
        <v>0</v>
      </c>
      <c r="L24" s="401">
        <f>IF(مفروضات!$T$7=TRUE,IF((E8*12-$K$20-$J$20-$I$20-$H$20-$G$20-$F$20-$E$20-$D$20-$C$20)&gt;0,IF((E8*12-$K$20-$J$20-$I$20-$H$20-$G$20-$F$20-$E$20-$D$20-$C$20)&gt;12,L8*$L$20/12,IF((L8*E8-K24-J24-I24-H24-G24-F24-E24-D24-C24)&gt;=L8,L8,(L8*E8-K24-J24-I24-H24-G24-F24-E24-D24-C24))),IF(E8*12-$K$20-$J$20-$I$20-$H$20-$G$20-$F$20-$E$20-$D$20-$C$20=0,IF(C24+D24+E24+F24+G24+H24+I24+J24+K24=L8*E8,0,L8*E8-K24-J24-I24-H24-G24-F24-E24-D24-C24),0)),'استهلاک ها'!L7)</f>
        <v>0</v>
      </c>
      <c r="M24" s="401">
        <f>IF(مفروضات!$T$7=TRUE,IF((E8*12-$L$20-$K$20-$J$20-$I$20-$H$20-$G$20-$F$20-$E$20-$D$20-$C$20)&gt;0,IF((E8*12-$L$20-$K$20-$J$20-$I$20-$H$20-$G$20-$F$20-$E$20-$D$20-$C$20)&gt;12,L8*$M$20/12,IF((L8*E8-L24-K24-J24-I24-H24-G24-F24-E24-D24-C24)&gt;=L8,L8,(L8*E8-L24-K24-J24-I24-H24-G24-F24-E24-D24-C24))),IF(E8*12-$L$20-$K$20-$J$20-$I$20-$H$20-$G$20-$F$20-$E$20-$D$20-$C$20=0,IF(C24+D24+E24+F24+G24+H24+I24+J24+K24+L24=L8*E8,0,L8*E8-L24-K24-J24-I24-H24-G24-F24-E24-D24-C24),0)),'استهلاک ها'!M7)</f>
        <v>0</v>
      </c>
      <c r="N24" s="408"/>
    </row>
    <row r="25" spans="2:14" ht="20.100000000000001" customHeight="1">
      <c r="B25" s="177" t="str">
        <f t="shared" si="6"/>
        <v>اثاثيه و تجهيزات اداري</v>
      </c>
      <c r="C25" s="401">
        <f t="shared" si="7"/>
        <v>1890000</v>
      </c>
      <c r="D25" s="401">
        <f>IF(مفروضات!$T$7=TRUE,IF((E9*12-$C$20)&gt;0,IF((E9*12-$C$20)&gt;12,L9*$D$20/12,IF((L9*E9-C25)&gt;=L9,L9,(L9*E9-C25))),IF(E9*12-$C$20=0,IF(C25=L9*E9,0,L9*E9-C25),0)),'استهلاک ها'!D8)</f>
        <v>1890000</v>
      </c>
      <c r="E25" s="401">
        <f>IF(مفروضات!$T$7=TRUE,IF((E9*12-$D$20-$C$20)&gt;0,IF((E9*12-$D$20-$C$20)&gt;12,L9*$E$20/12,IF((L9*E9-D25-C25)&gt;=L9,L9,(L9*E9-D25-C25))),IF(E9*12-$D$20-$C$20=0,IF(C25+D25=L9*E9,0,L9*E9-D25-C25),0)),'استهلاک ها'!E8)</f>
        <v>1890000</v>
      </c>
      <c r="F25" s="401">
        <f>IF(مفروضات!$T$7=TRUE,IF((E9*12-$E$20-$D$20-$C$20)&gt;0,IF((E9*12-$E$20-$D$20-$C$20)&gt;12,L9*$F$20/12,IF((L9*E9-E25-D25-C25)&gt;=L9,L9,(L9*E9-E25-D25-C25))),IF(E9*12-$E$20-$D$20-$C$20=0,IF(C25+D25+E25=L9*E9,0,L9*E9-E25-D25-C25),0)),'استهلاک ها'!F8)</f>
        <v>1890000</v>
      </c>
      <c r="G25" s="401">
        <f>IF(مفروضات!$T$7=TRUE,IF((E9*12-$F$20-$E$20-$D$20-$C$20)&gt;0,IF((E9*12-$F$20-$E$20-$D$20-$C$20)&gt;12,L9*$G$20/12,IF((L9*E9-F25-E25-D25-C25)&gt;=L9,L9,(L9*E9-F25-E25-D25-C25))),IF(E9*12-$F$20-$E$20-$D$20-$C$20=0,IF(C25+D25+E25+F25=L9*E9,0,L9*E9-F25-E25-D25-C25),0)),'استهلاک ها'!G8)</f>
        <v>1890000</v>
      </c>
      <c r="H25" s="401">
        <f>IF(مفروضات!$T$7=TRUE,IF((E9*12-$G$20-$F$20-$E$20-$D$20-$C$20)&gt;0,IF((E9*12-$G$20-$F$20-$E$20-$D$20-$C$20)&gt;12,L9*$H$20/12,IF((L9*E9-G25-F25-E25-D25-C25)&gt;=L9,L9,(L9*E9-G25-F25-E25-D25-C25))),IF(E9*12-$G$20-$F$20-$E$20-$D$20-$C$20=0,IF(C25+D25+E25+F25+G25=L9*E9,0,L9*E9-G25-F25-E25-D25-C25),0)),'استهلاک ها'!H8)</f>
        <v>0</v>
      </c>
      <c r="I25" s="401">
        <f>IF(مفروضات!$T$7=TRUE,IF((E9*12-$H$20-$G$20-$F$20-$E$20-$D$20-$C$20)&gt;0,IF((E9*12-$H$20-$G$20-$F$20-$E$20-$D$20-$C$20)&gt;12,L9*$H$20/12,IF((L9*E9-H25-G25-F25-E25-D25-C25)&gt;=L9,L9,(L9*E9-H25-G25-F25-E25-D25-C25))),IF(E9*12-$H$20-$G$20-$F$20-$E$20-$D$20-$C$20=0,IF(C25+D25+E25+F25+G25+H25=L9*E9,0,L9*E9-H25-G25-F25-E25-D25-C25),0)),'استهلاک ها'!I8)</f>
        <v>0</v>
      </c>
      <c r="J25" s="401">
        <f>IF(مفروضات!$T$7=TRUE,IF((E9*12-$I$20-$H$20-$G$20-$F$20-$E$20-$D$20-$C$20)&gt;0,IF((E9*12-$I$20-$H$20-$G$20-$F$20-$E$20-$D$20-$C$20)&gt;12,L9*$J$20/12,IF((L9*E9-I25-H25-G25-F25-E25-D25-C25)&gt;=L9,L9,(L9*E9-I25-H25-G25-F25-E25-D25-C25))),IF(E9*12-$I$20-$H$20-$G$20-$F$20-$E$20-$D$20-$C$20=0,IF(C25+D25+E25+F25+G25+H25+I25=L9*E9,0,L9*E9-I25-H25-G25-F25-E25-D25-C25),0)),'استهلاک ها'!J8)</f>
        <v>0</v>
      </c>
      <c r="K25" s="401">
        <f>IF(مفروضات!$T$7=TRUE,IF((E9*12-$J$20-$I$20-$H$20-$G$20-$F$20-$E$20-$D$20-$C$20)&gt;0,IF((E9*12-$J$20-$I$20-$H$20-$G$20-$F$20-$E$20-$D$20-$C$20)&gt;12,L9*$K$20/12,IF((L9*E9-J25-I25-H25-G25-F25-E25-D25-C25)&gt;=L9,L9,(L9*E9-J25-I25-H25-G25-F25-E25-D25-C25))),IF(E9*12-$J$20-$I$20-$H$20-$G$20-$F$20-$E$20-$D$20-$C$20=0,IF(C25+D25+E25+F25+G25+H25+I25+J25=L9*E9,0,L9*E9-J25-I25-H25-G25-F25-E25-D25-C25),0)),'استهلاک ها'!K8)</f>
        <v>0</v>
      </c>
      <c r="L25" s="401">
        <f>IF(مفروضات!$T$7=TRUE,IF((E9*12-$K$20-$J$20-$I$20-$H$20-$G$20-$F$20-$E$20-$D$20-$C$20)&gt;0,IF((E9*12-$K$20-$J$20-$I$20-$H$20-$G$20-$F$20-$E$20-$D$20-$C$20)&gt;12,L9*$L$20/12,IF((L9*E9-K25-J25-I25-H25-G25-F25-E25-D25-C25)&gt;=L9,L9,(L9*E9-K25-J25-I25-H25-G25-F25-E25-D25-C25))),IF(E9*12-$K$20-$J$20-$I$20-$H$20-$G$20-$F$20-$E$20-$D$20-$C$20=0,IF(C25+D25+E25+F25+G25+H25+I25+J25+K25=L9*E9,0,L9*E9-K25-J25-I25-H25-G25-F25-E25-D25-C25),0)),'استهلاک ها'!L8)</f>
        <v>0</v>
      </c>
      <c r="M25" s="401">
        <f>IF(مفروضات!$T$7=TRUE,IF((E9*12-$L$20-$K$20-$J$20-$I$20-$H$20-$G$20-$F$20-$E$20-$D$20-$C$20)&gt;0,IF((E9*12-$L$20-$K$20-$J$20-$I$20-$H$20-$G$20-$F$20-$E$20-$D$20-$C$20)&gt;12,L9*$M$20/12,IF((L9*E9-L25-K25-J25-I25-H25-G25-F25-E25-D25-C25)&gt;=L9,L9,(L9*E9-L25-K25-J25-I25-H25-G25-F25-E25-D25-C25))),IF(E9*12-$L$20-$K$20-$J$20-$I$20-$H$20-$G$20-$F$20-$E$20-$D$20-$C$20=0,IF(C25+D25+E25+F25+G25+H25+I25+J25+K25+L25=L9*E9,0,L9*E9-L25-K25-J25-I25-H25-G25-F25-E25-D25-C25),0)),'استهلاک ها'!M8)</f>
        <v>0</v>
      </c>
      <c r="N25" s="408"/>
    </row>
    <row r="26" spans="2:14" ht="20.100000000000001" customHeight="1">
      <c r="B26" s="177" t="str">
        <f t="shared" si="6"/>
        <v>وسائط نقليه</v>
      </c>
      <c r="C26" s="401">
        <f t="shared" si="7"/>
        <v>1575000</v>
      </c>
      <c r="D26" s="401">
        <f>IF(مفروضات!$T$7=TRUE,IF((E10*12-$C$20)&gt;0,IF((E10*12-$C$20)&gt;12,L10*$D$20/12,IF((L10*E10-C26)&gt;=L10,L10,(L10*E10-C26))),IF(E10*12-$C$20=0,IF(C26=L10*E10,0,L10*E10-C26),0)),'استهلاک ها'!D9)</f>
        <v>1575000</v>
      </c>
      <c r="E26" s="401">
        <f>IF(مفروضات!$T$7=TRUE,IF((E10*12-$D$20-$C$20)&gt;0,IF((E10*12-$D$20-$C$20)&gt;12,L10*$E$20/12,IF((L10*E10-D26-C26)&gt;=L10,L10,(L10*E10-D26-C26))),IF(E10*12-$D$20-$C$20=0,IF(C26+D26=L10*E10,0,L10*E10-D26-C26),0)),'استهلاک ها'!E9)</f>
        <v>1575000</v>
      </c>
      <c r="F26" s="401">
        <f>IF(مفروضات!$T$7=TRUE,IF((E10*12-$E$20-$D$20-$C$20)&gt;0,IF((E10*12-$E$20-$D$20-$C$20)&gt;12,L10*$F$20/12,IF((L10*E10-E26-D26-C26)&gt;=L10,L10,(L10*E10-E26-D26-C26))),IF(E10*12-$E$20-$D$20-$C$20=0,IF(C26+D26+E26=L10*E10,0,L10*E10-E26-D26-C26),0)),'استهلاک ها'!F9)</f>
        <v>1575000</v>
      </c>
      <c r="G26" s="401">
        <f>IF(مفروضات!$T$7=TRUE,IF((E10*12-$F$20-$E$20-$D$20-$C$20)&gt;0,IF((E10*12-$F$20-$E$20-$D$20-$C$20)&gt;12,L10*$G$20/12,IF((L10*E10-F26-E26-D26-C26)&gt;=L10,L10,(L10*E10-F26-E26-D26-C26))),IF(E10*12-$F$20-$E$20-$D$20-$C$20=0,IF(C26+D26+E26+F26=L10*E10,0,L10*E10-F26-E26-D26-C26),0)),'استهلاک ها'!G9)</f>
        <v>0</v>
      </c>
      <c r="H26" s="401">
        <f>IF(مفروضات!$T$7=TRUE,IF((E10*12-$G$20-$F$20-$E$20-$D$20-$C$20)&gt;0,IF((E10*12-$G$20-$F$20-$E$20-$D$20-$C$20)&gt;12,L10*$H$20/12,IF((L10*E10-G26-F26-E26-D26-C26)&gt;=L10,L10,(L10*E10-G26-F26-E26-D26-C26))),IF(E10*12-$G$20-$F$20-$E$20-$D$20-$C$20=0,IF(C26+D26+E26+F26+G26=L10*E10,0,L10*E10-G26-F26-E26-D26-C26),0)),'استهلاک ها'!H9)</f>
        <v>0</v>
      </c>
      <c r="I26" s="401">
        <f>IF(مفروضات!$T$7=TRUE,IF((E10*12-$H$20-$G$20-$F$20-$E$20-$D$20-$C$20)&gt;0,IF((E10*12-$H$20-$G$20-$F$20-$E$20-$D$20-$C$20)&gt;12,L10*$H$20/12,IF((L10*E10-H26-G26-F26-E26-D26-C26)&gt;=L10,L10,(L10*E10-H26-G26-F26-E26-D26-C26))),IF(E10*12-$H$20-$G$20-$F$20-$E$20-$D$20-$C$20=0,IF(C26+D26+E26+F26+G26+H26=L10*E10,0,L10*E10-H26-G26-F26-E26-D26-C26),0)),'استهلاک ها'!I9)</f>
        <v>0</v>
      </c>
      <c r="J26" s="401">
        <f>IF(مفروضات!$T$7=TRUE,IF((E10*12-$I$20-$H$20-$G$20-$F$20-$E$20-$D$20-$C$20)&gt;0,IF((E10*12-$I$20-$H$20-$G$20-$F$20-$E$20-$D$20-$C$20)&gt;12,L10*$J$20/12,IF((L10*E10-I26-H26-G26-F26-E26-D26-C26)&gt;=L10,L10,(L10*E10-I26-H26-G26-F26-E26-D26-C26))),IF(E10*12-$I$20-$H$20-$G$20-$F$20-$E$20-$D$20-$C$20=0,IF(C26+D26+E26+F26+G26+H26+I26=L10*E10,0,L10*E10-I26-H26-G26-F26-E26-D26-C26),0)),'استهلاک ها'!J9)</f>
        <v>0</v>
      </c>
      <c r="K26" s="401">
        <f>IF(مفروضات!$T$7=TRUE,IF((E10*12-$J$20-$I$20-$H$20-$G$20-$F$20-$E$20-$D$20-$C$20)&gt;0,IF((E10*12-$J$20-$I$20-$H$20-$G$20-$F$20-$E$20-$D$20-$C$20)&gt;12,L10*$K$20/12,IF((L10*E10-J26-I26-H26-G26-F26-E26-D26-C26)&gt;=L10,L10,(L10*E10-J26-I26-H26-G26-F26-E26-D26-C26))),IF(E10*12-$J$20-$I$20-$H$20-$G$20-$F$20-$E$20-$D$20-$C$20=0,IF(C26+D26+E26+F26+G26+H26+I26+J26=L10*E10,0,L10*E10-J26-I26-H26-G26-F26-E26-D26-C26),0)),'استهلاک ها'!K9)</f>
        <v>0</v>
      </c>
      <c r="L26" s="401">
        <f>IF(مفروضات!$T$7=TRUE,IF((E10*12-$K$20-$J$20-$I$20-$H$20-$G$20-$F$20-$E$20-$D$20-$C$20)&gt;0,IF((E10*12-$K$20-$J$20-$I$20-$H$20-$G$20-$F$20-$E$20-$D$20-$C$20)&gt;12,L10*$L$20/12,IF((L10*E10-K26-J26-I26-H26-G26-F26-E26-D26-C26)&gt;=L10,L10,(L10*E10-K26-J26-I26-H26-G26-F26-E26-D26-C26))),IF(E10*12-$K$20-$J$20-$I$20-$H$20-$G$20-$F$20-$E$20-$D$20-$C$20=0,IF(C26+D26+E26+F26+G26+H26+I26+J26+K26=L10*E10,0,L10*E10-K26-J26-I26-H26-G26-F26-E26-D26-C26),0)),'استهلاک ها'!L9)</f>
        <v>0</v>
      </c>
      <c r="M26" s="401">
        <f>IF(مفروضات!$T$7=TRUE,IF((E10*12-$L$20-$K$20-$J$20-$I$20-$H$20-$G$20-$F$20-$E$20-$D$20-$C$20)&gt;0,IF((E10*12-$L$20-$K$20-$J$20-$I$20-$H$20-$G$20-$F$20-$E$20-$D$20-$C$20)&gt;12,L10*$M$20/12,IF((L10*E10-L26-K26-J26-I26-H26-G26-F26-E26-D26-C26)&gt;=L10,L10,(L10*E10-L26-K26-J26-I26-H26-G26-F26-E26-D26-C26))),IF(E10*12-$L$20-$K$20-$J$20-$I$20-$H$20-$G$20-$F$20-$E$20-$D$20-$C$20=0,IF(C26+D26+E26+F26+G26+H26+I26+J26+K26+L26=L10*E10,0,L10*E10-L26-K26-J26-I26-H26-G26-F26-E26-D26-C26),0)),'استهلاک ها'!M9)</f>
        <v>0</v>
      </c>
      <c r="N26" s="408"/>
    </row>
    <row r="27" spans="2:14" ht="20.100000000000001" customHeight="1">
      <c r="B27" s="177" t="str">
        <f t="shared" si="6"/>
        <v>ساير هزينه هاي بخش ثابت</v>
      </c>
      <c r="C27" s="401">
        <f t="shared" si="7"/>
        <v>8251200</v>
      </c>
      <c r="D27" s="401">
        <f>IF(مفروضات!$T$7=TRUE,IF((E11*12-$C$20)&gt;0,IF((E11*12-$C$20)&gt;12,L11*$D$20/12,IF((L11*E11-C27)&gt;=L11,L11,(L11*E11-C27))),IF(E11*12-$C$20=0,IF(C27=L11*E11,0,L11*E11-C27),0)),'استهلاک ها'!D10)</f>
        <v>8251200</v>
      </c>
      <c r="E27" s="401">
        <f>IF(مفروضات!$T$7=TRUE,IF((E11*12-$D$20-$C$20)&gt;0,IF((E11*12-$D$20-$C$20)&gt;12,L11*$E$20/12,IF((L11*E11-D27-C27)&gt;=L11,L11,(L11*E11-D27-C27))),IF(E11*12-$D$20-$C$20=0,IF(C27+D27=L11*E11,0,L11*E11-D27-C27),0)),'استهلاک ها'!E10)</f>
        <v>8251200</v>
      </c>
      <c r="F27" s="401">
        <f>IF(مفروضات!$T$7=TRUE,IF((E11*12-$E$20-$D$20-$C$20)&gt;0,IF((E11*12-$E$20-$D$20-$C$20)&gt;12,L11*$F$20/12,IF((L11*E11-E27-D27-C27)&gt;=L11,L11,(L11*E11-E27-D27-C27))),IF(E11*12-$E$20-$D$20-$C$20=0,IF(C27+D27+E27=L11*E11,0,L11*E11-E27-D27-C27),0)),'استهلاک ها'!F10)</f>
        <v>8251200</v>
      </c>
      <c r="G27" s="401">
        <f>IF(مفروضات!$T$7=TRUE,IF((E11*12-$F$20-$E$20-$D$20-$C$20)&gt;0,IF((E11*12-$F$20-$E$20-$D$20-$C$20)&gt;12,L11*$G$20/12,IF((L11*E11-F27-E27-D27-C27)&gt;=L11,L11,(L11*E11-F27-E27-D27-C27))),IF(E11*12-$F$20-$E$20-$D$20-$C$20=0,IF(C27+D27+E27+F27=L11*E11,0,L11*E11-F27-E27-D27-C27),0)),'استهلاک ها'!G10)</f>
        <v>8251200</v>
      </c>
      <c r="H27" s="401">
        <f>IF(مفروضات!$T$7=TRUE,IF((E11*12-$G$20-$F$20-$E$20-$D$20-$C$20)&gt;0,IF((E11*12-$G$20-$F$20-$E$20-$D$20-$C$20)&gt;12,L11*$H$20/12,IF((L11*E11-G27-F27-E27-D27-C27)&gt;=L11,L11,(L11*E11-G27-F27-E27-D27-C27))),IF(E11*12-$G$20-$F$20-$E$20-$D$20-$C$20=0,IF(C27+D27+E27+F27+G27=L11*E11,0,L11*E11-G27-F27-E27-D27-C27),0)),'استهلاک ها'!H10)</f>
        <v>8251200</v>
      </c>
      <c r="I27" s="401">
        <f>IF(مفروضات!$T$7=TRUE,IF((E11*12-$H$20-$G$20-$F$20-$E$20-$D$20-$C$20)&gt;0,IF((E11*12-$H$20-$G$20-$F$20-$E$20-$D$20-$C$20)&gt;12,L11*$H$20/12,IF((L11*E11-H27-G27-F27-E27-D27-C27)&gt;=L11,L11,(L11*E11-H27-G27-F27-E27-D27-C27))),IF(E11*12-$H$20-$G$20-$F$20-$E$20-$D$20-$C$20=0,IF(C27+D27+E27+F27+G27+H27=L11*E11,0,L11*E11-H27-G27-F27-E27-D27-C27),0)),'استهلاک ها'!I10)</f>
        <v>8251200</v>
      </c>
      <c r="J27" s="401">
        <f>IF(مفروضات!$T$7=TRUE,IF((E11*12-$I$20-$H$20-$G$20-$F$20-$E$20-$D$20-$C$20)&gt;0,IF((E11*12-$I$20-$H$20-$G$20-$F$20-$E$20-$D$20-$C$20)&gt;12,L11*$J$20/12,IF((L11*E11-I27-H27-G27-F27-E27-D27-C27)&gt;=L11,L11,(L11*E11-I27-H27-G27-F27-E27-D27-C27))),IF(E11*12-$I$20-$H$20-$G$20-$F$20-$E$20-$D$20-$C$20=0,IF(C27+D27+E27+F27+G27+H27+I27=L11*E11,0,L11*E11-I27-H27-G27-F27-E27-D27-C27),0)),'استهلاک ها'!J10)</f>
        <v>8251200</v>
      </c>
      <c r="K27" s="401">
        <f>IF(مفروضات!$T$7=TRUE,IF((E11*12-$J$20-$I$20-$H$20-$G$20-$F$20-$E$20-$D$20-$C$20)&gt;0,IF((E11*12-$J$20-$I$20-$H$20-$G$20-$F$20-$E$20-$D$20-$C$20)&gt;12,L11*$K$20/12,IF((L11*E11-J27-I27-H27-G27-F27-E27-D27-C27)&gt;=L11,L11,(L11*E11-J27-I27-H27-G27-F27-E27-D27-C27))),IF(E11*12-$J$20-$I$20-$H$20-$G$20-$F$20-$E$20-$D$20-$C$20=0,IF(C27+D27+E27+F27+G27+H27+I27+J27=L11*E11,0,L11*E11-J27-I27-H27-G27-F27-E27-D27-C27),0)),'استهلاک ها'!K10)</f>
        <v>8251200</v>
      </c>
      <c r="L27" s="401">
        <f>IF(مفروضات!$T$7=TRUE,IF((E11*12-$K$20-$J$20-$I$20-$H$20-$G$20-$F$20-$E$20-$D$20-$C$20)&gt;0,IF((E11*12-$K$20-$J$20-$I$20-$H$20-$G$20-$F$20-$E$20-$D$20-$C$20)&gt;12,L11*$L$20/12,IF((L11*E11-K27-J27-I27-H27-G27-F27-E27-D27-C27)&gt;=L11,L11,(L11*E11-K27-J27-I27-H27-G27-F27-E27-D27-C27))),IF(E11*12-$K$20-$J$20-$I$20-$H$20-$G$20-$F$20-$E$20-$D$20-$C$20=0,IF(C27+D27+E27+F27+G27+H27+I27+J27+K27=L11*E11,0,L11*E11-K27-J27-I27-H27-G27-F27-E27-D27-C27),0)),'استهلاک ها'!L10)</f>
        <v>8251200</v>
      </c>
      <c r="M27" s="401">
        <f>IF(مفروضات!$T$7=TRUE,IF((E11*12-$L$20-$K$20-$J$20-$I$20-$H$20-$G$20-$F$20-$E$20-$D$20-$C$20)&gt;0,IF((E11*12-$L$20-$K$20-$J$20-$I$20-$H$20-$G$20-$F$20-$E$20-$D$20-$C$20)&gt;12,L11*$M$20/12,IF((L11*E11-L27-K27-J27-I27-H27-G27-F27-E27-D27-C27)&gt;=L11,L11,(L11*E11-L27-K27-J27-I27-H27-G27-F27-E27-D27-C27))),IF(E11*12-$L$20-$K$20-$J$20-$I$20-$H$20-$G$20-$F$20-$E$20-$D$20-$C$20=0,IF(C27+D27+E27+F27+G27+H27+I27+J27+K27+L27=L11*E11,0,L11*E11-L27-K27-J27-I27-H27-G27-F27-E27-D27-C27),0)),'استهلاک ها'!M10)</f>
        <v>0</v>
      </c>
      <c r="N27" s="408"/>
    </row>
    <row r="28" spans="2:14" ht="20.100000000000001" customHeight="1">
      <c r="B28" s="177" t="str">
        <f t="shared" si="6"/>
        <v>هزينه‌هاي پيش‌بيني‌نشده‌</v>
      </c>
      <c r="C28" s="401">
        <f t="shared" si="7"/>
        <v>419850</v>
      </c>
      <c r="D28" s="401">
        <f>IF(مفروضات!$T$7=TRUE,IF((E12*12-$C$20)&gt;0,IF((E12*12-$C$20)&gt;12,L12*$D$20/12,IF((L12*E12-C28)&gt;=L12,L12,(L12*E12-C28))),IF(E12*12-$C$20=0,IF(C28=L12*E12,0,L12*E12-C28),0)),'استهلاک ها'!D11)</f>
        <v>419850</v>
      </c>
      <c r="E28" s="401">
        <f>IF(مفروضات!$T$7=TRUE,IF((E12*12-$D$20-$C$20)&gt;0,IF((E12*12-$D$20-$C$20)&gt;12,L12*$E$20/12,IF((L12*E12-D28-C28)&gt;=L12,L12,(L12*E12-D28-C28))),IF(E12*12-$D$20-$C$20=0,IF(C28+D28=L12*E12,0,L12*E12-D28-C28),0)),'استهلاک ها'!E11)</f>
        <v>419850</v>
      </c>
      <c r="F28" s="401">
        <f>IF(مفروضات!$T$7=TRUE,IF((E12*12-$E$20-$D$20-$C$20)&gt;0,IF((E12*12-$E$20-$D$20-$C$20)&gt;12,L12*$F$20/12,IF((L12*E12-E28-D28-C28)&gt;=L12,L12,(L12*E12-E28-D28-C28))),IF(E12*12-$E$20-$D$20-$C$20=0,IF(C28+D28+E28=L12*E12,0,L12*E12-E28-D28-C28),0)),'استهلاک ها'!F11)</f>
        <v>419850</v>
      </c>
      <c r="G28" s="401">
        <f>IF(مفروضات!$T$7=TRUE,IF((E12*12-$F$20-$E$20-$D$20-$C$20)&gt;0,IF((E12*12-$F$20-$E$20-$D$20-$C$20)&gt;12,L12*$G$20/12,IF((L12*E12-F28-E28-D28-C28)&gt;=L12,L12,(L12*E12-F28-E28-D28-C28))),IF(E12*12-$F$20-$E$20-$D$20-$C$20=0,IF(C28+D28+E28+F28=L12*E12,0,L12*E12-F28-E28-D28-C28),0)),'استهلاک ها'!G11)</f>
        <v>419850</v>
      </c>
      <c r="H28" s="401">
        <f>IF(مفروضات!$T$7=TRUE,IF((E12*12-$G$20-$F$20-$E$20-$D$20-$C$20)&gt;0,IF((E12*12-$G$20-$F$20-$E$20-$D$20-$C$20)&gt;12,L12*$H$20/12,IF((L12*E12-G28-F28-E28-D28-C28)&gt;=L12,L12,(L12*E12-G28-F28-E28-D28-C28))),IF(E12*12-$G$20-$F$20-$E$20-$D$20-$C$20=0,IF(C28+D28+E28+F28+G28=L12*E12,0,L12*E12-G28-F28-E28-D28-C28),0)),'استهلاک ها'!H11)</f>
        <v>419850</v>
      </c>
      <c r="I28" s="401">
        <f>IF(مفروضات!$T$7=TRUE,IF((E12*12-$H$20-$G$20-$F$20-$E$20-$D$20-$C$20)&gt;0,IF((E12*12-$H$20-$G$20-$F$20-$E$20-$D$20-$C$20)&gt;12,L12*$H$20/12,IF((L12*E12-H28-G28-F28-E28-D28-C28)&gt;=L12,L12,(L12*E12-H28-G28-F28-E28-D28-C28))),IF(E12*12-$H$20-$G$20-$F$20-$E$20-$D$20-$C$20=0,IF(C28+D28+E28+F28+G28+H28=L12*E12,0,L12*E12-H28-G28-F28-E28-D28-C28),0)),'استهلاک ها'!I11)</f>
        <v>419850</v>
      </c>
      <c r="J28" s="401">
        <f>IF(مفروضات!$T$7=TRUE,IF((E12*12-$I$20-$H$20-$G$20-$F$20-$E$20-$D$20-$C$20)&gt;0,IF((E12*12-$I$20-$H$20-$G$20-$F$20-$E$20-$D$20-$C$20)&gt;12,L12*$J$20/12,IF((L12*E12-I28-H28-G28-F28-E28-D28-C28)&gt;=L12,L12,(L12*E12-I28-H28-G28-F28-E28-D28-C28))),IF(E12*12-$I$20-$H$20-$G$20-$F$20-$E$20-$D$20-$C$20=0,IF(C28+D28+E28+F28+G28+H28+I28=L12*E12,0,L12*E12-I28-H28-G28-F28-E28-D28-C28),0)),'استهلاک ها'!J11)</f>
        <v>419850</v>
      </c>
      <c r="K28" s="401">
        <f>IF(مفروضات!$T$7=TRUE,IF((E12*12-$J$20-$I$20-$H$20-$G$20-$F$20-$E$20-$D$20-$C$20)&gt;0,IF((E12*12-$J$20-$I$20-$H$20-$G$20-$F$20-$E$20-$D$20-$C$20)&gt;12,L12*$K$20/12,IF((L12*E12-J28-I28-H28-G28-F28-E28-D28-C28)&gt;=L12,L12,(L12*E12-J28-I28-H28-G28-F28-E28-D28-C28))),IF(E12*12-$J$20-$I$20-$H$20-$G$20-$F$20-$E$20-$D$20-$C$20=0,IF(C28+D28+E28+F28+G28+H28+I28+J28=L12*E12,0,L12*E12-J28-I28-H28-G28-F28-E28-D28-C28),0)),'استهلاک ها'!K11)</f>
        <v>419850</v>
      </c>
      <c r="L28" s="401">
        <f>IF(مفروضات!$T$7=TRUE,IF((E12*12-$K$20-$J$20-$I$20-$H$20-$G$20-$F$20-$E$20-$D$20-$C$20)&gt;0,IF((E12*12-$K$20-$J$20-$I$20-$H$20-$G$20-$F$20-$E$20-$D$20-$C$20)&gt;12,L12*$L$20/12,IF((L12*E12-K28-J28-I28-H28-G28-F28-E28-D28-C28)&gt;=L12,L12,(L12*E12-K28-J28-I28-H28-G28-F28-E28-D28-C28))),IF(E12*12-$K$20-$J$20-$I$20-$H$20-$G$20-$F$20-$E$20-$D$20-$C$20=0,IF(C28+D28+E28+F28+G28+H28+I28+J28+K28=L12*E12,0,L12*E12-K28-J28-I28-H28-G28-F28-E28-D28-C28),0)),'استهلاک ها'!L11)</f>
        <v>419850</v>
      </c>
      <c r="M28" s="401">
        <f>IF(مفروضات!$T$7=TRUE,IF((E12*12-$L$20-$K$20-$J$20-$I$20-$H$20-$G$20-$F$20-$E$20-$D$20-$C$20)&gt;0,IF((E12*12-$L$20-$K$20-$J$20-$I$20-$H$20-$G$20-$F$20-$E$20-$D$20-$C$20)&gt;12,L12*$M$20/12,IF((L12*E12-L28-K28-J28-I28-H28-G28-F28-E28-D28-C28)&gt;=L12,L12,(L12*E12-L28-K28-J28-I28-H28-G28-F28-E28-D28-C28))),IF(E12*12-$L$20-$K$20-$J$20-$I$20-$H$20-$G$20-$F$20-$E$20-$D$20-$C$20=0,IF(C28+D28+E28+F28+G28+H28+I28+J28+K28+L28=L12*E12,0,L12*E12-L28-K28-J28-I28-H28-G28-F28-E28-D28-C28),0)),'استهلاک ها'!M11)</f>
        <v>0</v>
      </c>
      <c r="N28" s="408"/>
    </row>
    <row r="29" spans="2:14" ht="20.100000000000001" customHeight="1">
      <c r="B29" s="177" t="str">
        <f t="shared" si="6"/>
        <v>هزينه هاي قبل از بهره برداري</v>
      </c>
      <c r="C29" s="401">
        <f t="shared" si="7"/>
        <v>229500253.62035227</v>
      </c>
      <c r="D29" s="401">
        <f>IF(مفروضات!$T$7=TRUE,IF((E13*12-$C$20)&gt;0,IF((E13*12-$C$20)&gt;12,L13*$D$20/12,IF((L13*E13-C29)&gt;=L13,L13,(L13*E13-C29))),IF(E13*12-$C$20=0,IF(C29=L13*E13,0,L13*E13-C29),0)),'استهلاک ها'!D12)</f>
        <v>229500253.62035227</v>
      </c>
      <c r="E29" s="401">
        <f>IF(مفروضات!$T$7=TRUE,IF((E13*12-$D$20-$C$20)&gt;0,IF((E13*12-$D$20-$C$20)&gt;12,L13*$E$20/12,IF((L13*E13-D29-C29)&gt;=L13,L13,(L13*E13-D29-C29))),IF(E13*12-$D$20-$C$20=0,IF(C29+D29=L13*E13,0,L13*E13-D29-C29),0)),'استهلاک ها'!E12)</f>
        <v>229500253.62035227</v>
      </c>
      <c r="F29" s="401">
        <f>IF(مفروضات!$T$7=TRUE,IF((E13*12-$E$20-$D$20-$C$20)&gt;0,IF((E13*12-$E$20-$D$20-$C$20)&gt;12,L13*$F$20/12,IF((L13*E13-E29-D29-C29)&gt;=L13,L13,(L13*E13-E29-D29-C29))),IF(E13*12-$E$20-$D$20-$C$20=0,IF(C29+D29+E29=L13*E13,0,L13*E13-E29-D29-C29),0)),'استهلاک ها'!F12)</f>
        <v>229500253.62035227</v>
      </c>
      <c r="G29" s="401">
        <f>IF(مفروضات!$T$7=TRUE,IF((E13*12-$F$20-$E$20-$D$20-$C$20)&gt;0,IF((E13*12-$F$20-$E$20-$D$20-$C$20)&gt;12,L13*$G$20/12,IF((L13*E13-F29-E29-D29-C29)&gt;=L13,L13,(L13*E13-F29-E29-D29-C29))),IF(E13*12-$F$20-$E$20-$D$20-$C$20=0,IF(C29+D29+E29+F29=L13*E13,0,L13*E13-F29-E29-D29-C29),0)),'استهلاک ها'!G12)</f>
        <v>229500253.62035227</v>
      </c>
      <c r="H29" s="401">
        <f>IF(مفروضات!$T$7=TRUE,IF((E13*12-$G$20-$F$20-$E$20-$D$20-$C$20)&gt;0,IF((E13*12-$G$20-$F$20-$E$20-$D$20-$C$20)&gt;12,L13*$H$20/12,IF((L13*E13-G29-F29-E29-D29-C29)&gt;=L13,L13,(L13*E13-G29-F29-E29-D29-C29))),IF(E13*12-$G$20-$F$20-$E$20-$D$20-$C$20=0,IF(C29+D29+E29+F29+G29=L13*E13,0,L13*E13-G29-F29-E29-D29-C29),0)),'استهلاک ها'!H12)</f>
        <v>0</v>
      </c>
      <c r="I29" s="401">
        <f>IF(مفروضات!$T$7=TRUE,IF((E13*12-$H$20-$G$20-$F$20-$E$20-$D$20-$C$20)&gt;0,IF((E13*12-$H$20-$G$20-$F$20-$E$20-$D$20-$C$20)&gt;12,L13*$H$20/12,IF((L13*E13-H29-G29-F29-E29-D29-C29)&gt;=L13,L13,(L13*E13-H29-G29-F29-E29-D29-C29))),IF(E13*12-$H$20-$G$20-$F$20-$E$20-$D$20-$C$20=0,IF(C29+D29+E29+F29+G29+H29=L13*E13,0,L13*E13-H29-G29-F29-E29-D29-C29),0)),'استهلاک ها'!I12)</f>
        <v>0</v>
      </c>
      <c r="J29" s="401">
        <f>IF(مفروضات!$T$7=TRUE,IF((E13*12-$I$20-$H$20-$G$20-$F$20-$E$20-$D$20-$C$20)&gt;0,IF((E13*12-$I$20-$H$20-$G$20-$F$20-$E$20-$D$20-$C$20)&gt;12,L13*$J$20/12,IF((L13*E13-I29-H29-G29-F29-E29-D29-C29)&gt;=L13,L13,(L13*E13-I29-H29-G29-F29-E29-D29-C29))),IF(E13*12-$I$20-$H$20-$G$20-$F$20-$E$20-$D$20-$C$20=0,IF(C29+D29+E29+F29+G29+H29+I29=L13*E13,0,L13*E13-I29-H29-G29-F29-E29-D29-C29),0)),'استهلاک ها'!J12)</f>
        <v>0</v>
      </c>
      <c r="K29" s="401">
        <f>IF(مفروضات!$T$7=TRUE,IF((E13*12-$J$20-$I$20-$H$20-$G$20-$F$20-$E$20-$D$20-$C$20)&gt;0,IF((E13*12-$J$20-$I$20-$H$20-$G$20-$F$20-$E$20-$D$20-$C$20)&gt;12,L13*$K$20/12,IF((L13*E13-J29-I29-H29-G29-F29-E29-D29-C29)&gt;=L13,L13,(L13*E13-J29-I29-H29-G29-F29-E29-D29-C29))),IF(E13*12-$J$20-$I$20-$H$20-$G$20-$F$20-$E$20-$D$20-$C$20=0,IF(C29+D29+E29+F29+G29+H29+I29+J29=L13*E13,0,L13*E13-J29-I29-H29-G29-F29-E29-D29-C29),0)),'استهلاک ها'!K12)</f>
        <v>0</v>
      </c>
      <c r="L29" s="401">
        <f>IF(مفروضات!$T$7=TRUE,IF((E13*12-$K$20-$J$20-$I$20-$H$20-$G$20-$F$20-$E$20-$D$20-$C$20)&gt;0,IF((E13*12-$K$20-$J$20-$I$20-$H$20-$G$20-$F$20-$E$20-$D$20-$C$20)&gt;12,L13*$L$20/12,IF((L13*E13-K29-J29-I29-H29-G29-F29-E29-D29-C29)&gt;=L13,L13,(L13*E13-K29-J29-I29-H29-G29-F29-E29-D29-C29))),IF(E13*12-$K$20-$J$20-$I$20-$H$20-$G$20-$F$20-$E$20-$D$20-$C$20=0,IF(C29+D29+E29+F29+G29+H29+I29+J29+K29=L13*E13,0,L13*E13-K29-J29-I29-H29-G29-F29-E29-D29-C29),0)),'استهلاک ها'!L12)</f>
        <v>0</v>
      </c>
      <c r="M29" s="401">
        <f>IF(مفروضات!$T$7=TRUE,IF((E13*12-$L$20-$K$20-$J$20-$I$20-$H$20-$G$20-$F$20-$E$20-$D$20-$C$20)&gt;0,IF((E13*12-$L$20-$K$20-$J$20-$I$20-$H$20-$G$20-$F$20-$E$20-$D$20-$C$20)&gt;12,L13*$M$20/12,IF((L13*E13-L29-K29-J29-I29-H29-G29-F29-E29-D29-C29)&gt;=L13,L13,(L13*E13-L29-K29-J29-I29-H29-G29-F29-E29-D29-C29))),IF(E13*12-$L$20-$K$20-$J$20-$I$20-$H$20-$G$20-$F$20-$E$20-$D$20-$C$20=0,IF(C29+D29+E29+F29+G29+H29+I29+J29+K29+L29=L13*E13,0,L13*E13-L29-K29-J29-I29-H29-G29-F29-E29-D29-C29),0)),'استهلاک ها'!M12)</f>
        <v>0</v>
      </c>
      <c r="N29" s="408"/>
    </row>
    <row r="30" spans="2:14" ht="24.9" customHeight="1" thickBot="1">
      <c r="B30" s="257" t="s">
        <v>8</v>
      </c>
      <c r="C30" s="239">
        <f>SUM(C21:C28)</f>
        <v>17302050</v>
      </c>
      <c r="D30" s="239">
        <f t="shared" ref="D30:M30" si="8">SUM(D21:D28)</f>
        <v>17302050</v>
      </c>
      <c r="E30" s="239">
        <f t="shared" si="8"/>
        <v>17302050</v>
      </c>
      <c r="F30" s="239">
        <f t="shared" si="8"/>
        <v>17302050</v>
      </c>
      <c r="G30" s="239">
        <f t="shared" si="8"/>
        <v>15727050</v>
      </c>
      <c r="H30" s="239">
        <f t="shared" si="8"/>
        <v>13837050</v>
      </c>
      <c r="I30" s="239">
        <f>SUM(I21:I28)</f>
        <v>13837050</v>
      </c>
      <c r="J30" s="239">
        <f t="shared" si="8"/>
        <v>13837050</v>
      </c>
      <c r="K30" s="239">
        <f>SUM(K21:K28)</f>
        <v>13837050</v>
      </c>
      <c r="L30" s="239">
        <f t="shared" si="8"/>
        <v>13837050</v>
      </c>
      <c r="M30" s="239">
        <f t="shared" si="8"/>
        <v>5166000.0000000009</v>
      </c>
      <c r="N30" s="408"/>
    </row>
    <row r="31" spans="2:14">
      <c r="N31" s="408"/>
    </row>
  </sheetData>
  <sheetProtection password="C716" sheet="1" objects="1" scenarios="1"/>
  <mergeCells count="11">
    <mergeCell ref="K2:L2"/>
    <mergeCell ref="A14:B14"/>
    <mergeCell ref="B16:M16"/>
    <mergeCell ref="A1:J1"/>
    <mergeCell ref="A2:A3"/>
    <mergeCell ref="B2:B3"/>
    <mergeCell ref="C2:D2"/>
    <mergeCell ref="E2:E3"/>
    <mergeCell ref="F2:F3"/>
    <mergeCell ref="G2:I2"/>
    <mergeCell ref="J2:J3"/>
  </mergeCells>
  <phoneticPr fontId="5" type="noConversion"/>
  <pageMargins left="0.75" right="0.75" top="1" bottom="1" header="0.5" footer="0.5"/>
  <pageSetup paperSize="9" scale="59" orientation="portrait" r:id="rId1"/>
  <headerFooter alignWithMargins="0"/>
  <rowBreaks count="1" manualBreakCount="1">
    <brk id="31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9">
    <tabColor indexed="53"/>
  </sheetPr>
  <dimension ref="A1:GV79"/>
  <sheetViews>
    <sheetView rightToLeft="1" zoomScale="70" workbookViewId="0">
      <selection activeCell="E12" sqref="E12"/>
    </sheetView>
  </sheetViews>
  <sheetFormatPr defaultColWidth="9.109375" defaultRowHeight="15"/>
  <cols>
    <col min="1" max="1" width="30.44140625" style="360" bestFit="1" customWidth="1"/>
    <col min="2" max="2" width="13" style="360" bestFit="1" customWidth="1"/>
    <col min="3" max="12" width="11.6640625" style="360" bestFit="1" customWidth="1"/>
    <col min="13" max="13" width="26" style="360" customWidth="1"/>
    <col min="14" max="15" width="11.6640625" style="360" customWidth="1"/>
    <col min="16" max="16" width="5.5546875" style="360" customWidth="1"/>
    <col min="17" max="17" width="27.5546875" style="360" customWidth="1"/>
    <col min="18" max="18" width="14.5546875" style="360" bestFit="1" customWidth="1"/>
    <col min="19" max="20" width="13.44140625" style="360" bestFit="1" customWidth="1"/>
    <col min="21" max="22" width="11.6640625" style="360" customWidth="1"/>
    <col min="23" max="23" width="5.5546875" style="360" bestFit="1" customWidth="1"/>
    <col min="24" max="24" width="37.5546875" style="360" bestFit="1" customWidth="1"/>
    <col min="25" max="37" width="11.6640625" style="360" customWidth="1"/>
    <col min="38" max="38" width="5.5546875" style="360" customWidth="1"/>
    <col min="39" max="39" width="25" style="360" customWidth="1"/>
    <col min="40" max="41" width="13.109375" style="360" customWidth="1"/>
    <col min="42" max="42" width="21.109375" style="360" customWidth="1"/>
    <col min="43" max="43" width="20.6640625" style="360" customWidth="1"/>
    <col min="44" max="47" width="11.6640625" style="360" customWidth="1"/>
    <col min="48" max="48" width="5.5546875" style="360" bestFit="1" customWidth="1"/>
    <col min="49" max="49" width="35.44140625" style="360" customWidth="1"/>
    <col min="50" max="51" width="14.33203125" style="360" bestFit="1" customWidth="1"/>
    <col min="52" max="52" width="11.6640625" style="360" customWidth="1"/>
    <col min="53" max="53" width="14.33203125" style="360" customWidth="1"/>
    <col min="54" max="63" width="11.6640625" style="360" customWidth="1"/>
    <col min="64" max="64" width="8.6640625" style="360" customWidth="1"/>
    <col min="65" max="65" width="49.5546875" style="360" customWidth="1"/>
    <col min="66" max="66" width="5.88671875" style="360" customWidth="1"/>
    <col min="67" max="67" width="27.6640625" style="360" customWidth="1"/>
    <col min="68" max="68" width="38.33203125" style="360" customWidth="1"/>
    <col min="69" max="71" width="11.6640625" style="360" customWidth="1"/>
    <col min="72" max="72" width="7.33203125" style="360" bestFit="1" customWidth="1"/>
    <col min="73" max="73" width="49.5546875" style="360" bestFit="1" customWidth="1"/>
    <col min="74" max="74" width="9.109375" style="360" bestFit="1"/>
    <col min="75" max="75" width="11.6640625" style="360" customWidth="1"/>
    <col min="76" max="76" width="9.6640625" style="360" bestFit="1" customWidth="1"/>
    <col min="77" max="77" width="11.6640625" style="360" customWidth="1"/>
    <col min="78" max="78" width="22.88671875" style="360" bestFit="1" customWidth="1"/>
    <col min="79" max="79" width="5.6640625" style="360" bestFit="1" customWidth="1"/>
    <col min="80" max="80" width="49.5546875" style="360" bestFit="1" customWidth="1"/>
    <col min="81" max="91" width="11.6640625" style="360" customWidth="1"/>
    <col min="92" max="92" width="5.6640625" style="360" bestFit="1" customWidth="1"/>
    <col min="93" max="93" width="49.5546875" style="360" bestFit="1" customWidth="1"/>
    <col min="94" max="105" width="11.6640625" style="360" customWidth="1"/>
    <col min="106" max="106" width="9.109375" style="360"/>
    <col min="107" max="107" width="5.5546875" style="360" bestFit="1" customWidth="1"/>
    <col min="108" max="108" width="46.44140625" style="360" bestFit="1" customWidth="1"/>
    <col min="109" max="119" width="11.6640625" style="407" bestFit="1" customWidth="1"/>
    <col min="120" max="123" width="9.109375" style="360"/>
    <col min="124" max="124" width="8.109375" style="360" bestFit="1" customWidth="1"/>
    <col min="125" max="125" width="44.44140625" style="360" bestFit="1" customWidth="1"/>
    <col min="126" max="126" width="10.33203125" style="407" bestFit="1" customWidth="1"/>
    <col min="127" max="130" width="10.44140625" style="407" bestFit="1" customWidth="1"/>
    <col min="131" max="134" width="11.44140625" style="407" bestFit="1" customWidth="1"/>
    <col min="135" max="136" width="10.5546875" style="407" bestFit="1" customWidth="1"/>
    <col min="137" max="138" width="9.109375" style="360"/>
    <col min="139" max="139" width="37.5546875" style="416" bestFit="1" customWidth="1"/>
    <col min="140" max="142" width="11.6640625" style="373" customWidth="1"/>
    <col min="143" max="151" width="13.109375" style="373" bestFit="1" customWidth="1"/>
    <col min="152" max="154" width="9.109375" style="360"/>
    <col min="155" max="155" width="24" style="360" bestFit="1" customWidth="1"/>
    <col min="156" max="168" width="13.6640625" style="407" bestFit="1" customWidth="1"/>
    <col min="169" max="171" width="9.109375" style="360"/>
    <col min="172" max="172" width="35.109375" style="360" bestFit="1" customWidth="1"/>
    <col min="173" max="173" width="15.109375" style="373" bestFit="1" customWidth="1"/>
    <col min="174" max="174" width="14.6640625" style="373" bestFit="1" customWidth="1"/>
    <col min="175" max="175" width="13.6640625" style="373" bestFit="1" customWidth="1"/>
    <col min="176" max="176" width="14.6640625" style="373" bestFit="1" customWidth="1"/>
    <col min="177" max="184" width="13.6640625" style="373" bestFit="1" customWidth="1"/>
    <col min="185" max="187" width="9.109375" style="373"/>
    <col min="188" max="188" width="51.109375" style="373" bestFit="1" customWidth="1"/>
    <col min="189" max="189" width="15.109375" style="407" bestFit="1" customWidth="1"/>
    <col min="190" max="192" width="14.6640625" style="407" bestFit="1" customWidth="1"/>
    <col min="193" max="200" width="13.6640625" style="407" bestFit="1" customWidth="1"/>
    <col min="201" max="16384" width="9.109375" style="360"/>
  </cols>
  <sheetData>
    <row r="1" spans="1:204" ht="38.25" customHeight="1" thickBot="1">
      <c r="DT1" s="1148" t="str">
        <f>'پيش بيني عملكرد سود و زيان'!A1</f>
        <v>پيش بيني عملكرد سود و زيان طرح (ارقام به هزار ريال)</v>
      </c>
      <c r="DU1" s="1148"/>
      <c r="DV1" s="1148"/>
      <c r="DW1" s="1148"/>
      <c r="DX1" s="1148"/>
      <c r="DY1" s="1148"/>
      <c r="DZ1" s="1148"/>
      <c r="EA1" s="1148"/>
      <c r="EB1" s="1148"/>
      <c r="EC1" s="1148"/>
      <c r="ED1" s="1148"/>
      <c r="EE1" s="1148"/>
      <c r="EF1" s="1148"/>
      <c r="EG1" s="359"/>
      <c r="EH1" s="359"/>
      <c r="EI1" s="1149" t="s">
        <v>439</v>
      </c>
      <c r="EJ1" s="1149"/>
      <c r="EK1" s="1149"/>
      <c r="EL1" s="1149"/>
      <c r="EM1" s="1149"/>
      <c r="EN1" s="1149"/>
      <c r="EO1" s="1149"/>
      <c r="EP1" s="1149"/>
      <c r="EQ1" s="1149"/>
      <c r="ER1" s="1149"/>
      <c r="ES1" s="1149"/>
      <c r="ET1" s="1149"/>
      <c r="EU1" s="1149"/>
      <c r="EV1" s="359"/>
      <c r="EW1" s="359"/>
      <c r="EY1" s="1146" t="s">
        <v>320</v>
      </c>
      <c r="EZ1" s="1146"/>
      <c r="FA1" s="1146"/>
      <c r="FB1" s="1146"/>
      <c r="FC1" s="1146"/>
      <c r="FD1" s="1146"/>
      <c r="FE1" s="1146"/>
      <c r="FF1" s="1146"/>
      <c r="FG1" s="1146"/>
      <c r="FH1" s="1146"/>
      <c r="FI1" s="1146"/>
      <c r="FJ1" s="1146"/>
      <c r="FK1" s="1146"/>
      <c r="FL1" s="1146"/>
      <c r="FP1" s="1147" t="s">
        <v>450</v>
      </c>
      <c r="FQ1" s="1147"/>
      <c r="FR1" s="1147"/>
      <c r="FS1" s="1147"/>
      <c r="FT1" s="1147"/>
      <c r="FU1" s="1147"/>
      <c r="FV1" s="1147"/>
      <c r="FW1" s="1147"/>
      <c r="FX1" s="1147"/>
      <c r="FY1" s="1147"/>
      <c r="FZ1" s="1147"/>
      <c r="GA1" s="1147"/>
      <c r="GB1" s="1147"/>
      <c r="GC1" s="397"/>
      <c r="GD1" s="397"/>
      <c r="GE1" s="397"/>
      <c r="GF1" s="1146" t="s">
        <v>449</v>
      </c>
      <c r="GG1" s="1146"/>
      <c r="GH1" s="1146"/>
      <c r="GI1" s="1146"/>
      <c r="GJ1" s="1146"/>
      <c r="GK1" s="1146"/>
      <c r="GL1" s="1146"/>
      <c r="GM1" s="1146"/>
      <c r="GN1" s="1146"/>
      <c r="GO1" s="1146"/>
      <c r="GP1" s="1146"/>
      <c r="GQ1" s="1146"/>
      <c r="GR1" s="1146"/>
    </row>
    <row r="2" spans="1:204" ht="15.6" thickBot="1">
      <c r="A2" s="454" t="str">
        <f>'برآورد فروش'!A2</f>
        <v>سال</v>
      </c>
      <c r="B2" s="449" t="str">
        <f>'برآورد فروش'!B2</f>
        <v>سال بهره برداری</v>
      </c>
      <c r="C2" s="449" t="str">
        <f>'برآورد فروش'!C2</f>
        <v xml:space="preserve">سال اول </v>
      </c>
      <c r="D2" s="449" t="str">
        <f>'برآورد فروش'!D2</f>
        <v>سال دوم</v>
      </c>
      <c r="E2" s="449" t="str">
        <f>'برآورد فروش'!E2</f>
        <v>سال سوم</v>
      </c>
      <c r="F2" s="449" t="str">
        <f>'برآورد فروش'!F2</f>
        <v>سال چهارم</v>
      </c>
      <c r="G2" s="449" t="str">
        <f>'برآورد فروش'!G2</f>
        <v>سال پنجم</v>
      </c>
      <c r="H2" s="449" t="str">
        <f>'برآورد فروش'!H2</f>
        <v>سال ششم</v>
      </c>
      <c r="I2" s="449" t="str">
        <f>'برآورد فروش'!I2</f>
        <v>سال هفتم</v>
      </c>
      <c r="J2" s="449" t="str">
        <f>'برآورد فروش'!J2</f>
        <v>سال هشتم</v>
      </c>
      <c r="K2" s="449" t="str">
        <f>'برآورد فروش'!K2</f>
        <v>سال نهم</v>
      </c>
      <c r="L2" s="449" t="str">
        <f>'برآورد فروش'!L2</f>
        <v>سال دهم</v>
      </c>
      <c r="M2" s="450" t="str">
        <f>'برآورد فروش'!M2</f>
        <v>ظرفيت اسمي</v>
      </c>
      <c r="N2" s="407"/>
      <c r="O2" s="407"/>
      <c r="P2" s="454" t="str">
        <f>'سرمايه‌‌گذاري طرح'!A2:A3</f>
        <v>رديف</v>
      </c>
      <c r="Q2" s="449" t="str">
        <f>'سرمايه‌‌گذاري طرح'!B2:B3</f>
        <v>شرح</v>
      </c>
      <c r="R2" s="1139" t="str">
        <f>'سرمايه‌‌گذاري طرح'!D2:D3</f>
        <v>هزينه كل (هزار ريال)</v>
      </c>
      <c r="S2" s="1139"/>
      <c r="T2" s="450" t="str">
        <f>'سرمايه‌‌گذاري طرح'!F2:F3</f>
        <v xml:space="preserve">جمع </v>
      </c>
      <c r="U2" s="407"/>
      <c r="V2" s="407"/>
      <c r="W2" s="407" t="str">
        <f>'سرمايه در گردش'!A2</f>
        <v>رديف</v>
      </c>
      <c r="X2" s="407" t="str">
        <f>'سرمايه در گردش'!B2</f>
        <v>شرح</v>
      </c>
      <c r="Y2" s="407" t="str">
        <f>'سرمايه در گردش'!C2</f>
        <v>ماه</v>
      </c>
      <c r="Z2" s="407" t="str">
        <f>'سرمايه در گردش'!D2</f>
        <v>موجود</v>
      </c>
      <c r="AA2" s="407" t="str">
        <f>'سرمايه در گردش'!E2</f>
        <v>مورد نياز</v>
      </c>
      <c r="AB2" s="407" t="str">
        <f>'سرمايه در گردش'!F2</f>
        <v>جمع كل</v>
      </c>
      <c r="AC2" s="407"/>
      <c r="AD2" s="407"/>
      <c r="AE2" s="407"/>
      <c r="AF2" s="407"/>
      <c r="AG2" s="407"/>
      <c r="AH2" s="407"/>
      <c r="AI2" s="407"/>
      <c r="AJ2" s="407"/>
      <c r="AK2" s="407"/>
      <c r="AL2" s="454" t="str">
        <f>'تعميرات و نگهداري '!A2:A3</f>
        <v>رديف</v>
      </c>
      <c r="AM2" s="449" t="str">
        <f>'تعميرات و نگهداري '!B2:B3</f>
        <v>شرح</v>
      </c>
      <c r="AN2" s="1139" t="str">
        <f>'تعميرات و نگهداري '!C2:C3</f>
        <v>ميزان سرمايه گذاري(هزار ريال)</v>
      </c>
      <c r="AO2" s="1139"/>
      <c r="AP2" s="449" t="str">
        <f>'تعميرات و نگهداري '!E2:E3</f>
        <v>درصد تعميرات و نگهداري</v>
      </c>
      <c r="AQ2" s="1139" t="str">
        <f>'تعميرات و نگهداري '!F2:F3</f>
        <v>هزينه تعميرات و نگهداري</v>
      </c>
      <c r="AR2" s="1139"/>
      <c r="AS2" s="1140"/>
      <c r="AT2" s="407"/>
      <c r="AU2" s="407"/>
      <c r="AV2" s="407"/>
      <c r="AW2" s="407" t="str">
        <f>استهلاك!B2</f>
        <v>شرح</v>
      </c>
      <c r="AX2" s="1128" t="str">
        <f>استهلاك!C2</f>
        <v>ميزان سرمايه گذاري
(هزار ريال)</v>
      </c>
      <c r="AY2" s="1128"/>
      <c r="AZ2" s="407" t="str">
        <f>استهلاك!I2</f>
        <v>سال</v>
      </c>
      <c r="BA2" s="407" t="str">
        <f>استهلاك!J2</f>
        <v>درصد استهلاك</v>
      </c>
      <c r="BB2" s="1128" t="e">
        <f>استهلاك!#REF!</f>
        <v>#REF!</v>
      </c>
      <c r="BC2" s="1128"/>
      <c r="BD2" s="1128"/>
      <c r="BE2" s="407"/>
      <c r="BF2" s="407"/>
      <c r="BG2" s="407"/>
      <c r="BH2" s="407"/>
      <c r="BI2" s="407"/>
      <c r="BJ2" s="407"/>
      <c r="BK2" s="407"/>
      <c r="BL2" s="407"/>
      <c r="BM2" s="407"/>
      <c r="BN2" s="407"/>
      <c r="BO2" s="407"/>
      <c r="BP2" s="407"/>
      <c r="BQ2" s="407"/>
      <c r="BR2" s="407"/>
      <c r="BS2" s="407"/>
      <c r="BT2" s="454" t="str">
        <f>'هزينه هاي ثابت و متغير'!A2:A3</f>
        <v>رديف</v>
      </c>
      <c r="BU2" s="449" t="str">
        <f>'هزينه هاي ثابت و متغير'!B2:B3</f>
        <v>شرح</v>
      </c>
      <c r="BV2" s="449" t="str">
        <f>'هزينه هاي ثابت و متغير'!C2:C3</f>
        <v>هزينه ثابت</v>
      </c>
      <c r="BW2" s="449">
        <f>'هزينه هاي ثابت و متغير'!D2:D3</f>
        <v>0</v>
      </c>
      <c r="BX2" s="449" t="str">
        <f>'هزينه هاي ثابت و متغير'!E2:E3</f>
        <v>هزينه متغير</v>
      </c>
      <c r="BY2" s="449">
        <f>'هزينه هاي ثابت و متغير'!F2:F3</f>
        <v>0</v>
      </c>
      <c r="BZ2" s="450" t="str">
        <f>'هزينه هاي ثابت و متغير'!G2:G3</f>
        <v>جمع هزينه هاي ثابت و متغير</v>
      </c>
      <c r="CA2" s="454" t="str">
        <f>'هزينه هاي ثابت و متغير'!H2:H3</f>
        <v>رديف</v>
      </c>
      <c r="CB2" s="449" t="str">
        <f>'هزينه هاي ثابت و متغير'!I2:I3</f>
        <v>شرح هزینه های ثابت</v>
      </c>
      <c r="CC2" s="449" t="str">
        <f>'هزينه هاي ثابت و متغير'!J2:J3</f>
        <v>سال بهره برداری</v>
      </c>
      <c r="CD2" s="449" t="str">
        <f>'هزينه هاي ثابت و متغير'!K2:K3</f>
        <v xml:space="preserve">سال اول </v>
      </c>
      <c r="CE2" s="449" t="str">
        <f>'هزينه هاي ثابت و متغير'!L2:L3</f>
        <v>سال دوم</v>
      </c>
      <c r="CF2" s="449" t="str">
        <f>'هزينه هاي ثابت و متغير'!M2:M3</f>
        <v>سال سوم</v>
      </c>
      <c r="CG2" s="449" t="str">
        <f>'هزينه هاي ثابت و متغير'!N2:N3</f>
        <v>سال چهارم</v>
      </c>
      <c r="CH2" s="449" t="str">
        <f>'هزينه هاي ثابت و متغير'!O2:O3</f>
        <v>سال پنجم</v>
      </c>
      <c r="CI2" s="449" t="str">
        <f>'هزينه هاي ثابت و متغير'!P2:P3</f>
        <v>سال ششم</v>
      </c>
      <c r="CJ2" s="449" t="str">
        <f>'هزينه هاي ثابت و متغير'!Q2:Q3</f>
        <v>سال هفتم</v>
      </c>
      <c r="CK2" s="449" t="str">
        <f>'هزينه هاي ثابت و متغير'!R2:R3</f>
        <v>سال هشتم</v>
      </c>
      <c r="CL2" s="449" t="str">
        <f>'هزينه هاي ثابت و متغير'!S2:S3</f>
        <v>سال نهم</v>
      </c>
      <c r="CM2" s="450" t="str">
        <f>'هزينه هاي ثابت و متغير'!T2:T3</f>
        <v>سال دهم</v>
      </c>
      <c r="CN2" s="454" t="str">
        <f>'هزينه هاي ثابت و متغير'!U2:U3</f>
        <v>رديف</v>
      </c>
      <c r="CO2" s="449" t="str">
        <f>'هزينه هاي ثابت و متغير'!V2:V3</f>
        <v>شرح هزینه های متغیر</v>
      </c>
      <c r="CP2" s="449" t="str">
        <f>'هزينه هاي ثابت و متغير'!W2:W3</f>
        <v>سال بهره برداری</v>
      </c>
      <c r="CQ2" s="449" t="str">
        <f>'هزينه هاي ثابت و متغير'!X2:X3</f>
        <v xml:space="preserve">سال اول </v>
      </c>
      <c r="CR2" s="449" t="str">
        <f>'هزينه هاي ثابت و متغير'!Y2:Y3</f>
        <v>سال دوم</v>
      </c>
      <c r="CS2" s="449" t="str">
        <f>'هزينه هاي ثابت و متغير'!Z2:Z3</f>
        <v>سال سوم</v>
      </c>
      <c r="CT2" s="449" t="str">
        <f>'هزينه هاي ثابت و متغير'!AA2:AA3</f>
        <v>سال چهارم</v>
      </c>
      <c r="CU2" s="449" t="str">
        <f>'هزينه هاي ثابت و متغير'!AB2:AB3</f>
        <v>سال پنجم</v>
      </c>
      <c r="CV2" s="449" t="str">
        <f>'هزينه هاي ثابت و متغير'!AC2:AC3</f>
        <v>سال ششم</v>
      </c>
      <c r="CW2" s="449" t="str">
        <f>'هزينه هاي ثابت و متغير'!AD2:AD3</f>
        <v>سال هفتم</v>
      </c>
      <c r="CX2" s="449" t="str">
        <f>'هزينه هاي ثابت و متغير'!AE2:AE3</f>
        <v>سال هشتم</v>
      </c>
      <c r="CY2" s="449" t="str">
        <f>'هزينه هاي ثابت و متغير'!AF2:AF3</f>
        <v>سال نهم</v>
      </c>
      <c r="CZ2" s="450" t="str">
        <f>'هزينه هاي ثابت و متغير'!AG2:AG3</f>
        <v>سال دهم</v>
      </c>
      <c r="DA2" s="407"/>
      <c r="DC2" s="439" t="str">
        <f>'هزينه هاي ثابت و متغير'!AH2:AH3</f>
        <v>رديف</v>
      </c>
      <c r="DD2" s="440" t="str">
        <f>'هزينه هاي ثابت و متغير'!AI2:AI3</f>
        <v xml:space="preserve">شرح </v>
      </c>
      <c r="DE2" s="441" t="str">
        <f>'هزينه هاي ثابت و متغير'!AJ2:AJ3</f>
        <v>سال بهره برداری</v>
      </c>
      <c r="DF2" s="441" t="str">
        <f>'هزينه هاي ثابت و متغير'!AK2:AK3</f>
        <v xml:space="preserve">سال اول </v>
      </c>
      <c r="DG2" s="441" t="str">
        <f>'هزينه هاي ثابت و متغير'!AL2:AL3</f>
        <v>سال دوم</v>
      </c>
      <c r="DH2" s="441" t="str">
        <f>'هزينه هاي ثابت و متغير'!AM2:AM3</f>
        <v>سال سوم</v>
      </c>
      <c r="DI2" s="441" t="str">
        <f>'هزينه هاي ثابت و متغير'!AN2:AN3</f>
        <v>سال چهارم</v>
      </c>
      <c r="DJ2" s="441" t="str">
        <f>'هزينه هاي ثابت و متغير'!AO2:AO3</f>
        <v>سال پنجم</v>
      </c>
      <c r="DK2" s="441" t="str">
        <f>'هزينه هاي ثابت و متغير'!AP2:AP3</f>
        <v>سال ششم</v>
      </c>
      <c r="DL2" s="441" t="str">
        <f>'هزينه هاي ثابت و متغير'!AQ2:AQ3</f>
        <v>سال هفتم</v>
      </c>
      <c r="DM2" s="441" t="str">
        <f>'هزينه هاي ثابت و متغير'!AR2:AR3</f>
        <v>سال هشتم</v>
      </c>
      <c r="DN2" s="441" t="str">
        <f>'هزينه هاي ثابت و متغير'!AS2:AS3</f>
        <v>سال نهم</v>
      </c>
      <c r="DO2" s="446" t="str">
        <f>'هزينه هاي ثابت و متغير'!AT2:AT3</f>
        <v>سال دهم</v>
      </c>
      <c r="DP2" s="359"/>
      <c r="DQ2" s="359"/>
      <c r="DR2" s="359"/>
      <c r="DT2" s="364" t="str">
        <f>'پيش بيني عملكرد سود و زيان'!A2</f>
        <v>رديف</v>
      </c>
      <c r="DU2" s="365" t="str">
        <f>'پيش بيني عملكرد سود و زيان'!B2</f>
        <v>شرح</v>
      </c>
      <c r="DV2" s="365" t="str">
        <f>'پيش بيني عملكرد سود و زيان'!C2</f>
        <v>سال بهره برداری</v>
      </c>
      <c r="DW2" s="365" t="str">
        <f>'پيش بيني عملكرد سود و زيان'!D2</f>
        <v xml:space="preserve">سال اول </v>
      </c>
      <c r="DX2" s="365" t="str">
        <f>'پيش بيني عملكرد سود و زيان'!E2</f>
        <v>سال دوم</v>
      </c>
      <c r="DY2" s="365" t="str">
        <f>'پيش بيني عملكرد سود و زيان'!F2</f>
        <v>سال سوم</v>
      </c>
      <c r="DZ2" s="365" t="str">
        <f>'پيش بيني عملكرد سود و زيان'!G2</f>
        <v>سال چهارم</v>
      </c>
      <c r="EA2" s="365" t="str">
        <f>'پيش بيني عملكرد سود و زيان'!H2</f>
        <v>سال پنجم</v>
      </c>
      <c r="EB2" s="365" t="str">
        <f>'پيش بيني عملكرد سود و زيان'!I2</f>
        <v>سال ششم</v>
      </c>
      <c r="EC2" s="365" t="str">
        <f>'پيش بيني عملكرد سود و زيان'!J2</f>
        <v>سال هفتم</v>
      </c>
      <c r="ED2" s="365" t="str">
        <f>'پيش بيني عملكرد سود و زيان'!K2</f>
        <v>سال هشتم</v>
      </c>
      <c r="EE2" s="365" t="str">
        <f>'پيش بيني عملكرد سود و زيان'!L2</f>
        <v>سال نهم</v>
      </c>
      <c r="EF2" s="366" t="str">
        <f>'پيش بيني عملكرد سود و زيان'!M2</f>
        <v>سال دهم</v>
      </c>
      <c r="EG2" s="359"/>
      <c r="EH2" s="359"/>
      <c r="EI2" s="427"/>
      <c r="EJ2" s="428" t="str">
        <f>'ترازنامه ایجادی'!B1</f>
        <v>سال ساخت</v>
      </c>
      <c r="EK2" s="428" t="str">
        <f>'ترازنامه ایجادی'!C1</f>
        <v>سال جاری</v>
      </c>
      <c r="EL2" s="428" t="str">
        <f>'ترازنامه ایجادی'!D1</f>
        <v xml:space="preserve">سال اول </v>
      </c>
      <c r="EM2" s="428" t="str">
        <f>'ترازنامه ایجادی'!E1</f>
        <v>سال دوم</v>
      </c>
      <c r="EN2" s="428" t="str">
        <f>'ترازنامه ایجادی'!F1</f>
        <v>سال سوم</v>
      </c>
      <c r="EO2" s="428" t="str">
        <f>'ترازنامه ایجادی'!G1</f>
        <v>سال چهارم</v>
      </c>
      <c r="EP2" s="428" t="str">
        <f>'ترازنامه ایجادی'!H1</f>
        <v>سال پنجم</v>
      </c>
      <c r="EQ2" s="428" t="str">
        <f>'ترازنامه ایجادی'!I1</f>
        <v>سال ششم</v>
      </c>
      <c r="ER2" s="428" t="str">
        <f>'ترازنامه ایجادی'!J1</f>
        <v>سال هفتم</v>
      </c>
      <c r="ES2" s="428" t="str">
        <f>'ترازنامه ایجادی'!K1</f>
        <v>سال هشتم</v>
      </c>
      <c r="ET2" s="428" t="str">
        <f>'ترازنامه ایجادی'!L1</f>
        <v>سال نهم</v>
      </c>
      <c r="EU2" s="429" t="str">
        <f>'ترازنامه ایجادی'!M1</f>
        <v>سال دهم</v>
      </c>
      <c r="EV2" s="359"/>
      <c r="EW2" s="359"/>
      <c r="EY2" s="385" t="str">
        <f>'جریان نقدینگی'!A2</f>
        <v>شرح</v>
      </c>
      <c r="EZ2" s="386" t="str">
        <f>'جریان نقدینگی'!B2</f>
        <v>سال ساخت</v>
      </c>
      <c r="FA2" s="386" t="str">
        <f>'جریان نقدینگی'!C2</f>
        <v>سال جاری</v>
      </c>
      <c r="FB2" s="386" t="str">
        <f>'جریان نقدینگی'!D2</f>
        <v xml:space="preserve">سال اول </v>
      </c>
      <c r="FC2" s="386" t="str">
        <f>'جریان نقدینگی'!E2</f>
        <v>سال دوم</v>
      </c>
      <c r="FD2" s="386" t="str">
        <f>'جریان نقدینگی'!F2</f>
        <v>سال سوم</v>
      </c>
      <c r="FE2" s="386" t="str">
        <f>'جریان نقدینگی'!G2</f>
        <v>سال چهارم</v>
      </c>
      <c r="FF2" s="386" t="str">
        <f>'جریان نقدینگی'!H2</f>
        <v>سال پنجم</v>
      </c>
      <c r="FG2" s="386" t="str">
        <f>'جریان نقدینگی'!I2</f>
        <v>سال ششم</v>
      </c>
      <c r="FH2" s="386" t="str">
        <f>'جریان نقدینگی'!J2</f>
        <v>سال هفتم</v>
      </c>
      <c r="FI2" s="386" t="str">
        <f>'جریان نقدینگی'!K2</f>
        <v>سال هشتم</v>
      </c>
      <c r="FJ2" s="386" t="str">
        <f>'جریان نقدینگی'!L2</f>
        <v>سال نهم</v>
      </c>
      <c r="FK2" s="386" t="str">
        <f>'جریان نقدینگی'!M2</f>
        <v>سال دهم</v>
      </c>
      <c r="FL2" s="387" t="str">
        <f>'جریان نقدینگی'!N2</f>
        <v>ارزش اسقاط</v>
      </c>
      <c r="FP2" s="377" t="str">
        <f>'جریان نقدینگی تنزیل شده1'!A2</f>
        <v>شرح</v>
      </c>
      <c r="FQ2" s="378" t="str">
        <f>'جریان نقدینگی تنزیل شده1'!B2</f>
        <v>سال ساخت</v>
      </c>
      <c r="FR2" s="378" t="str">
        <f>'جریان نقدینگی تنزیل شده1'!C2</f>
        <v>سال بهره برداری</v>
      </c>
      <c r="FS2" s="378" t="str">
        <f>'جریان نقدینگی تنزیل شده1'!D2</f>
        <v xml:space="preserve">سال اول </v>
      </c>
      <c r="FT2" s="378" t="str">
        <f>'جریان نقدینگی تنزیل شده1'!E2</f>
        <v>سال دوم</v>
      </c>
      <c r="FU2" s="378" t="str">
        <f>'جریان نقدینگی تنزیل شده1'!F2</f>
        <v>سال سوم</v>
      </c>
      <c r="FV2" s="378" t="str">
        <f>'جریان نقدینگی تنزیل شده1'!G2</f>
        <v>سال چهارم</v>
      </c>
      <c r="FW2" s="378" t="str">
        <f>'جریان نقدینگی تنزیل شده1'!H2</f>
        <v>سال پنجم</v>
      </c>
      <c r="FX2" s="378" t="str">
        <f>'جریان نقدینگی تنزیل شده1'!I2</f>
        <v>سال ششم</v>
      </c>
      <c r="FY2" s="378" t="str">
        <f>'جریان نقدینگی تنزیل شده1'!J2</f>
        <v>سال هفتم</v>
      </c>
      <c r="FZ2" s="378" t="str">
        <f>'جریان نقدینگی تنزیل شده1'!K2</f>
        <v>سال هشتم</v>
      </c>
      <c r="GA2" s="378" t="str">
        <f>'جریان نقدینگی تنزیل شده1'!L2</f>
        <v>سال نهم</v>
      </c>
      <c r="GB2" s="379" t="str">
        <f>'جریان نقدینگی تنزیل شده1'!M2</f>
        <v>سال دهم</v>
      </c>
      <c r="GF2" s="394" t="str">
        <f>'جریان نقدینگی تنزیل شده2'!A2</f>
        <v>شرح</v>
      </c>
      <c r="GG2" s="378" t="str">
        <f>'جریان نقدینگی تنزیل شده2'!B2</f>
        <v>سال ساخت</v>
      </c>
      <c r="GH2" s="378" t="str">
        <f>'جریان نقدینگی تنزیل شده2'!C2</f>
        <v>سال بهره برداری</v>
      </c>
      <c r="GI2" s="378" t="str">
        <f>'جریان نقدینگی تنزیل شده2'!D2</f>
        <v xml:space="preserve">سال اول </v>
      </c>
      <c r="GJ2" s="378" t="str">
        <f>'جریان نقدینگی تنزیل شده2'!E2</f>
        <v>سال دوم</v>
      </c>
      <c r="GK2" s="378" t="str">
        <f>'جریان نقدینگی تنزیل شده2'!F2</f>
        <v>سال سوم</v>
      </c>
      <c r="GL2" s="378" t="str">
        <f>'جریان نقدینگی تنزیل شده2'!G2</f>
        <v>سال چهارم</v>
      </c>
      <c r="GM2" s="378" t="str">
        <f>'جریان نقدینگی تنزیل شده2'!H2</f>
        <v>سال پنجم</v>
      </c>
      <c r="GN2" s="378" t="str">
        <f>'جریان نقدینگی تنزیل شده2'!I2</f>
        <v>سال ششم</v>
      </c>
      <c r="GO2" s="378" t="str">
        <f>'جریان نقدینگی تنزیل شده2'!J2</f>
        <v>سال هفتم</v>
      </c>
      <c r="GP2" s="378" t="str">
        <f>'جریان نقدینگی تنزیل شده2'!K2</f>
        <v>سال هشتم</v>
      </c>
      <c r="GQ2" s="378" t="str">
        <f>'جریان نقدینگی تنزیل شده2'!L2</f>
        <v>سال نهم</v>
      </c>
      <c r="GR2" s="379" t="str">
        <f>'جریان نقدینگی تنزیل شده2'!M2</f>
        <v>سال دهم</v>
      </c>
      <c r="GS2" s="373"/>
      <c r="GT2" s="373"/>
      <c r="GU2" s="373"/>
      <c r="GV2" s="373"/>
    </row>
    <row r="3" spans="1:204" ht="16.2" thickBot="1">
      <c r="A3" s="455" t="str">
        <f>'برآورد فروش'!A3</f>
        <v>تعداد ماههاي فعاليت</v>
      </c>
      <c r="B3" s="407">
        <f>'برآورد فروش'!B3</f>
        <v>12</v>
      </c>
      <c r="C3" s="407">
        <f>'برآورد فروش'!C3</f>
        <v>12</v>
      </c>
      <c r="D3" s="407">
        <f>'برآورد فروش'!D3</f>
        <v>12</v>
      </c>
      <c r="E3" s="407">
        <f>'برآورد فروش'!E3</f>
        <v>12</v>
      </c>
      <c r="F3" s="407">
        <f>'برآورد فروش'!F3</f>
        <v>12</v>
      </c>
      <c r="G3" s="407">
        <f>'برآورد فروش'!G3</f>
        <v>12</v>
      </c>
      <c r="H3" s="407">
        <f>'برآورد فروش'!H3</f>
        <v>12</v>
      </c>
      <c r="I3" s="407">
        <f>'برآورد فروش'!I3</f>
        <v>12</v>
      </c>
      <c r="J3" s="407">
        <f>'برآورد فروش'!J3</f>
        <v>12</v>
      </c>
      <c r="K3" s="407">
        <f>'برآورد فروش'!K3</f>
        <v>12</v>
      </c>
      <c r="L3" s="407">
        <f>'برآورد فروش'!L3</f>
        <v>12</v>
      </c>
      <c r="M3" s="451">
        <f>'برآورد فروش'!M3</f>
        <v>0</v>
      </c>
      <c r="N3" s="407"/>
      <c r="O3" s="407"/>
      <c r="P3" s="455"/>
      <c r="Q3" s="407"/>
      <c r="R3" s="407" t="str">
        <f>'سرمايه‌‌گذاري طرح'!D3:D4</f>
        <v>انجام شده</v>
      </c>
      <c r="S3" s="407" t="str">
        <f>'سرمايه‌‌گذاري طرح'!E3:E4</f>
        <v>مورد نياز</v>
      </c>
      <c r="T3" s="451"/>
      <c r="U3" s="407"/>
      <c r="V3" s="407"/>
      <c r="W3" s="407">
        <f>'سرمايه در گردش'!A3</f>
        <v>1</v>
      </c>
      <c r="X3" s="473">
        <f>'سرمايه در گردش'!B3</f>
        <v>0</v>
      </c>
      <c r="Y3" s="473">
        <f>'سرمايه در گردش'!C3</f>
        <v>0</v>
      </c>
      <c r="Z3" s="473">
        <f>'سرمايه در گردش'!D3</f>
        <v>0</v>
      </c>
      <c r="AA3" s="473">
        <f>'سرمايه در گردش'!E3</f>
        <v>0</v>
      </c>
      <c r="AB3" s="473">
        <f t="shared" ref="AB3:AB8" si="0">AA3+Z3</f>
        <v>0</v>
      </c>
      <c r="AC3" s="407"/>
      <c r="AD3" s="407"/>
      <c r="AE3" s="407"/>
      <c r="AF3" s="407"/>
      <c r="AG3" s="407"/>
      <c r="AH3" s="407"/>
      <c r="AI3" s="407"/>
      <c r="AJ3" s="407"/>
      <c r="AK3" s="407"/>
      <c r="AL3" s="455">
        <f>'تعميرات و نگهداري '!A3:A4</f>
        <v>0</v>
      </c>
      <c r="AM3" s="407">
        <f>'تعميرات و نگهداري '!B3:B4</f>
        <v>0</v>
      </c>
      <c r="AN3" s="407" t="str">
        <f>'تعميرات و نگهداري '!C3:C4</f>
        <v>انجام شده</v>
      </c>
      <c r="AO3" s="407" t="str">
        <f>'تعميرات و نگهداري '!D3:D4</f>
        <v>مورد نياز</v>
      </c>
      <c r="AP3" s="407"/>
      <c r="AQ3" s="407" t="str">
        <f>'تعميرات و نگهداري '!F3:F4</f>
        <v>انجام شده</v>
      </c>
      <c r="AR3" s="407" t="str">
        <f>'تعميرات و نگهداري '!G3:G4</f>
        <v>مورد نياز</v>
      </c>
      <c r="AS3" s="451" t="str">
        <f>'تعميرات و نگهداري '!H3:H4</f>
        <v>جمع</v>
      </c>
      <c r="AT3" s="407"/>
      <c r="AU3" s="407"/>
      <c r="AV3" s="407"/>
      <c r="AW3" s="407"/>
      <c r="AX3" s="407" t="str">
        <f>استهلاك!C3</f>
        <v>انجام شده</v>
      </c>
      <c r="AY3" s="407" t="str">
        <f>استهلاك!D3</f>
        <v>مورد نياز</v>
      </c>
      <c r="AZ3" s="407"/>
      <c r="BA3" s="407"/>
      <c r="BB3" s="407" t="e">
        <f>استهلاك!#REF!</f>
        <v>#REF!</v>
      </c>
      <c r="BC3" s="407">
        <f>استهلاك!L3</f>
        <v>0</v>
      </c>
      <c r="BD3" s="407">
        <f>استهلاك!M3</f>
        <v>0</v>
      </c>
      <c r="BE3" s="407">
        <f>استهلاك!N3</f>
        <v>0</v>
      </c>
      <c r="BF3" s="407">
        <f>استهلاك!O3</f>
        <v>0</v>
      </c>
      <c r="BG3" s="407" t="str">
        <f>استهلاك!K2</f>
        <v>جمع</v>
      </c>
      <c r="BH3" s="407"/>
      <c r="BI3" s="407"/>
      <c r="BJ3" s="407"/>
      <c r="BK3" s="407"/>
      <c r="BL3" s="407" t="str">
        <f>'هزينه هاي توليد'!A2</f>
        <v>رديف</v>
      </c>
      <c r="BM3" s="1128" t="str">
        <f>'هزينه هاي توليد'!B2</f>
        <v>شرح</v>
      </c>
      <c r="BN3" s="1128"/>
      <c r="BO3" s="407" t="str">
        <f>'هزينه هاي توليد'!D2</f>
        <v>هزينه كل در 
حداكثر ظرفيت اسمي</v>
      </c>
      <c r="BP3" s="407" t="str">
        <f>'هزينه هاي توليد'!E2</f>
        <v>هزينه كل در سال مبنا
(با احتساب ظرفیت عملی)</v>
      </c>
      <c r="BQ3" s="407"/>
      <c r="BR3" s="407"/>
      <c r="BS3" s="407"/>
      <c r="BT3" s="455"/>
      <c r="BU3" s="407"/>
      <c r="BV3" s="407" t="str">
        <f>'هزينه هاي ثابت و متغير'!C3:C4</f>
        <v>درصد</v>
      </c>
      <c r="BW3" s="407" t="str">
        <f>'هزينه هاي ثابت و متغير'!D3:D4</f>
        <v>هزينه</v>
      </c>
      <c r="BX3" s="407" t="str">
        <f>'هزينه هاي ثابت و متغير'!E3:E4</f>
        <v>درصد</v>
      </c>
      <c r="BY3" s="407" t="str">
        <f>'هزينه هاي ثابت و متغير'!F3:F4</f>
        <v>هزينه</v>
      </c>
      <c r="BZ3" s="451"/>
      <c r="CA3" s="455"/>
      <c r="CB3" s="407"/>
      <c r="CC3" s="407"/>
      <c r="CD3" s="407"/>
      <c r="CE3" s="407"/>
      <c r="CF3" s="407"/>
      <c r="CG3" s="407"/>
      <c r="CH3" s="407"/>
      <c r="CI3" s="407"/>
      <c r="CJ3" s="407"/>
      <c r="CK3" s="407"/>
      <c r="CL3" s="407"/>
      <c r="CM3" s="451"/>
      <c r="CN3" s="455"/>
      <c r="CO3" s="407"/>
      <c r="CP3" s="407" t="str">
        <f>'هزينه هاي ثابت و متغير'!W3:W4</f>
        <v>سال بهره برداری</v>
      </c>
      <c r="CQ3" s="407" t="str">
        <f>'هزينه هاي ثابت و متغير'!X3:X4</f>
        <v xml:space="preserve">سال اول </v>
      </c>
      <c r="CR3" s="407" t="str">
        <f>'هزينه هاي ثابت و متغير'!Y3:Y4</f>
        <v>سال دوم</v>
      </c>
      <c r="CS3" s="407" t="str">
        <f>'هزينه هاي ثابت و متغير'!Z3:Z4</f>
        <v>سال سوم</v>
      </c>
      <c r="CT3" s="407" t="str">
        <f>'هزينه هاي ثابت و متغير'!AA3:AA4</f>
        <v>سال چهارم</v>
      </c>
      <c r="CU3" s="407" t="str">
        <f>'هزينه هاي ثابت و متغير'!AB3:AB4</f>
        <v>سال پنجم</v>
      </c>
      <c r="CV3" s="407" t="str">
        <f>'هزينه هاي ثابت و متغير'!AC3:AC4</f>
        <v>سال ششم</v>
      </c>
      <c r="CW3" s="407" t="str">
        <f>'هزينه هاي ثابت و متغير'!AD3:AD4</f>
        <v>سال هفتم</v>
      </c>
      <c r="CX3" s="407" t="str">
        <f>'هزينه هاي ثابت و متغير'!AE3:AE4</f>
        <v>سال هشتم</v>
      </c>
      <c r="CY3" s="407" t="str">
        <f>'هزينه هاي ثابت و متغير'!AF3:AF4</f>
        <v>سال نهم</v>
      </c>
      <c r="CZ3" s="451" t="str">
        <f>'هزينه هاي ثابت و متغير'!AG3:AG4</f>
        <v>سال دهم</v>
      </c>
      <c r="DA3" s="407"/>
      <c r="DC3" s="442"/>
      <c r="DD3" s="359"/>
      <c r="DE3" s="438"/>
      <c r="DF3" s="438"/>
      <c r="DG3" s="438"/>
      <c r="DH3" s="438"/>
      <c r="DI3" s="438"/>
      <c r="DJ3" s="438"/>
      <c r="DK3" s="438"/>
      <c r="DL3" s="438"/>
      <c r="DM3" s="438"/>
      <c r="DN3" s="438"/>
      <c r="DO3" s="447"/>
      <c r="DT3" s="367">
        <f>'پيش بيني عملكرد سود و زيان'!A4</f>
        <v>1</v>
      </c>
      <c r="DU3" s="368" t="str">
        <f>'پيش بيني عملكرد سود و زيان'!B4</f>
        <v>فروش خالص</v>
      </c>
      <c r="DV3" s="368">
        <f>B36</f>
        <v>0</v>
      </c>
      <c r="DW3" s="368">
        <f t="shared" ref="DW3:EF3" si="1">C36</f>
        <v>0</v>
      </c>
      <c r="DX3" s="368">
        <f t="shared" si="1"/>
        <v>0</v>
      </c>
      <c r="DY3" s="368">
        <f t="shared" si="1"/>
        <v>0</v>
      </c>
      <c r="DZ3" s="368">
        <f t="shared" si="1"/>
        <v>0</v>
      </c>
      <c r="EA3" s="368">
        <f t="shared" si="1"/>
        <v>0</v>
      </c>
      <c r="EB3" s="368">
        <f t="shared" si="1"/>
        <v>0</v>
      </c>
      <c r="EC3" s="368">
        <f t="shared" si="1"/>
        <v>0</v>
      </c>
      <c r="ED3" s="368">
        <f t="shared" si="1"/>
        <v>0</v>
      </c>
      <c r="EE3" s="368">
        <f t="shared" si="1"/>
        <v>0</v>
      </c>
      <c r="EF3" s="368">
        <f t="shared" si="1"/>
        <v>0</v>
      </c>
      <c r="EG3" s="359"/>
      <c r="EH3" s="359"/>
      <c r="EI3" s="423" t="str">
        <f>'ترازنامه ایجادی'!A2</f>
        <v>کل دارائی ها</v>
      </c>
      <c r="EJ3" s="424">
        <f>EJ4+EJ12</f>
        <v>1470846409.0019569</v>
      </c>
      <c r="EK3" s="424">
        <f t="shared" ref="EK3:EU3" si="2">EK4+EK12</f>
        <v>1167866049.2836294</v>
      </c>
      <c r="EL3" s="424">
        <f t="shared" si="2"/>
        <v>863760153.16327727</v>
      </c>
      <c r="EM3" s="424">
        <f t="shared" si="2"/>
        <v>559654257.042925</v>
      </c>
      <c r="EN3" s="424">
        <f t="shared" si="2"/>
        <v>255548360.9225727</v>
      </c>
      <c r="EO3" s="424">
        <f t="shared" si="2"/>
        <v>-46982535.197779536</v>
      </c>
      <c r="EP3" s="424">
        <f t="shared" si="2"/>
        <v>-118123177.69777954</v>
      </c>
      <c r="EQ3" s="424">
        <f t="shared" si="2"/>
        <v>-189263820.19777954</v>
      </c>
      <c r="ER3" s="424">
        <f t="shared" si="2"/>
        <v>-260404462.69777954</v>
      </c>
      <c r="ES3" s="424">
        <f t="shared" si="2"/>
        <v>-331545105.19777954</v>
      </c>
      <c r="ET3" s="424">
        <f t="shared" si="2"/>
        <v>-402685747.69777954</v>
      </c>
      <c r="EU3" s="424">
        <f t="shared" si="2"/>
        <v>-465155340.19777954</v>
      </c>
      <c r="EV3" s="359"/>
      <c r="EW3" s="359"/>
      <c r="EY3" s="380" t="str">
        <f>'جریان نقدینگی'!A3</f>
        <v>کل جریان ورودی</v>
      </c>
      <c r="EZ3" s="376">
        <f>EZ4+EZ8</f>
        <v>1470846409.0019569</v>
      </c>
      <c r="FA3" s="376">
        <f t="shared" ref="FA3:FL3" si="3">FA4+FA8</f>
        <v>2470799.375</v>
      </c>
      <c r="FB3" s="376">
        <f t="shared" si="3"/>
        <v>0</v>
      </c>
      <c r="FC3" s="376">
        <f t="shared" si="3"/>
        <v>0</v>
      </c>
      <c r="FD3" s="376">
        <f t="shared" si="3"/>
        <v>0</v>
      </c>
      <c r="FE3" s="376">
        <f t="shared" si="3"/>
        <v>0</v>
      </c>
      <c r="FF3" s="376">
        <f t="shared" si="3"/>
        <v>0</v>
      </c>
      <c r="FG3" s="376">
        <f t="shared" si="3"/>
        <v>0</v>
      </c>
      <c r="FH3" s="376">
        <f t="shared" si="3"/>
        <v>0</v>
      </c>
      <c r="FI3" s="376">
        <f t="shared" si="3"/>
        <v>0</v>
      </c>
      <c r="FJ3" s="376">
        <f t="shared" si="3"/>
        <v>0</v>
      </c>
      <c r="FK3" s="376">
        <f t="shared" si="3"/>
        <v>0</v>
      </c>
      <c r="FL3" s="381">
        <f t="shared" si="3"/>
        <v>137916640.90019572</v>
      </c>
      <c r="FM3" s="359"/>
      <c r="FN3" s="359"/>
      <c r="FO3" s="359"/>
      <c r="FP3" s="380" t="str">
        <f>'جریان نقدینگی تنزیل شده1'!A3</f>
        <v>مازاد نقدی عملیات</v>
      </c>
      <c r="FQ3" s="375">
        <f>'جریان نقدینگی تنزیل شده1'!B3</f>
        <v>0</v>
      </c>
      <c r="FR3" s="376">
        <f>FA8-FA15-FA16</f>
        <v>-57303592.5</v>
      </c>
      <c r="FS3" s="376">
        <f t="shared" ref="FS3:GB3" si="4">FB8-FB15-FB16</f>
        <v>-57303592.5</v>
      </c>
      <c r="FT3" s="376">
        <f t="shared" si="4"/>
        <v>-57303592.5</v>
      </c>
      <c r="FU3" s="376">
        <f t="shared" si="4"/>
        <v>-57303592.5</v>
      </c>
      <c r="FV3" s="376">
        <f t="shared" si="4"/>
        <v>-57303592.5</v>
      </c>
      <c r="FW3" s="376">
        <f t="shared" si="4"/>
        <v>-57303592.5</v>
      </c>
      <c r="FX3" s="376">
        <f t="shared" si="4"/>
        <v>-57303592.5</v>
      </c>
      <c r="FY3" s="376">
        <f t="shared" si="4"/>
        <v>-57303592.5</v>
      </c>
      <c r="FZ3" s="376">
        <f t="shared" si="4"/>
        <v>-57303592.5</v>
      </c>
      <c r="GA3" s="376">
        <f t="shared" si="4"/>
        <v>-57303592.5</v>
      </c>
      <c r="GB3" s="381">
        <f t="shared" si="4"/>
        <v>-57303592.5</v>
      </c>
      <c r="GF3" s="395" t="str">
        <f>'جریان نقدینگی تنزیل شده2'!A3</f>
        <v>مازاد نقدینگی</v>
      </c>
      <c r="GG3" s="375">
        <f>'جریان نقدینگی تنزیل شده2'!B3</f>
        <v>0</v>
      </c>
      <c r="GH3" s="376">
        <f>FA20</f>
        <v>-58648855.472975165</v>
      </c>
      <c r="GI3" s="376">
        <f t="shared" ref="GI3:GR3" si="5">FB20</f>
        <v>-57303592.5</v>
      </c>
      <c r="GJ3" s="376">
        <f t="shared" si="5"/>
        <v>-57303592.5</v>
      </c>
      <c r="GK3" s="376">
        <f t="shared" si="5"/>
        <v>-57303592.5</v>
      </c>
      <c r="GL3" s="376">
        <f t="shared" si="5"/>
        <v>-57303592.5</v>
      </c>
      <c r="GM3" s="376">
        <f t="shared" si="5"/>
        <v>-57303592.5</v>
      </c>
      <c r="GN3" s="376">
        <f t="shared" si="5"/>
        <v>-57303592.5</v>
      </c>
      <c r="GO3" s="376">
        <f t="shared" si="5"/>
        <v>-57303592.5</v>
      </c>
      <c r="GP3" s="376">
        <f t="shared" si="5"/>
        <v>-57303592.5</v>
      </c>
      <c r="GQ3" s="376">
        <f t="shared" si="5"/>
        <v>-57303592.5</v>
      </c>
      <c r="GR3" s="381">
        <f t="shared" si="5"/>
        <v>-57303592.5</v>
      </c>
      <c r="GS3" s="373"/>
      <c r="GT3" s="373"/>
      <c r="GU3" s="373"/>
      <c r="GV3" s="373"/>
    </row>
    <row r="4" spans="1:204" ht="16.2" thickBot="1">
      <c r="A4" s="455" t="str">
        <f>'برآورد فروش'!A4</f>
        <v>درصد استفاده از ظرفيت اسمي</v>
      </c>
      <c r="B4" s="462">
        <f>'برآورد فروش'!B4</f>
        <v>1</v>
      </c>
      <c r="C4" s="462">
        <f>'برآورد فروش'!C4</f>
        <v>1</v>
      </c>
      <c r="D4" s="462">
        <f>'برآورد فروش'!D4</f>
        <v>1</v>
      </c>
      <c r="E4" s="462">
        <f>'برآورد فروش'!E4</f>
        <v>1</v>
      </c>
      <c r="F4" s="462">
        <f>'برآورد فروش'!F4</f>
        <v>1</v>
      </c>
      <c r="G4" s="462">
        <f>'برآورد فروش'!G4</f>
        <v>1</v>
      </c>
      <c r="H4" s="462">
        <f>'برآورد فروش'!H4</f>
        <v>1</v>
      </c>
      <c r="I4" s="462">
        <f>'برآورد فروش'!I4</f>
        <v>1</v>
      </c>
      <c r="J4" s="462">
        <f>'برآورد فروش'!J4</f>
        <v>1</v>
      </c>
      <c r="K4" s="462">
        <f>'برآورد فروش'!K4</f>
        <v>1</v>
      </c>
      <c r="L4" s="462">
        <f>'برآورد فروش'!L4</f>
        <v>1</v>
      </c>
      <c r="M4" s="451">
        <f>'برآورد فروش'!M4</f>
        <v>0</v>
      </c>
      <c r="N4" s="407"/>
      <c r="O4" s="407"/>
      <c r="P4" s="455">
        <f>'سرمايه‌‌گذاري طرح'!A4:A5</f>
        <v>1</v>
      </c>
      <c r="Q4" s="407" t="str">
        <f>'سرمايه‌‌گذاري طرح'!B4:B5</f>
        <v xml:space="preserve">زمين </v>
      </c>
      <c r="R4" s="464">
        <f>IF('آنالیز حساسیت'!$C$4=0,'سرمايه‌‌گذاري طرح'!D4,'سرمايه‌‌گذاري طرح'!D4*(1+'آنالیز حساسیت'!$C$4))</f>
        <v>0</v>
      </c>
      <c r="S4" s="464">
        <f>IF('آنالیز حساسیت'!$C$4=0,'سرمايه‌‌گذاري طرح'!E4,'سرمايه‌‌گذاري طرح'!E4*(1+'آنالیز حساسیت'!$C$4))</f>
        <v>0</v>
      </c>
      <c r="T4" s="465">
        <f>S4+R4</f>
        <v>0</v>
      </c>
      <c r="U4" s="407"/>
      <c r="V4" s="407"/>
      <c r="W4" s="407">
        <f>'سرمايه در گردش'!A4</f>
        <v>2</v>
      </c>
      <c r="X4" s="407" t="str">
        <f>'سرمايه در گردش'!B4</f>
        <v>مواد اوليه</v>
      </c>
      <c r="Y4" s="407">
        <f>'سرمايه در گردش'!C4</f>
        <v>1</v>
      </c>
      <c r="Z4" s="407">
        <f>'سرمايه در گردش'!D4</f>
        <v>0</v>
      </c>
      <c r="AA4" s="407">
        <f>BO4/12*Y4*L4</f>
        <v>0</v>
      </c>
      <c r="AB4" s="407">
        <f t="shared" si="0"/>
        <v>0</v>
      </c>
      <c r="AC4" s="407"/>
      <c r="AD4" s="407"/>
      <c r="AE4" s="407"/>
      <c r="AF4" s="407"/>
      <c r="AG4" s="407"/>
      <c r="AH4" s="407"/>
      <c r="AI4" s="407"/>
      <c r="AJ4" s="407"/>
      <c r="AK4" s="407"/>
      <c r="AL4" s="455">
        <f>'تعميرات و نگهداري '!A4:A5</f>
        <v>1</v>
      </c>
      <c r="AM4" s="407" t="str">
        <f>'تعميرات و نگهداري '!B4:B5</f>
        <v>محوطه سازي</v>
      </c>
      <c r="AN4" s="464">
        <f>R5</f>
        <v>0</v>
      </c>
      <c r="AO4" s="464">
        <f>S5</f>
        <v>0</v>
      </c>
      <c r="AP4" s="462">
        <f>'تعميرات و نگهداري '!E4:E5</f>
        <v>0.02</v>
      </c>
      <c r="AQ4" s="407">
        <f>AP4*AN4</f>
        <v>0</v>
      </c>
      <c r="AR4" s="407">
        <f>AP4*AO4</f>
        <v>0</v>
      </c>
      <c r="AS4" s="451">
        <f>AR4+AQ4</f>
        <v>0</v>
      </c>
      <c r="AT4" s="407"/>
      <c r="AU4" s="407"/>
      <c r="AV4" s="407"/>
      <c r="AW4" s="407" t="str">
        <f>استهلاك!B5</f>
        <v>محوطه سازي</v>
      </c>
      <c r="AX4" s="464">
        <f>'ex1'!C5</f>
        <v>0</v>
      </c>
      <c r="AY4" s="464">
        <f>'ex1'!D5</f>
        <v>0</v>
      </c>
      <c r="AZ4" s="562">
        <f>'ex1'!E5</f>
        <v>14.285714285714285</v>
      </c>
      <c r="BA4" s="462">
        <f>'ex1'!F5</f>
        <v>7.0000000000000007E-2</v>
      </c>
      <c r="BB4" s="464">
        <f>'ex1'!G5</f>
        <v>0</v>
      </c>
      <c r="BC4" s="464">
        <f>'ex1'!H5</f>
        <v>0</v>
      </c>
      <c r="BD4" s="464">
        <f>'ex1'!I5</f>
        <v>0</v>
      </c>
      <c r="BE4" s="462">
        <f>'ex1'!J5</f>
        <v>0.1</v>
      </c>
      <c r="BF4" s="464">
        <f>'ex1'!K5</f>
        <v>0</v>
      </c>
      <c r="BG4" s="464">
        <f>'ex1'!L5</f>
        <v>0</v>
      </c>
      <c r="BH4" s="407"/>
      <c r="BI4" s="407"/>
      <c r="BJ4" s="407"/>
      <c r="BK4" s="407"/>
      <c r="BL4" s="407">
        <f>'هزينه هاي توليد'!A3</f>
        <v>1</v>
      </c>
      <c r="BM4" s="407" t="str">
        <f>'هزينه هاي توليد'!B3</f>
        <v xml:space="preserve">مواد اوليه </v>
      </c>
      <c r="BN4" s="407"/>
      <c r="BO4" s="464">
        <f>IF('آنالیز حساسیت'!$A$4=0,'هزينه هاي توليد'!D3,'هزينه هاي توليد'!D3*(1+'آنالیز حساسیت'!$A$4))</f>
        <v>0</v>
      </c>
      <c r="BP4" s="464">
        <f>BO4*$L$4</f>
        <v>0</v>
      </c>
      <c r="BQ4" s="407"/>
      <c r="BR4" s="407"/>
      <c r="BS4" s="407"/>
      <c r="BT4" s="455">
        <f>'هزينه هاي ثابت و متغير'!A4:A5</f>
        <v>1</v>
      </c>
      <c r="BU4" s="407" t="str">
        <f>'هزينه هاي ثابت و متغير'!B4:B5</f>
        <v xml:space="preserve">مواد اوليه </v>
      </c>
      <c r="BV4" s="462">
        <f>'هزينه هاي ثابت و متغير'!C4:C5</f>
        <v>0</v>
      </c>
      <c r="BW4" s="407">
        <f>BZ4*BV4</f>
        <v>0</v>
      </c>
      <c r="BX4" s="462">
        <f>'هزينه هاي ثابت و متغير'!E4:E5</f>
        <v>1</v>
      </c>
      <c r="BY4" s="407">
        <f>BZ4*BX4</f>
        <v>0</v>
      </c>
      <c r="BZ4" s="451">
        <f>BP4</f>
        <v>0</v>
      </c>
      <c r="CA4" s="455">
        <f>'هزينه هاي ثابت و متغير'!H4:H5</f>
        <v>1</v>
      </c>
      <c r="CB4" s="407" t="str">
        <f>'هزينه هاي ثابت و متغير'!I4:I5</f>
        <v xml:space="preserve">مواد اوليه </v>
      </c>
      <c r="CC4" s="407">
        <f>B3/12*$BV$4*$BZ$4</f>
        <v>0</v>
      </c>
      <c r="CD4" s="407">
        <f t="shared" ref="CD4:CM4" si="6">C3/12*$BV$4*$BZ$4</f>
        <v>0</v>
      </c>
      <c r="CE4" s="407">
        <f t="shared" si="6"/>
        <v>0</v>
      </c>
      <c r="CF4" s="407">
        <f t="shared" si="6"/>
        <v>0</v>
      </c>
      <c r="CG4" s="407">
        <f t="shared" si="6"/>
        <v>0</v>
      </c>
      <c r="CH4" s="407">
        <f t="shared" si="6"/>
        <v>0</v>
      </c>
      <c r="CI4" s="407">
        <f t="shared" si="6"/>
        <v>0</v>
      </c>
      <c r="CJ4" s="407">
        <f t="shared" si="6"/>
        <v>0</v>
      </c>
      <c r="CK4" s="407">
        <f t="shared" si="6"/>
        <v>0</v>
      </c>
      <c r="CL4" s="407">
        <f t="shared" si="6"/>
        <v>0</v>
      </c>
      <c r="CM4" s="407">
        <f t="shared" si="6"/>
        <v>0</v>
      </c>
      <c r="CN4" s="455">
        <f>'هزينه هاي ثابت و متغير'!U4:U5</f>
        <v>1</v>
      </c>
      <c r="CO4" s="407" t="str">
        <f>'هزينه هاي ثابت و متغير'!V4:V5</f>
        <v xml:space="preserve">مواد اوليه </v>
      </c>
      <c r="CP4" s="407">
        <f>$BZ$4*$BX$4*B5</f>
        <v>0</v>
      </c>
      <c r="CQ4" s="407">
        <f t="shared" ref="CQ4:CZ4" si="7">$BZ$4*$BX$4*C5</f>
        <v>0</v>
      </c>
      <c r="CR4" s="407">
        <f t="shared" si="7"/>
        <v>0</v>
      </c>
      <c r="CS4" s="407">
        <f t="shared" si="7"/>
        <v>0</v>
      </c>
      <c r="CT4" s="407">
        <f t="shared" si="7"/>
        <v>0</v>
      </c>
      <c r="CU4" s="407">
        <f t="shared" si="7"/>
        <v>0</v>
      </c>
      <c r="CV4" s="407">
        <f t="shared" si="7"/>
        <v>0</v>
      </c>
      <c r="CW4" s="407">
        <f t="shared" si="7"/>
        <v>0</v>
      </c>
      <c r="CX4" s="407">
        <f t="shared" si="7"/>
        <v>0</v>
      </c>
      <c r="CY4" s="407">
        <f t="shared" si="7"/>
        <v>0</v>
      </c>
      <c r="CZ4" s="407">
        <f t="shared" si="7"/>
        <v>0</v>
      </c>
      <c r="DA4" s="407"/>
      <c r="DC4" s="442">
        <f>'هزينه هاي ثابت و متغير'!AH4:AH5</f>
        <v>1</v>
      </c>
      <c r="DD4" s="359" t="str">
        <f>'هزينه هاي ثابت و متغير'!AI4:AI5</f>
        <v xml:space="preserve">مواد اوليه </v>
      </c>
      <c r="DE4" s="438">
        <f t="shared" ref="DE4:DO4" si="8">CP4+CC4</f>
        <v>0</v>
      </c>
      <c r="DF4" s="438">
        <f t="shared" si="8"/>
        <v>0</v>
      </c>
      <c r="DG4" s="438">
        <f t="shared" si="8"/>
        <v>0</v>
      </c>
      <c r="DH4" s="438">
        <f t="shared" si="8"/>
        <v>0</v>
      </c>
      <c r="DI4" s="438">
        <f t="shared" si="8"/>
        <v>0</v>
      </c>
      <c r="DJ4" s="438">
        <f t="shared" si="8"/>
        <v>0</v>
      </c>
      <c r="DK4" s="438">
        <f t="shared" si="8"/>
        <v>0</v>
      </c>
      <c r="DL4" s="438">
        <f t="shared" si="8"/>
        <v>0</v>
      </c>
      <c r="DM4" s="438">
        <f t="shared" si="8"/>
        <v>0</v>
      </c>
      <c r="DN4" s="438">
        <f t="shared" si="8"/>
        <v>0</v>
      </c>
      <c r="DO4" s="438">
        <f t="shared" si="8"/>
        <v>0</v>
      </c>
      <c r="DT4" s="1137" t="str">
        <f>'پيش بيني عملكرد سود و زيان'!A5</f>
        <v>هزينه هاي توليد:</v>
      </c>
      <c r="DU4" s="1138"/>
      <c r="DV4" s="361"/>
      <c r="DW4" s="361"/>
      <c r="DX4" s="361"/>
      <c r="DY4" s="361"/>
      <c r="DZ4" s="361"/>
      <c r="EA4" s="361"/>
      <c r="EB4" s="361"/>
      <c r="EC4" s="361"/>
      <c r="ED4" s="361"/>
      <c r="EE4" s="361"/>
      <c r="EF4" s="362"/>
      <c r="EG4" s="359"/>
      <c r="EH4" s="359"/>
      <c r="EI4" s="425" t="str">
        <f>'ترازنامه ایجادی'!A3</f>
        <v>دارائی های جاری</v>
      </c>
      <c r="EJ4" s="426">
        <f t="shared" ref="EJ4:EU4" si="9">SUM(EJ5:EJ11)</f>
        <v>0</v>
      </c>
      <c r="EK4" s="426">
        <f t="shared" si="9"/>
        <v>-56178056.097975165</v>
      </c>
      <c r="EL4" s="426">
        <f t="shared" si="9"/>
        <v>-113481648.59797516</v>
      </c>
      <c r="EM4" s="426">
        <f t="shared" si="9"/>
        <v>-170785241.09797516</v>
      </c>
      <c r="EN4" s="426">
        <f t="shared" si="9"/>
        <v>-228088833.59797516</v>
      </c>
      <c r="EO4" s="426">
        <f t="shared" si="9"/>
        <v>-285392426.09797513</v>
      </c>
      <c r="EP4" s="426">
        <f t="shared" si="9"/>
        <v>-342696018.59797513</v>
      </c>
      <c r="EQ4" s="426">
        <f t="shared" si="9"/>
        <v>-399999611.09797513</v>
      </c>
      <c r="ER4" s="426">
        <f t="shared" si="9"/>
        <v>-457303203.59797513</v>
      </c>
      <c r="ES4" s="426">
        <f t="shared" si="9"/>
        <v>-514606796.09797513</v>
      </c>
      <c r="ET4" s="426">
        <f t="shared" si="9"/>
        <v>-571910388.59797513</v>
      </c>
      <c r="EU4" s="426">
        <f t="shared" si="9"/>
        <v>-629213981.09797513</v>
      </c>
      <c r="EV4" s="359"/>
      <c r="EW4" s="359"/>
      <c r="EY4" s="388" t="str">
        <f>'جریان نقدینگی'!A4</f>
        <v>سرمایه ورودی</v>
      </c>
      <c r="EZ4" s="389">
        <f>EZ5+EZ6+EZ7</f>
        <v>1470846409.0019569</v>
      </c>
      <c r="FA4" s="389">
        <f t="shared" ref="FA4:FL4" si="10">FA5+FA6+FA7</f>
        <v>2470799.375</v>
      </c>
      <c r="FB4" s="389">
        <f t="shared" si="10"/>
        <v>0</v>
      </c>
      <c r="FC4" s="389">
        <f t="shared" si="10"/>
        <v>0</v>
      </c>
      <c r="FD4" s="389">
        <f t="shared" si="10"/>
        <v>0</v>
      </c>
      <c r="FE4" s="389">
        <f t="shared" si="10"/>
        <v>0</v>
      </c>
      <c r="FF4" s="389">
        <f t="shared" si="10"/>
        <v>0</v>
      </c>
      <c r="FG4" s="389">
        <f t="shared" si="10"/>
        <v>0</v>
      </c>
      <c r="FH4" s="389">
        <f t="shared" si="10"/>
        <v>0</v>
      </c>
      <c r="FI4" s="389">
        <f t="shared" si="10"/>
        <v>0</v>
      </c>
      <c r="FJ4" s="389">
        <f t="shared" si="10"/>
        <v>0</v>
      </c>
      <c r="FK4" s="389">
        <f t="shared" si="10"/>
        <v>0</v>
      </c>
      <c r="FL4" s="390">
        <f t="shared" si="10"/>
        <v>0</v>
      </c>
      <c r="FM4" s="359"/>
      <c r="FN4" s="359"/>
      <c r="FO4" s="359"/>
      <c r="FP4" s="380" t="str">
        <f>'جریان نقدینگی تنزیل شده1'!A4</f>
        <v>هزینه های سرمایه ای</v>
      </c>
      <c r="FQ4" s="376">
        <f>T15</f>
        <v>1470846409.0019569</v>
      </c>
      <c r="FR4" s="376">
        <f>'جریان نقدینگی تنزیل شده1'!C4</f>
        <v>0</v>
      </c>
      <c r="FS4" s="376">
        <f>'جریان نقدینگی تنزیل شده1'!D4</f>
        <v>0</v>
      </c>
      <c r="FT4" s="376">
        <f>'جریان نقدینگی تنزیل شده1'!E4</f>
        <v>0</v>
      </c>
      <c r="FU4" s="376">
        <f>'جریان نقدینگی تنزیل شده1'!F4</f>
        <v>0</v>
      </c>
      <c r="FV4" s="376">
        <f>'جریان نقدینگی تنزیل شده1'!G4</f>
        <v>0</v>
      </c>
      <c r="FW4" s="376">
        <f>'جریان نقدینگی تنزیل شده1'!H4</f>
        <v>0</v>
      </c>
      <c r="FX4" s="376">
        <f>'جریان نقدینگی تنزیل شده1'!I4</f>
        <v>0</v>
      </c>
      <c r="FY4" s="376">
        <f>'جریان نقدینگی تنزیل شده1'!J4</f>
        <v>0</v>
      </c>
      <c r="FZ4" s="376">
        <f>'جریان نقدینگی تنزیل شده1'!K4</f>
        <v>0</v>
      </c>
      <c r="GA4" s="376">
        <f>'جریان نقدینگی تنزیل شده1'!L4</f>
        <v>0</v>
      </c>
      <c r="GB4" s="381">
        <f>'جریان نقدینگی تنزیل شده1'!M4</f>
        <v>0</v>
      </c>
      <c r="GF4" s="395" t="str">
        <f>'جریان نقدینگی تنزیل شده2'!A4</f>
        <v>سرمایه سهم الشرکه متقاضی
(آورده متقاضی اعم از نقدی و غیر نقدی)</v>
      </c>
      <c r="GG4" s="458">
        <f>'منابع تامين سرمايه گذاري'!E15-'منابع تامين سرمايه گذاري'!E14+'منابع تامين سرمايه گذاري'!C15-'منابع تامين سرمايه گذاري'!C14</f>
        <v>1470846409.0019569</v>
      </c>
      <c r="GH4" s="375">
        <f>'جریان نقدینگی تنزیل شده2'!C4</f>
        <v>5900835.7870248342</v>
      </c>
      <c r="GI4" s="375">
        <f>'جریان نقدینگی تنزیل شده2'!D4</f>
        <v>0</v>
      </c>
      <c r="GJ4" s="375">
        <f>'جریان نقدینگی تنزیل شده2'!E4</f>
        <v>0</v>
      </c>
      <c r="GK4" s="375">
        <f>'جریان نقدینگی تنزیل شده2'!F4</f>
        <v>0</v>
      </c>
      <c r="GL4" s="375">
        <f>'جریان نقدینگی تنزیل شده2'!G4</f>
        <v>0</v>
      </c>
      <c r="GM4" s="375">
        <f>'جریان نقدینگی تنزیل شده2'!H4</f>
        <v>0</v>
      </c>
      <c r="GN4" s="375">
        <f>'جریان نقدینگی تنزیل شده2'!I4</f>
        <v>0</v>
      </c>
      <c r="GO4" s="375">
        <f>'جریان نقدینگی تنزیل شده2'!J4</f>
        <v>0</v>
      </c>
      <c r="GP4" s="375">
        <f>'جریان نقدینگی تنزیل شده2'!K4</f>
        <v>0</v>
      </c>
      <c r="GQ4" s="375">
        <f>'جریان نقدینگی تنزیل شده2'!L4</f>
        <v>0</v>
      </c>
      <c r="GR4" s="391">
        <f>'جریان نقدینگی تنزیل شده2'!M4</f>
        <v>0</v>
      </c>
      <c r="GS4" s="373"/>
      <c r="GT4" s="373"/>
      <c r="GU4" s="373"/>
      <c r="GV4" s="373"/>
    </row>
    <row r="5" spans="1:204">
      <c r="A5" s="455" t="str">
        <f>'برآورد فروش'!A5</f>
        <v>درصد استفاده از ظرفيت عملي</v>
      </c>
      <c r="B5" s="407">
        <f>'برآورد فروش'!B5</f>
        <v>1</v>
      </c>
      <c r="C5" s="407">
        <f>'برآورد فروش'!C5</f>
        <v>1</v>
      </c>
      <c r="D5" s="407">
        <f>'برآورد فروش'!D5</f>
        <v>1</v>
      </c>
      <c r="E5" s="407">
        <f>'برآورد فروش'!E5</f>
        <v>1</v>
      </c>
      <c r="F5" s="407">
        <f>'برآورد فروش'!F5</f>
        <v>1</v>
      </c>
      <c r="G5" s="407">
        <f>'برآورد فروش'!G5</f>
        <v>1</v>
      </c>
      <c r="H5" s="407">
        <f>'برآورد فروش'!H5</f>
        <v>1</v>
      </c>
      <c r="I5" s="407">
        <f>'برآورد فروش'!I5</f>
        <v>1</v>
      </c>
      <c r="J5" s="407">
        <f>'برآورد فروش'!J5</f>
        <v>1</v>
      </c>
      <c r="K5" s="407">
        <f>'برآورد فروش'!K5</f>
        <v>1</v>
      </c>
      <c r="L5" s="407">
        <f>'برآورد فروش'!L5</f>
        <v>1</v>
      </c>
      <c r="M5" s="451">
        <f>'برآورد فروش'!M5</f>
        <v>0</v>
      </c>
      <c r="N5" s="407"/>
      <c r="O5" s="407"/>
      <c r="P5" s="455">
        <f>'سرمايه‌‌گذاري طرح'!A5:A6</f>
        <v>2</v>
      </c>
      <c r="Q5" s="407" t="str">
        <f>'سرمايه‌‌گذاري طرح'!B5:B6</f>
        <v>محوطه سازي</v>
      </c>
      <c r="R5" s="464">
        <f>IF('آنالیز حساسیت'!$C$4=0,'سرمايه‌‌گذاري طرح'!D5,'سرمايه‌‌گذاري طرح'!D5*(1+'آنالیز حساسیت'!$C$4))</f>
        <v>0</v>
      </c>
      <c r="S5" s="464">
        <f>IF('آنالیز حساسیت'!$C$4=0,'سرمايه‌‌گذاري طرح'!E5,'سرمايه‌‌گذاري طرح'!E5*(1+'آنالیز حساسیت'!$C$4))</f>
        <v>0</v>
      </c>
      <c r="T5" s="465">
        <f t="shared" ref="T5:T12" si="11">S5+R5</f>
        <v>0</v>
      </c>
      <c r="U5" s="407"/>
      <c r="V5" s="407"/>
      <c r="W5" s="407">
        <f>'سرمايه در گردش'!A5</f>
        <v>3</v>
      </c>
      <c r="X5" s="407" t="str">
        <f>'سرمايه در گردش'!B5</f>
        <v xml:space="preserve">موجودی کالای ساخته شده </v>
      </c>
      <c r="Y5" s="407">
        <f>'سرمايه در گردش'!C5</f>
        <v>1</v>
      </c>
      <c r="Z5" s="407">
        <f>'سرمايه در گردش'!D5</f>
        <v>0</v>
      </c>
      <c r="AA5" s="407">
        <f>'سرمايه در گردش'!E5</f>
        <v>2470799.375</v>
      </c>
      <c r="AB5" s="407">
        <f t="shared" si="0"/>
        <v>2470799.375</v>
      </c>
      <c r="AC5" s="407"/>
      <c r="AD5" s="407"/>
      <c r="AE5" s="407"/>
      <c r="AF5" s="407"/>
      <c r="AG5" s="407"/>
      <c r="AH5" s="407"/>
      <c r="AI5" s="407"/>
      <c r="AJ5" s="407"/>
      <c r="AK5" s="407"/>
      <c r="AL5" s="455">
        <f>'تعميرات و نگهداري '!A5:A6</f>
        <v>2</v>
      </c>
      <c r="AM5" s="407" t="str">
        <f>'تعميرات و نگهداري '!B5:B6</f>
        <v>ساختمان توليدي و اداري</v>
      </c>
      <c r="AN5" s="464">
        <f t="shared" ref="AN5:AN11" si="12">R6</f>
        <v>57000000</v>
      </c>
      <c r="AO5" s="464">
        <f t="shared" ref="AO5:AO11" si="13">S6</f>
        <v>25000000</v>
      </c>
      <c r="AP5" s="462">
        <f>'تعميرات و نگهداري '!E5:E6</f>
        <v>0.02</v>
      </c>
      <c r="AQ5" s="407">
        <f t="shared" ref="AQ5:AQ11" si="14">AP5*AN5</f>
        <v>1140000</v>
      </c>
      <c r="AR5" s="407">
        <f t="shared" ref="AR5:AR11" si="15">AP5*AO5</f>
        <v>500000</v>
      </c>
      <c r="AS5" s="451">
        <f t="shared" ref="AS5:AS11" si="16">AR5+AQ5</f>
        <v>1640000</v>
      </c>
      <c r="AT5" s="407"/>
      <c r="AU5" s="407"/>
      <c r="AV5" s="407"/>
      <c r="AW5" s="407" t="str">
        <f>استهلاك!B6</f>
        <v>ساختمان توليدي و اداري</v>
      </c>
      <c r="AX5" s="464">
        <f>'ex1'!C6</f>
        <v>57000000</v>
      </c>
      <c r="AY5" s="464">
        <f>'ex1'!D6</f>
        <v>25000000</v>
      </c>
      <c r="AZ5" s="562">
        <f>'ex1'!E6</f>
        <v>14.285714285714285</v>
      </c>
      <c r="BA5" s="462">
        <f>'ex1'!F6</f>
        <v>7.0000000000000007E-2</v>
      </c>
      <c r="BB5" s="464">
        <f>'ex1'!G6</f>
        <v>3990000.0000000005</v>
      </c>
      <c r="BC5" s="464">
        <f>'ex1'!H6</f>
        <v>1750000.0000000002</v>
      </c>
      <c r="BD5" s="464">
        <f>'ex1'!I6</f>
        <v>5740000.0000000009</v>
      </c>
      <c r="BE5" s="462">
        <f>'ex1'!J6</f>
        <v>0.1</v>
      </c>
      <c r="BF5" s="464">
        <f>'ex1'!K6</f>
        <v>574000.00000000012</v>
      </c>
      <c r="BG5" s="464">
        <f>'ex1'!L6</f>
        <v>5166000.0000000009</v>
      </c>
      <c r="BH5" s="407"/>
      <c r="BI5" s="407"/>
      <c r="BJ5" s="407"/>
      <c r="BK5" s="407"/>
      <c r="BL5" s="407">
        <f>'هزينه هاي توليد'!A4</f>
        <v>2</v>
      </c>
      <c r="BM5" s="407" t="str">
        <f>'هزينه هاي توليد'!B4</f>
        <v>حقوق و دستمزد پرسنل مستقيم توليد</v>
      </c>
      <c r="BN5" s="407"/>
      <c r="BO5" s="464">
        <f>IF('آنالیز حساسیت'!$A$4=0,'هزينه هاي توليد'!D4,'هزينه هاي توليد'!D4*(1+'آنالیز حساسیت'!$A$4))</f>
        <v>5028000</v>
      </c>
      <c r="BP5" s="464">
        <f>BO5*$L$4</f>
        <v>5028000</v>
      </c>
      <c r="BQ5" s="407"/>
      <c r="BR5" s="407"/>
      <c r="BS5" s="407"/>
      <c r="BT5" s="455">
        <f>'هزينه هاي ثابت و متغير'!A5:A6</f>
        <v>2</v>
      </c>
      <c r="BU5" s="407" t="str">
        <f>'هزينه هاي ثابت و متغير'!B5:B6</f>
        <v>حقوق و دستمزد پرسنل مستقيم توليد</v>
      </c>
      <c r="BV5" s="462">
        <f>'هزينه هاي ثابت و متغير'!C5:C6</f>
        <v>0.7</v>
      </c>
      <c r="BW5" s="407">
        <f t="shared" ref="BW5:BW17" si="17">BZ5*BV5</f>
        <v>3519600</v>
      </c>
      <c r="BX5" s="462">
        <f>'هزينه هاي ثابت و متغير'!E5:E6</f>
        <v>0.30000000000000004</v>
      </c>
      <c r="BY5" s="407">
        <f t="shared" ref="BY5:BY17" si="18">BZ5*BX5</f>
        <v>1508400.0000000002</v>
      </c>
      <c r="BZ5" s="451">
        <f t="shared" ref="BZ5:BZ10" si="19">BP5</f>
        <v>5028000</v>
      </c>
      <c r="CA5" s="455">
        <f>'هزينه هاي ثابت و متغير'!H5:H6</f>
        <v>2</v>
      </c>
      <c r="CB5" s="407" t="str">
        <f>'هزينه هاي ثابت و متغير'!I5:I6</f>
        <v>حقوق و دستمزد پرسنل مستقيم توليد</v>
      </c>
      <c r="CC5" s="407">
        <f>$BZ$5*$BV$5*B3/12</f>
        <v>3519600</v>
      </c>
      <c r="CD5" s="407">
        <f t="shared" ref="CD5:CM5" si="20">$BZ$5*$BV$5*C3/12</f>
        <v>3519600</v>
      </c>
      <c r="CE5" s="407">
        <f t="shared" si="20"/>
        <v>3519600</v>
      </c>
      <c r="CF5" s="407">
        <f t="shared" si="20"/>
        <v>3519600</v>
      </c>
      <c r="CG5" s="407">
        <f t="shared" si="20"/>
        <v>3519600</v>
      </c>
      <c r="CH5" s="407">
        <f t="shared" si="20"/>
        <v>3519600</v>
      </c>
      <c r="CI5" s="407">
        <f t="shared" si="20"/>
        <v>3519600</v>
      </c>
      <c r="CJ5" s="407">
        <f t="shared" si="20"/>
        <v>3519600</v>
      </c>
      <c r="CK5" s="407">
        <f t="shared" si="20"/>
        <v>3519600</v>
      </c>
      <c r="CL5" s="407">
        <f t="shared" si="20"/>
        <v>3519600</v>
      </c>
      <c r="CM5" s="407">
        <f t="shared" si="20"/>
        <v>3519600</v>
      </c>
      <c r="CN5" s="455">
        <f>'هزينه هاي ثابت و متغير'!U5:U6</f>
        <v>2</v>
      </c>
      <c r="CO5" s="407" t="str">
        <f>'هزينه هاي ثابت و متغير'!V5:V6</f>
        <v>حقوق و دستمزد پرسنل مستقيم توليد</v>
      </c>
      <c r="CP5" s="407">
        <f>$BZ$5*$BX$5*B5</f>
        <v>1508400.0000000002</v>
      </c>
      <c r="CQ5" s="407">
        <f t="shared" ref="CQ5:CZ5" si="21">$BZ$5*$BX$5*C5</f>
        <v>1508400.0000000002</v>
      </c>
      <c r="CR5" s="407">
        <f t="shared" si="21"/>
        <v>1508400.0000000002</v>
      </c>
      <c r="CS5" s="407">
        <f t="shared" si="21"/>
        <v>1508400.0000000002</v>
      </c>
      <c r="CT5" s="407">
        <f t="shared" si="21"/>
        <v>1508400.0000000002</v>
      </c>
      <c r="CU5" s="407">
        <f t="shared" si="21"/>
        <v>1508400.0000000002</v>
      </c>
      <c r="CV5" s="407">
        <f t="shared" si="21"/>
        <v>1508400.0000000002</v>
      </c>
      <c r="CW5" s="407">
        <f t="shared" si="21"/>
        <v>1508400.0000000002</v>
      </c>
      <c r="CX5" s="407">
        <f t="shared" si="21"/>
        <v>1508400.0000000002</v>
      </c>
      <c r="CY5" s="407">
        <f t="shared" si="21"/>
        <v>1508400.0000000002</v>
      </c>
      <c r="CZ5" s="407">
        <f t="shared" si="21"/>
        <v>1508400.0000000002</v>
      </c>
      <c r="DA5" s="407"/>
      <c r="DC5" s="442">
        <f>'هزينه هاي ثابت و متغير'!AH5:AH6</f>
        <v>2</v>
      </c>
      <c r="DD5" s="359" t="str">
        <f>'هزينه هاي ثابت و متغير'!AI5:AI6</f>
        <v>حقوق و دستمزد پرسنل مستقيم توليد</v>
      </c>
      <c r="DE5" s="438">
        <f t="shared" ref="DE5:DE17" si="22">CP5+CC5</f>
        <v>5028000</v>
      </c>
      <c r="DF5" s="438">
        <f t="shared" ref="DF5:DF17" si="23">CQ5+CD5</f>
        <v>5028000</v>
      </c>
      <c r="DG5" s="438">
        <f t="shared" ref="DG5:DG17" si="24">CR5+CE5</f>
        <v>5028000</v>
      </c>
      <c r="DH5" s="438">
        <f t="shared" ref="DH5:DH17" si="25">CS5+CF5</f>
        <v>5028000</v>
      </c>
      <c r="DI5" s="438">
        <f t="shared" ref="DI5:DI17" si="26">CT5+CG5</f>
        <v>5028000</v>
      </c>
      <c r="DJ5" s="438">
        <f t="shared" ref="DJ5:DJ17" si="27">CU5+CH5</f>
        <v>5028000</v>
      </c>
      <c r="DK5" s="438">
        <f t="shared" ref="DK5:DK17" si="28">CV5+CI5</f>
        <v>5028000</v>
      </c>
      <c r="DL5" s="438">
        <f t="shared" ref="DL5:DL17" si="29">CW5+CJ5</f>
        <v>5028000</v>
      </c>
      <c r="DM5" s="438">
        <f t="shared" ref="DM5:DM17" si="30">CX5+CK5</f>
        <v>5028000</v>
      </c>
      <c r="DN5" s="438">
        <f t="shared" ref="DN5:DN17" si="31">CY5+CL5</f>
        <v>5028000</v>
      </c>
      <c r="DO5" s="438">
        <f t="shared" ref="DO5:DO17" si="32">CZ5+CM5</f>
        <v>5028000</v>
      </c>
      <c r="DT5" s="367">
        <f>'پيش بيني عملكرد سود و زيان'!A6</f>
        <v>2</v>
      </c>
      <c r="DU5" s="368" t="str">
        <f>'پيش بيني عملكرد سود و زيان'!B6</f>
        <v xml:space="preserve">مواد اوليه </v>
      </c>
      <c r="DV5" s="368">
        <f t="shared" ref="DV5:DV12" si="33">DE4</f>
        <v>0</v>
      </c>
      <c r="DW5" s="368">
        <f t="shared" ref="DW5:EF9" si="34">DF4</f>
        <v>0</v>
      </c>
      <c r="DX5" s="368">
        <f t="shared" si="34"/>
        <v>0</v>
      </c>
      <c r="DY5" s="368">
        <f t="shared" si="34"/>
        <v>0</v>
      </c>
      <c r="DZ5" s="368">
        <f t="shared" si="34"/>
        <v>0</v>
      </c>
      <c r="EA5" s="368">
        <f t="shared" si="34"/>
        <v>0</v>
      </c>
      <c r="EB5" s="368">
        <f t="shared" si="34"/>
        <v>0</v>
      </c>
      <c r="EC5" s="368">
        <f t="shared" si="34"/>
        <v>0</v>
      </c>
      <c r="ED5" s="368">
        <f t="shared" si="34"/>
        <v>0</v>
      </c>
      <c r="EE5" s="368">
        <f t="shared" si="34"/>
        <v>0</v>
      </c>
      <c r="EF5" s="368">
        <f t="shared" si="34"/>
        <v>0</v>
      </c>
      <c r="EG5" s="359"/>
      <c r="EH5" s="359"/>
      <c r="EI5" s="430">
        <f>'ترازنامه ایجادی'!A4</f>
        <v>0</v>
      </c>
      <c r="EJ5" s="374">
        <f>'ترازنامه ایجادی'!B4</f>
        <v>0</v>
      </c>
      <c r="EK5" s="374">
        <f>'ترازنامه ایجادی'!C4</f>
        <v>0</v>
      </c>
      <c r="EL5" s="374">
        <f>'ترازنامه ایجادی'!D4</f>
        <v>0</v>
      </c>
      <c r="EM5" s="374">
        <f>'ترازنامه ایجادی'!E4</f>
        <v>0</v>
      </c>
      <c r="EN5" s="374">
        <f>'ترازنامه ایجادی'!F4</f>
        <v>0</v>
      </c>
      <c r="EO5" s="374">
        <f>'ترازنامه ایجادی'!G4</f>
        <v>0</v>
      </c>
      <c r="EP5" s="374">
        <f>'ترازنامه ایجادی'!H4</f>
        <v>0</v>
      </c>
      <c r="EQ5" s="374">
        <f>'ترازنامه ایجادی'!I4</f>
        <v>0</v>
      </c>
      <c r="ER5" s="374">
        <f>'ترازنامه ایجادی'!J4</f>
        <v>0</v>
      </c>
      <c r="ES5" s="374">
        <f>'ترازنامه ایجادی'!K4</f>
        <v>0</v>
      </c>
      <c r="ET5" s="374">
        <f>'ترازنامه ایجادی'!L4</f>
        <v>0</v>
      </c>
      <c r="EU5" s="431">
        <f>'ترازنامه ایجادی'!M4</f>
        <v>0</v>
      </c>
      <c r="EV5" s="359"/>
      <c r="EW5" s="359"/>
      <c r="EY5" s="457" t="str">
        <f>'جریان نقدینگی'!A5</f>
        <v>کل آورده متقاضی</v>
      </c>
      <c r="EZ5" s="376">
        <f>EZ13-EZ6</f>
        <v>1470846409.0019569</v>
      </c>
      <c r="FA5" s="376">
        <f>FA14-FA7</f>
        <v>1125536.4020248335</v>
      </c>
      <c r="FB5" s="376">
        <f>'جریان نقدینگی'!D5</f>
        <v>0</v>
      </c>
      <c r="FC5" s="376">
        <f>'جریان نقدینگی'!E5</f>
        <v>0</v>
      </c>
      <c r="FD5" s="376">
        <f>'جریان نقدینگی'!F5</f>
        <v>0</v>
      </c>
      <c r="FE5" s="376">
        <f>'جریان نقدینگی'!G5</f>
        <v>0</v>
      </c>
      <c r="FF5" s="376">
        <f>'جریان نقدینگی'!H5</f>
        <v>0</v>
      </c>
      <c r="FG5" s="376">
        <f>'جریان نقدینگی'!I5</f>
        <v>0</v>
      </c>
      <c r="FH5" s="376">
        <f>'جریان نقدینگی'!J5</f>
        <v>0</v>
      </c>
      <c r="FI5" s="376">
        <f>'جریان نقدینگی'!K5</f>
        <v>0</v>
      </c>
      <c r="FJ5" s="376">
        <f>'جریان نقدینگی'!L5</f>
        <v>0</v>
      </c>
      <c r="FK5" s="376">
        <f>'جریان نقدینگی'!M5</f>
        <v>0</v>
      </c>
      <c r="FL5" s="381">
        <f>'جریان نقدینگی'!N5</f>
        <v>0</v>
      </c>
      <c r="FM5" s="359"/>
      <c r="FN5" s="359"/>
      <c r="FO5" s="359"/>
      <c r="FP5" s="380" t="str">
        <f>'جریان نقدینگی تنزیل شده1'!A5</f>
        <v>افزایش در دارائی های جاری</v>
      </c>
      <c r="FQ5" s="376">
        <f>'جریان نقدینگی تنزیل شده1'!B5</f>
        <v>0</v>
      </c>
      <c r="FR5" s="376">
        <f>Y21</f>
        <v>2470799.375</v>
      </c>
      <c r="FS5" s="376">
        <f t="shared" ref="FS5:GB5" si="35">Z21</f>
        <v>0</v>
      </c>
      <c r="FT5" s="376">
        <f t="shared" si="35"/>
        <v>0</v>
      </c>
      <c r="FU5" s="376">
        <f t="shared" si="35"/>
        <v>0</v>
      </c>
      <c r="FV5" s="376">
        <f t="shared" si="35"/>
        <v>0</v>
      </c>
      <c r="FW5" s="376">
        <f t="shared" si="35"/>
        <v>0</v>
      </c>
      <c r="FX5" s="376">
        <f t="shared" si="35"/>
        <v>0</v>
      </c>
      <c r="FY5" s="376">
        <f t="shared" si="35"/>
        <v>0</v>
      </c>
      <c r="FZ5" s="376">
        <f t="shared" si="35"/>
        <v>0</v>
      </c>
      <c r="GA5" s="376">
        <f t="shared" si="35"/>
        <v>0</v>
      </c>
      <c r="GB5" s="376">
        <f t="shared" si="35"/>
        <v>0</v>
      </c>
      <c r="GF5" s="395" t="str">
        <f>'جریان نقدینگی تنزیل شده2'!A5</f>
        <v xml:space="preserve">جمع </v>
      </c>
      <c r="GG5" s="458">
        <f>SUM(GG4:GR4)</f>
        <v>1476747244.7889817</v>
      </c>
      <c r="GH5" s="375">
        <f>'جریان نقدینگی تنزیل شده2'!C5</f>
        <v>5900835.7870248342</v>
      </c>
      <c r="GI5" s="375">
        <f>'جریان نقدینگی تنزیل شده2'!D5</f>
        <v>0</v>
      </c>
      <c r="GJ5" s="375">
        <f>'جریان نقدینگی تنزیل شده2'!E5</f>
        <v>0</v>
      </c>
      <c r="GK5" s="375">
        <f>'جریان نقدینگی تنزیل شده2'!F5</f>
        <v>0</v>
      </c>
      <c r="GL5" s="375">
        <f>'جریان نقدینگی تنزیل شده2'!G5</f>
        <v>0</v>
      </c>
      <c r="GM5" s="375">
        <f>'جریان نقدینگی تنزیل شده2'!H5</f>
        <v>0</v>
      </c>
      <c r="GN5" s="375">
        <f>'جریان نقدینگی تنزیل شده2'!I5</f>
        <v>0</v>
      </c>
      <c r="GO5" s="375">
        <f>'جریان نقدینگی تنزیل شده2'!J5</f>
        <v>0</v>
      </c>
      <c r="GP5" s="375">
        <f>'جریان نقدینگی تنزیل شده2'!K5</f>
        <v>0</v>
      </c>
      <c r="GQ5" s="375">
        <f>'جریان نقدینگی تنزیل شده2'!L5</f>
        <v>0</v>
      </c>
      <c r="GR5" s="391">
        <f>'جریان نقدینگی تنزیل شده2'!M5</f>
        <v>0</v>
      </c>
      <c r="GS5" s="373"/>
      <c r="GT5" s="373"/>
      <c r="GU5" s="373"/>
      <c r="GV5" s="373"/>
    </row>
    <row r="6" spans="1:204">
      <c r="A6" s="455" t="str">
        <f>'برآورد فروش'!A6</f>
        <v>ميزان توليدات</v>
      </c>
      <c r="B6" s="407">
        <f t="shared" ref="B6:L6" si="36">SUM(B7:B17)</f>
        <v>0</v>
      </c>
      <c r="C6" s="407">
        <f t="shared" si="36"/>
        <v>0</v>
      </c>
      <c r="D6" s="407">
        <f t="shared" si="36"/>
        <v>0</v>
      </c>
      <c r="E6" s="407">
        <f t="shared" si="36"/>
        <v>0</v>
      </c>
      <c r="F6" s="407">
        <f t="shared" si="36"/>
        <v>0</v>
      </c>
      <c r="G6" s="407">
        <f t="shared" si="36"/>
        <v>0</v>
      </c>
      <c r="H6" s="407">
        <f t="shared" si="36"/>
        <v>0</v>
      </c>
      <c r="I6" s="407">
        <f t="shared" si="36"/>
        <v>0</v>
      </c>
      <c r="J6" s="407">
        <f t="shared" si="36"/>
        <v>0</v>
      </c>
      <c r="K6" s="407">
        <f t="shared" si="36"/>
        <v>0</v>
      </c>
      <c r="L6" s="407">
        <f t="shared" si="36"/>
        <v>0</v>
      </c>
      <c r="M6" s="451">
        <f>SUM(M7:M17)</f>
        <v>0</v>
      </c>
      <c r="N6" s="407"/>
      <c r="O6" s="407"/>
      <c r="P6" s="455">
        <f>'سرمايه‌‌گذاري طرح'!A6:A7</f>
        <v>3</v>
      </c>
      <c r="Q6" s="407" t="str">
        <f>'سرمايه‌‌گذاري طرح'!B6:B7</f>
        <v>ساختمان توليدي و اداري</v>
      </c>
      <c r="R6" s="464">
        <f>IF('آنالیز حساسیت'!$C$4=0,'سرمايه‌‌گذاري طرح'!D6,'سرمايه‌‌گذاري طرح'!D6*(1+'آنالیز حساسیت'!$C$4))</f>
        <v>57000000</v>
      </c>
      <c r="S6" s="464">
        <f>IF('آنالیز حساسیت'!$C$4=0,'سرمايه‌‌گذاري طرح'!E6,'سرمايه‌‌گذاري طرح'!E6*(1+'آنالیز حساسیت'!$C$4))</f>
        <v>25000000</v>
      </c>
      <c r="T6" s="465">
        <f t="shared" si="11"/>
        <v>82000000</v>
      </c>
      <c r="U6" s="407"/>
      <c r="V6" s="407"/>
      <c r="W6" s="407">
        <f>'سرمايه در گردش'!A6</f>
        <v>4</v>
      </c>
      <c r="X6" s="407" t="str">
        <f>'سرمايه در گردش'!B6</f>
        <v>مطالبات</v>
      </c>
      <c r="Y6" s="407">
        <f>'سرمايه در گردش'!C6</f>
        <v>1</v>
      </c>
      <c r="Z6" s="407">
        <f>'سرمايه در گردش'!D6</f>
        <v>0</v>
      </c>
      <c r="AA6" s="407">
        <f>A37/12*Y6</f>
        <v>1</v>
      </c>
      <c r="AB6" s="407">
        <f t="shared" si="0"/>
        <v>1</v>
      </c>
      <c r="AC6" s="407"/>
      <c r="AD6" s="407"/>
      <c r="AE6" s="407"/>
      <c r="AF6" s="407"/>
      <c r="AG6" s="407"/>
      <c r="AH6" s="407"/>
      <c r="AI6" s="407"/>
      <c r="AJ6" s="407"/>
      <c r="AK6" s="407"/>
      <c r="AL6" s="455">
        <f>'تعميرات و نگهداري '!A6:A7</f>
        <v>3</v>
      </c>
      <c r="AM6" s="407" t="str">
        <f>'تعميرات و نگهداري '!B6:B7</f>
        <v>تاسيسات و تجهيزات عمومي</v>
      </c>
      <c r="AN6" s="464">
        <f t="shared" si="12"/>
        <v>0</v>
      </c>
      <c r="AO6" s="464">
        <f t="shared" si="13"/>
        <v>0</v>
      </c>
      <c r="AP6" s="462">
        <f>'تعميرات و نگهداري '!E6:E7</f>
        <v>0.05</v>
      </c>
      <c r="AQ6" s="407">
        <f t="shared" si="14"/>
        <v>0</v>
      </c>
      <c r="AR6" s="407">
        <f t="shared" si="15"/>
        <v>0</v>
      </c>
      <c r="AS6" s="451">
        <f t="shared" si="16"/>
        <v>0</v>
      </c>
      <c r="AT6" s="407"/>
      <c r="AU6" s="407"/>
      <c r="AV6" s="407"/>
      <c r="AW6" s="407" t="str">
        <f>استهلاك!B7</f>
        <v>تاسيسات و تجهيزات عمومي</v>
      </c>
      <c r="AX6" s="464">
        <f>'ex1'!C7</f>
        <v>0</v>
      </c>
      <c r="AY6" s="464">
        <f>'ex1'!D7</f>
        <v>0</v>
      </c>
      <c r="AZ6" s="562">
        <f>'ex1'!E7</f>
        <v>10</v>
      </c>
      <c r="BA6" s="462">
        <f>'ex1'!F7</f>
        <v>0.1</v>
      </c>
      <c r="BB6" s="464">
        <f>'ex1'!G7</f>
        <v>0</v>
      </c>
      <c r="BC6" s="464">
        <f>'ex1'!H7</f>
        <v>0</v>
      </c>
      <c r="BD6" s="464">
        <f>'ex1'!I7</f>
        <v>0</v>
      </c>
      <c r="BE6" s="462">
        <f>'ex1'!J7</f>
        <v>0.1</v>
      </c>
      <c r="BF6" s="464">
        <f>'ex1'!K7</f>
        <v>0</v>
      </c>
      <c r="BG6" s="464">
        <f>'ex1'!L7</f>
        <v>0</v>
      </c>
      <c r="BH6" s="407"/>
      <c r="BI6" s="407"/>
      <c r="BJ6" s="407"/>
      <c r="BK6" s="407"/>
      <c r="BL6" s="407">
        <f>'هزينه هاي توليد'!A5</f>
        <v>3</v>
      </c>
      <c r="BM6" s="407" t="str">
        <f>'هزينه هاي توليد'!B5</f>
        <v>حقوق و دستمزد پرسنل غير مستقيم توليد</v>
      </c>
      <c r="BN6" s="407"/>
      <c r="BO6" s="464">
        <f>IF('آنالیز حساسیت'!$A$4=0,'هزينه هاي توليد'!D5,'هزينه هاي توليد'!D5*(1+'آنالیز حساسیت'!$A$4))</f>
        <v>15084000</v>
      </c>
      <c r="BP6" s="464">
        <f>BO6*$L$4</f>
        <v>15084000</v>
      </c>
      <c r="BQ6" s="407"/>
      <c r="BR6" s="407"/>
      <c r="BS6" s="407"/>
      <c r="BT6" s="455">
        <f>'هزينه هاي ثابت و متغير'!A6:A7</f>
        <v>3</v>
      </c>
      <c r="BU6" s="407" t="str">
        <f>'هزينه هاي ثابت و متغير'!B6:B7</f>
        <v>حقوق و دستمزد پرسنل غير مستقيم توليد</v>
      </c>
      <c r="BV6" s="462">
        <f>'هزينه هاي ثابت و متغير'!C6:C7</f>
        <v>0.7</v>
      </c>
      <c r="BW6" s="407">
        <f t="shared" si="17"/>
        <v>10558800</v>
      </c>
      <c r="BX6" s="462">
        <f>'هزينه هاي ثابت و متغير'!E6:E7</f>
        <v>0.30000000000000004</v>
      </c>
      <c r="BY6" s="407">
        <f t="shared" si="18"/>
        <v>4525200.0000000009</v>
      </c>
      <c r="BZ6" s="451">
        <f t="shared" si="19"/>
        <v>15084000</v>
      </c>
      <c r="CA6" s="455">
        <f>'هزينه هاي ثابت و متغير'!H6:H7</f>
        <v>3</v>
      </c>
      <c r="CB6" s="407" t="str">
        <f>'هزينه هاي ثابت و متغير'!I6:I7</f>
        <v>حقوق و دستمزد پرسنل غير مستقيم توليد</v>
      </c>
      <c r="CC6" s="407">
        <f>$BZ$6*$BV$6*B3/12</f>
        <v>10558800</v>
      </c>
      <c r="CD6" s="407">
        <f t="shared" ref="CD6:CM6" si="37">$BZ$6*$BV$6*C3/12</f>
        <v>10558800</v>
      </c>
      <c r="CE6" s="407">
        <f t="shared" si="37"/>
        <v>10558800</v>
      </c>
      <c r="CF6" s="407">
        <f t="shared" si="37"/>
        <v>10558800</v>
      </c>
      <c r="CG6" s="407">
        <f t="shared" si="37"/>
        <v>10558800</v>
      </c>
      <c r="CH6" s="407">
        <f t="shared" si="37"/>
        <v>10558800</v>
      </c>
      <c r="CI6" s="407">
        <f t="shared" si="37"/>
        <v>10558800</v>
      </c>
      <c r="CJ6" s="407">
        <f t="shared" si="37"/>
        <v>10558800</v>
      </c>
      <c r="CK6" s="407">
        <f t="shared" si="37"/>
        <v>10558800</v>
      </c>
      <c r="CL6" s="407">
        <f t="shared" si="37"/>
        <v>10558800</v>
      </c>
      <c r="CM6" s="407">
        <f t="shared" si="37"/>
        <v>10558800</v>
      </c>
      <c r="CN6" s="455">
        <f>'هزينه هاي ثابت و متغير'!U6:U7</f>
        <v>3</v>
      </c>
      <c r="CO6" s="407" t="str">
        <f>'هزينه هاي ثابت و متغير'!V6:V7</f>
        <v>حقوق و دستمزد پرسنل غير مستقيم توليد</v>
      </c>
      <c r="CP6" s="407">
        <f>$BZ$6*$BX$6*B5</f>
        <v>4525200.0000000009</v>
      </c>
      <c r="CQ6" s="407">
        <f t="shared" ref="CQ6:CZ6" si="38">$BZ$6*$BX$6*C5</f>
        <v>4525200.0000000009</v>
      </c>
      <c r="CR6" s="407">
        <f t="shared" si="38"/>
        <v>4525200.0000000009</v>
      </c>
      <c r="CS6" s="407">
        <f t="shared" si="38"/>
        <v>4525200.0000000009</v>
      </c>
      <c r="CT6" s="407">
        <f t="shared" si="38"/>
        <v>4525200.0000000009</v>
      </c>
      <c r="CU6" s="407">
        <f t="shared" si="38"/>
        <v>4525200.0000000009</v>
      </c>
      <c r="CV6" s="407">
        <f t="shared" si="38"/>
        <v>4525200.0000000009</v>
      </c>
      <c r="CW6" s="407">
        <f t="shared" si="38"/>
        <v>4525200.0000000009</v>
      </c>
      <c r="CX6" s="407">
        <f t="shared" si="38"/>
        <v>4525200.0000000009</v>
      </c>
      <c r="CY6" s="407">
        <f t="shared" si="38"/>
        <v>4525200.0000000009</v>
      </c>
      <c r="CZ6" s="407">
        <f t="shared" si="38"/>
        <v>4525200.0000000009</v>
      </c>
      <c r="DA6" s="407"/>
      <c r="DC6" s="442">
        <f>'هزينه هاي ثابت و متغير'!AH6:AH7</f>
        <v>3</v>
      </c>
      <c r="DD6" s="359" t="str">
        <f>'هزينه هاي ثابت و متغير'!AI6:AI7</f>
        <v>حقوق و دستمزد پرسنل غير مستقيم توليد</v>
      </c>
      <c r="DE6" s="438">
        <f t="shared" si="22"/>
        <v>15084000</v>
      </c>
      <c r="DF6" s="438">
        <f t="shared" si="23"/>
        <v>15084000</v>
      </c>
      <c r="DG6" s="438">
        <f t="shared" si="24"/>
        <v>15084000</v>
      </c>
      <c r="DH6" s="438">
        <f t="shared" si="25"/>
        <v>15084000</v>
      </c>
      <c r="DI6" s="438">
        <f t="shared" si="26"/>
        <v>15084000</v>
      </c>
      <c r="DJ6" s="438">
        <f t="shared" si="27"/>
        <v>15084000</v>
      </c>
      <c r="DK6" s="438">
        <f t="shared" si="28"/>
        <v>15084000</v>
      </c>
      <c r="DL6" s="438">
        <f t="shared" si="29"/>
        <v>15084000</v>
      </c>
      <c r="DM6" s="438">
        <f t="shared" si="30"/>
        <v>15084000</v>
      </c>
      <c r="DN6" s="438">
        <f t="shared" si="31"/>
        <v>15084000</v>
      </c>
      <c r="DO6" s="438">
        <f t="shared" si="32"/>
        <v>15084000</v>
      </c>
      <c r="DT6" s="363">
        <f>'پيش بيني عملكرد سود و زيان'!A7</f>
        <v>3</v>
      </c>
      <c r="DU6" s="361" t="str">
        <f>'پيش بيني عملكرد سود و زيان'!B7</f>
        <v>حقوق و دستمزد پرسنل مستقيم توليد</v>
      </c>
      <c r="DV6" s="361">
        <f t="shared" si="33"/>
        <v>5028000</v>
      </c>
      <c r="DW6" s="361">
        <f t="shared" si="34"/>
        <v>5028000</v>
      </c>
      <c r="DX6" s="361">
        <f t="shared" si="34"/>
        <v>5028000</v>
      </c>
      <c r="DY6" s="361">
        <f t="shared" si="34"/>
        <v>5028000</v>
      </c>
      <c r="DZ6" s="361">
        <f t="shared" si="34"/>
        <v>5028000</v>
      </c>
      <c r="EA6" s="361">
        <f t="shared" si="34"/>
        <v>5028000</v>
      </c>
      <c r="EB6" s="361">
        <f t="shared" si="34"/>
        <v>5028000</v>
      </c>
      <c r="EC6" s="361">
        <f t="shared" si="34"/>
        <v>5028000</v>
      </c>
      <c r="ED6" s="361">
        <f t="shared" si="34"/>
        <v>5028000</v>
      </c>
      <c r="EE6" s="361">
        <f t="shared" si="34"/>
        <v>5028000</v>
      </c>
      <c r="EF6" s="361">
        <f t="shared" si="34"/>
        <v>5028000</v>
      </c>
      <c r="EG6" s="359"/>
      <c r="EH6" s="359"/>
      <c r="EI6" s="430" t="str">
        <f>'ترازنامه ایجادی'!A5</f>
        <v>مواد اوليه</v>
      </c>
      <c r="EJ6" s="374">
        <f>'ترازنامه ایجادی'!B5</f>
        <v>0</v>
      </c>
      <c r="EK6" s="374">
        <f>Y15</f>
        <v>0</v>
      </c>
      <c r="EL6" s="374">
        <f t="shared" ref="EL6:EU10" si="39">Z15</f>
        <v>0</v>
      </c>
      <c r="EM6" s="374">
        <f t="shared" si="39"/>
        <v>0</v>
      </c>
      <c r="EN6" s="374">
        <f t="shared" si="39"/>
        <v>0</v>
      </c>
      <c r="EO6" s="374">
        <f t="shared" si="39"/>
        <v>0</v>
      </c>
      <c r="EP6" s="374">
        <f t="shared" si="39"/>
        <v>0</v>
      </c>
      <c r="EQ6" s="374">
        <f t="shared" si="39"/>
        <v>0</v>
      </c>
      <c r="ER6" s="374">
        <f t="shared" si="39"/>
        <v>0</v>
      </c>
      <c r="ES6" s="374">
        <f t="shared" si="39"/>
        <v>0</v>
      </c>
      <c r="ET6" s="374">
        <f t="shared" si="39"/>
        <v>0</v>
      </c>
      <c r="EU6" s="374">
        <f t="shared" si="39"/>
        <v>0</v>
      </c>
      <c r="EV6" s="359"/>
      <c r="EW6" s="359"/>
      <c r="EY6" s="457" t="str">
        <f>'جریان نقدینگی'!A6</f>
        <v>کل تسهیلات بلند مدت</v>
      </c>
      <c r="EZ6" s="376">
        <f>'منابع تامين سرمايه گذاري'!E18</f>
        <v>0</v>
      </c>
      <c r="FA6" s="376">
        <f>'جریان نقدینگی'!C6</f>
        <v>0</v>
      </c>
      <c r="FB6" s="376">
        <f>'جریان نقدینگی'!D6</f>
        <v>0</v>
      </c>
      <c r="FC6" s="376">
        <f>'جریان نقدینگی'!E6</f>
        <v>0</v>
      </c>
      <c r="FD6" s="376">
        <f>'جریان نقدینگی'!F6</f>
        <v>0</v>
      </c>
      <c r="FE6" s="376">
        <f>'جریان نقدینگی'!G6</f>
        <v>0</v>
      </c>
      <c r="FF6" s="376">
        <f>'جریان نقدینگی'!H6</f>
        <v>0</v>
      </c>
      <c r="FG6" s="376">
        <f>'جریان نقدینگی'!I6</f>
        <v>0</v>
      </c>
      <c r="FH6" s="376">
        <f>'جریان نقدینگی'!J6</f>
        <v>0</v>
      </c>
      <c r="FI6" s="376">
        <f>'جریان نقدینگی'!K6</f>
        <v>0</v>
      </c>
      <c r="FJ6" s="376">
        <f>'جریان نقدینگی'!L6</f>
        <v>0</v>
      </c>
      <c r="FK6" s="376">
        <f>'جریان نقدینگی'!M6</f>
        <v>0</v>
      </c>
      <c r="FL6" s="381">
        <f>'جریان نقدینگی'!N6</f>
        <v>0</v>
      </c>
      <c r="FM6" s="359"/>
      <c r="FN6" s="359"/>
      <c r="FO6" s="359"/>
      <c r="FP6" s="380" t="str">
        <f>'جریان نقدینگی تنزیل شده1'!A6</f>
        <v>جمع مصارف</v>
      </c>
      <c r="FQ6" s="376">
        <f>SUM(FQ4:FQ5)</f>
        <v>1470846409.0019569</v>
      </c>
      <c r="FR6" s="376">
        <f>SUM(FR4:FR5)</f>
        <v>2470799.375</v>
      </c>
      <c r="FS6" s="376">
        <f t="shared" ref="FS6:GB6" si="40">SUM(FS4:FS5)</f>
        <v>0</v>
      </c>
      <c r="FT6" s="376">
        <f t="shared" si="40"/>
        <v>0</v>
      </c>
      <c r="FU6" s="376">
        <f t="shared" si="40"/>
        <v>0</v>
      </c>
      <c r="FV6" s="376">
        <f t="shared" si="40"/>
        <v>0</v>
      </c>
      <c r="FW6" s="376">
        <f t="shared" si="40"/>
        <v>0</v>
      </c>
      <c r="FX6" s="376">
        <f t="shared" si="40"/>
        <v>0</v>
      </c>
      <c r="FY6" s="376">
        <f t="shared" si="40"/>
        <v>0</v>
      </c>
      <c r="FZ6" s="376">
        <f t="shared" si="40"/>
        <v>0</v>
      </c>
      <c r="GA6" s="376">
        <f t="shared" si="40"/>
        <v>0</v>
      </c>
      <c r="GB6" s="381">
        <f t="shared" si="40"/>
        <v>0</v>
      </c>
      <c r="GF6" s="395" t="str">
        <f>'جریان نقدینگی تنزیل شده2'!A6</f>
        <v>مازاد (کمبود) نقدینگی</v>
      </c>
      <c r="GG6" s="458">
        <f>GG3-GG5</f>
        <v>-1476747244.7889817</v>
      </c>
      <c r="GH6" s="458">
        <f t="shared" ref="GH6:GR6" si="41">GH3-GH5</f>
        <v>-64549691.259999998</v>
      </c>
      <c r="GI6" s="458">
        <f t="shared" si="41"/>
        <v>-57303592.5</v>
      </c>
      <c r="GJ6" s="458">
        <f t="shared" si="41"/>
        <v>-57303592.5</v>
      </c>
      <c r="GK6" s="458">
        <f t="shared" si="41"/>
        <v>-57303592.5</v>
      </c>
      <c r="GL6" s="458">
        <f t="shared" si="41"/>
        <v>-57303592.5</v>
      </c>
      <c r="GM6" s="458">
        <f t="shared" si="41"/>
        <v>-57303592.5</v>
      </c>
      <c r="GN6" s="458">
        <f t="shared" si="41"/>
        <v>-57303592.5</v>
      </c>
      <c r="GO6" s="458">
        <f t="shared" si="41"/>
        <v>-57303592.5</v>
      </c>
      <c r="GP6" s="458">
        <f t="shared" si="41"/>
        <v>-57303592.5</v>
      </c>
      <c r="GQ6" s="458">
        <f t="shared" si="41"/>
        <v>-57303592.5</v>
      </c>
      <c r="GR6" s="459">
        <f t="shared" si="41"/>
        <v>-57303592.5</v>
      </c>
      <c r="GS6" s="373"/>
      <c r="GT6" s="373"/>
      <c r="GU6" s="373"/>
      <c r="GV6" s="373"/>
    </row>
    <row r="7" spans="1:204">
      <c r="A7" s="455" t="str">
        <f>'برآورد فروش'!A7</f>
        <v>واردات</v>
      </c>
      <c r="B7" s="407">
        <f>$B$4*M7</f>
        <v>0</v>
      </c>
      <c r="C7" s="407">
        <f>$C$4*M7</f>
        <v>0</v>
      </c>
      <c r="D7" s="407">
        <f>$D$4*M7</f>
        <v>0</v>
      </c>
      <c r="E7" s="407">
        <f>$E$4*M7</f>
        <v>0</v>
      </c>
      <c r="F7" s="407">
        <f>$F$4*M7</f>
        <v>0</v>
      </c>
      <c r="G7" s="407">
        <f>$G$4*M7</f>
        <v>0</v>
      </c>
      <c r="H7" s="407">
        <f>$H$4*M7</f>
        <v>0</v>
      </c>
      <c r="I7" s="407">
        <f>$I$4*M7</f>
        <v>0</v>
      </c>
      <c r="J7" s="407">
        <f>$J$4*M7</f>
        <v>0</v>
      </c>
      <c r="K7" s="407">
        <f>$K$4*M7</f>
        <v>0</v>
      </c>
      <c r="L7" s="407">
        <f>$L$4*M7</f>
        <v>0</v>
      </c>
      <c r="M7" s="465">
        <f>'برآورد فروش'!M7</f>
        <v>0</v>
      </c>
      <c r="N7" s="407"/>
      <c r="O7" s="407"/>
      <c r="P7" s="455">
        <f>'سرمايه‌‌گذاري طرح'!A7:A8</f>
        <v>4</v>
      </c>
      <c r="Q7" s="407" t="str">
        <f>'سرمايه‌‌گذاري طرح'!B7:B8</f>
        <v>تاسيسات و تجهيزات عمومي</v>
      </c>
      <c r="R7" s="464">
        <f>IF('آنالیز حساسیت'!$C$4=0,'سرمايه‌‌گذاري طرح'!D7,'سرمايه‌‌گذاري طرح'!D7*(1+'آنالیز حساسیت'!$C$4))</f>
        <v>0</v>
      </c>
      <c r="S7" s="464">
        <f>IF('آنالیز حساسیت'!$C$4=0,'سرمايه‌‌گذاري طرح'!E7,'سرمايه‌‌گذاري طرح'!E7*(1+'آنالیز حساسیت'!$C$4))</f>
        <v>0</v>
      </c>
      <c r="T7" s="465">
        <f t="shared" si="11"/>
        <v>0</v>
      </c>
      <c r="U7" s="407"/>
      <c r="V7" s="407"/>
      <c r="W7" s="407">
        <f>'سرمايه در گردش'!A7</f>
        <v>5</v>
      </c>
      <c r="X7" s="407" t="str">
        <f>'سرمايه در گردش'!B7</f>
        <v>تنخواه گردان</v>
      </c>
      <c r="Y7" s="407">
        <f>'سرمايه در گردش'!C7</f>
        <v>0</v>
      </c>
      <c r="Z7" s="407">
        <f>'سرمايه در گردش'!D7</f>
        <v>0</v>
      </c>
      <c r="AA7" s="407">
        <f>(EB8+EB9)/12*Y7</f>
        <v>0</v>
      </c>
      <c r="AB7" s="407">
        <f t="shared" si="0"/>
        <v>0</v>
      </c>
      <c r="AC7" s="407"/>
      <c r="AD7" s="407"/>
      <c r="AE7" s="407"/>
      <c r="AF7" s="407"/>
      <c r="AG7" s="407"/>
      <c r="AH7" s="407"/>
      <c r="AI7" s="407"/>
      <c r="AJ7" s="407"/>
      <c r="AK7" s="407"/>
      <c r="AL7" s="455">
        <f>'تعميرات و نگهداري '!A7:A8</f>
        <v>4</v>
      </c>
      <c r="AM7" s="407" t="str">
        <f>'تعميرات و نگهداري '!B7:B8</f>
        <v xml:space="preserve">ماشين آلات و تجهيزات </v>
      </c>
      <c r="AN7" s="464">
        <f t="shared" si="12"/>
        <v>0</v>
      </c>
      <c r="AO7" s="464">
        <f t="shared" si="13"/>
        <v>0</v>
      </c>
      <c r="AP7" s="462">
        <f>'تعميرات و نگهداري '!E7:E8</f>
        <v>0.05</v>
      </c>
      <c r="AQ7" s="407">
        <f t="shared" si="14"/>
        <v>0</v>
      </c>
      <c r="AR7" s="407">
        <f t="shared" si="15"/>
        <v>0</v>
      </c>
      <c r="AS7" s="451">
        <f t="shared" si="16"/>
        <v>0</v>
      </c>
      <c r="AT7" s="407"/>
      <c r="AU7" s="407"/>
      <c r="AV7" s="407"/>
      <c r="AW7" s="407" t="str">
        <f>استهلاك!B8</f>
        <v xml:space="preserve">ماشين آلات و تجهيزات </v>
      </c>
      <c r="AX7" s="464">
        <f>'ex1'!C8</f>
        <v>0</v>
      </c>
      <c r="AY7" s="464">
        <f>'ex1'!D8</f>
        <v>0</v>
      </c>
      <c r="AZ7" s="562">
        <f>'ex1'!E8</f>
        <v>10</v>
      </c>
      <c r="BA7" s="462">
        <f>'ex1'!F8</f>
        <v>0.1</v>
      </c>
      <c r="BB7" s="464">
        <f>'ex1'!G8</f>
        <v>0</v>
      </c>
      <c r="BC7" s="464">
        <f>'ex1'!H8</f>
        <v>0</v>
      </c>
      <c r="BD7" s="464">
        <f>'ex1'!I8</f>
        <v>0</v>
      </c>
      <c r="BE7" s="462">
        <f>'ex1'!J8</f>
        <v>0.1</v>
      </c>
      <c r="BF7" s="464">
        <f>'ex1'!K8</f>
        <v>0</v>
      </c>
      <c r="BG7" s="464">
        <f>'ex1'!L8</f>
        <v>0</v>
      </c>
      <c r="BH7" s="407"/>
      <c r="BI7" s="407"/>
      <c r="BJ7" s="407"/>
      <c r="BK7" s="407"/>
      <c r="BL7" s="407">
        <f>'هزينه هاي توليد'!A6</f>
        <v>4</v>
      </c>
      <c r="BM7" s="407" t="str">
        <f>'هزينه هاي توليد'!B6</f>
        <v>تاسيسات مصرفي</v>
      </c>
      <c r="BN7" s="407"/>
      <c r="BO7" s="464">
        <f>IF('آنالیز حساسیت'!$A$4=0,'هزينه هاي توليد'!D6,'هزينه هاي توليد'!D6*(1+'آنالیز حساسیت'!$A$4))</f>
        <v>0</v>
      </c>
      <c r="BP7" s="464">
        <f>BO7*$L$4</f>
        <v>0</v>
      </c>
      <c r="BQ7" s="407"/>
      <c r="BR7" s="407"/>
      <c r="BS7" s="407"/>
      <c r="BT7" s="455">
        <f>'هزينه هاي ثابت و متغير'!A7:A8</f>
        <v>4</v>
      </c>
      <c r="BU7" s="407" t="str">
        <f>'هزينه هاي ثابت و متغير'!B7:B8</f>
        <v>تاسيسات مصرفي</v>
      </c>
      <c r="BV7" s="462">
        <f>'هزينه هاي ثابت و متغير'!C7:C8</f>
        <v>0.2</v>
      </c>
      <c r="BW7" s="407">
        <f t="shared" si="17"/>
        <v>0</v>
      </c>
      <c r="BX7" s="462">
        <f>'هزينه هاي ثابت و متغير'!E7:E8</f>
        <v>0.8</v>
      </c>
      <c r="BY7" s="407">
        <f t="shared" si="18"/>
        <v>0</v>
      </c>
      <c r="BZ7" s="451">
        <f t="shared" si="19"/>
        <v>0</v>
      </c>
      <c r="CA7" s="455">
        <f>'هزينه هاي ثابت و متغير'!H7:H8</f>
        <v>4</v>
      </c>
      <c r="CB7" s="407" t="str">
        <f>'هزينه هاي ثابت و متغير'!I7:I8</f>
        <v>تاسيسات مصرفي</v>
      </c>
      <c r="CC7" s="407">
        <f>$BZ$7*$BV$7*B3/12</f>
        <v>0</v>
      </c>
      <c r="CD7" s="407">
        <f t="shared" ref="CD7:CM7" si="42">$BZ$7*$BV$7*C3/12</f>
        <v>0</v>
      </c>
      <c r="CE7" s="407">
        <f t="shared" si="42"/>
        <v>0</v>
      </c>
      <c r="CF7" s="407">
        <f t="shared" si="42"/>
        <v>0</v>
      </c>
      <c r="CG7" s="407">
        <f t="shared" si="42"/>
        <v>0</v>
      </c>
      <c r="CH7" s="407">
        <f t="shared" si="42"/>
        <v>0</v>
      </c>
      <c r="CI7" s="407">
        <f t="shared" si="42"/>
        <v>0</v>
      </c>
      <c r="CJ7" s="407">
        <f t="shared" si="42"/>
        <v>0</v>
      </c>
      <c r="CK7" s="407">
        <f t="shared" si="42"/>
        <v>0</v>
      </c>
      <c r="CL7" s="407">
        <f t="shared" si="42"/>
        <v>0</v>
      </c>
      <c r="CM7" s="407">
        <f t="shared" si="42"/>
        <v>0</v>
      </c>
      <c r="CN7" s="455">
        <f>'هزينه هاي ثابت و متغير'!U7:U8</f>
        <v>4</v>
      </c>
      <c r="CO7" s="407" t="str">
        <f>'هزينه هاي ثابت و متغير'!V7:V8</f>
        <v>تاسيسات مصرفي</v>
      </c>
      <c r="CP7" s="407">
        <f>$BZ$7*$BX$7*B5</f>
        <v>0</v>
      </c>
      <c r="CQ7" s="407">
        <f t="shared" ref="CQ7:CZ7" si="43">$BZ$7*$BX$7*C5</f>
        <v>0</v>
      </c>
      <c r="CR7" s="407">
        <f t="shared" si="43"/>
        <v>0</v>
      </c>
      <c r="CS7" s="407">
        <f t="shared" si="43"/>
        <v>0</v>
      </c>
      <c r="CT7" s="407">
        <f t="shared" si="43"/>
        <v>0</v>
      </c>
      <c r="CU7" s="407">
        <f t="shared" si="43"/>
        <v>0</v>
      </c>
      <c r="CV7" s="407">
        <f t="shared" si="43"/>
        <v>0</v>
      </c>
      <c r="CW7" s="407">
        <f t="shared" si="43"/>
        <v>0</v>
      </c>
      <c r="CX7" s="407">
        <f t="shared" si="43"/>
        <v>0</v>
      </c>
      <c r="CY7" s="407">
        <f t="shared" si="43"/>
        <v>0</v>
      </c>
      <c r="CZ7" s="407">
        <f t="shared" si="43"/>
        <v>0</v>
      </c>
      <c r="DA7" s="407"/>
      <c r="DC7" s="442">
        <f>'هزينه هاي ثابت و متغير'!AH7:AH8</f>
        <v>4</v>
      </c>
      <c r="DD7" s="359" t="str">
        <f>'هزينه هاي ثابت و متغير'!AI7:AI8</f>
        <v>تاسيسات مصرفي</v>
      </c>
      <c r="DE7" s="438">
        <f t="shared" si="22"/>
        <v>0</v>
      </c>
      <c r="DF7" s="438">
        <f t="shared" si="23"/>
        <v>0</v>
      </c>
      <c r="DG7" s="438">
        <f t="shared" si="24"/>
        <v>0</v>
      </c>
      <c r="DH7" s="438">
        <f t="shared" si="25"/>
        <v>0</v>
      </c>
      <c r="DI7" s="438">
        <f t="shared" si="26"/>
        <v>0</v>
      </c>
      <c r="DJ7" s="438">
        <f t="shared" si="27"/>
        <v>0</v>
      </c>
      <c r="DK7" s="438">
        <f t="shared" si="28"/>
        <v>0</v>
      </c>
      <c r="DL7" s="438">
        <f t="shared" si="29"/>
        <v>0</v>
      </c>
      <c r="DM7" s="438">
        <f t="shared" si="30"/>
        <v>0</v>
      </c>
      <c r="DN7" s="438">
        <f t="shared" si="31"/>
        <v>0</v>
      </c>
      <c r="DO7" s="438">
        <f t="shared" si="32"/>
        <v>0</v>
      </c>
      <c r="DT7" s="367">
        <f>'پيش بيني عملكرد سود و زيان'!A8</f>
        <v>4</v>
      </c>
      <c r="DU7" s="368" t="str">
        <f>'پيش بيني عملكرد سود و زيان'!B8</f>
        <v>حقوق و دستمزد پرسنل غير مستقيم توليد</v>
      </c>
      <c r="DV7" s="368">
        <f t="shared" si="33"/>
        <v>15084000</v>
      </c>
      <c r="DW7" s="368">
        <f t="shared" si="34"/>
        <v>15084000</v>
      </c>
      <c r="DX7" s="368">
        <f t="shared" si="34"/>
        <v>15084000</v>
      </c>
      <c r="DY7" s="368">
        <f t="shared" si="34"/>
        <v>15084000</v>
      </c>
      <c r="DZ7" s="368">
        <f t="shared" si="34"/>
        <v>15084000</v>
      </c>
      <c r="EA7" s="368">
        <f t="shared" si="34"/>
        <v>15084000</v>
      </c>
      <c r="EB7" s="368">
        <f t="shared" si="34"/>
        <v>15084000</v>
      </c>
      <c r="EC7" s="368">
        <f t="shared" si="34"/>
        <v>15084000</v>
      </c>
      <c r="ED7" s="368">
        <f t="shared" si="34"/>
        <v>15084000</v>
      </c>
      <c r="EE7" s="368">
        <f t="shared" si="34"/>
        <v>15084000</v>
      </c>
      <c r="EF7" s="368">
        <f t="shared" si="34"/>
        <v>15084000</v>
      </c>
      <c r="EG7" s="359"/>
      <c r="EH7" s="359"/>
      <c r="EI7" s="430" t="str">
        <f>'ترازنامه ایجادی'!A6</f>
        <v xml:space="preserve">موجودی کالای ساخته شده </v>
      </c>
      <c r="EJ7" s="374">
        <f>'ترازنامه ایجادی'!B6</f>
        <v>0</v>
      </c>
      <c r="EK7" s="374">
        <f>Y16</f>
        <v>2470799.375</v>
      </c>
      <c r="EL7" s="374">
        <f t="shared" si="39"/>
        <v>2470799.375</v>
      </c>
      <c r="EM7" s="374">
        <f t="shared" si="39"/>
        <v>2470799.375</v>
      </c>
      <c r="EN7" s="374">
        <f t="shared" si="39"/>
        <v>2470799.375</v>
      </c>
      <c r="EO7" s="374">
        <f t="shared" si="39"/>
        <v>2470799.375</v>
      </c>
      <c r="EP7" s="374">
        <f t="shared" si="39"/>
        <v>2470799.375</v>
      </c>
      <c r="EQ7" s="374">
        <f t="shared" si="39"/>
        <v>2470799.375</v>
      </c>
      <c r="ER7" s="374">
        <f t="shared" si="39"/>
        <v>2470799.375</v>
      </c>
      <c r="ES7" s="374">
        <f t="shared" si="39"/>
        <v>2470799.375</v>
      </c>
      <c r="ET7" s="374">
        <f t="shared" si="39"/>
        <v>2470799.375</v>
      </c>
      <c r="EU7" s="374">
        <f t="shared" si="39"/>
        <v>2470799.375</v>
      </c>
      <c r="EV7" s="359"/>
      <c r="EW7" s="359"/>
      <c r="EY7" s="457" t="str">
        <f>'جریان نقدینگی'!A7</f>
        <v>کل تسهیلات کوتاه مدت</v>
      </c>
      <c r="EZ7" s="376">
        <v>0</v>
      </c>
      <c r="FA7" s="376">
        <f>'منابع تامين سرمايه گذاري'!E41</f>
        <v>1345262.9729751665</v>
      </c>
      <c r="FB7" s="376">
        <f>'جریان نقدینگی'!D7</f>
        <v>0</v>
      </c>
      <c r="FC7" s="376">
        <f>'جریان نقدینگی'!E7</f>
        <v>0</v>
      </c>
      <c r="FD7" s="376">
        <f>'جریان نقدینگی'!F7</f>
        <v>0</v>
      </c>
      <c r="FE7" s="376">
        <f>'جریان نقدینگی'!G7</f>
        <v>0</v>
      </c>
      <c r="FF7" s="376">
        <f>'جریان نقدینگی'!H7</f>
        <v>0</v>
      </c>
      <c r="FG7" s="376">
        <f>'جریان نقدینگی'!I7</f>
        <v>0</v>
      </c>
      <c r="FH7" s="376">
        <f>'جریان نقدینگی'!J7</f>
        <v>0</v>
      </c>
      <c r="FI7" s="376">
        <f>'جریان نقدینگی'!K7</f>
        <v>0</v>
      </c>
      <c r="FJ7" s="376">
        <f>'جریان نقدینگی'!L7</f>
        <v>0</v>
      </c>
      <c r="FK7" s="376">
        <f>'جریان نقدینگی'!M7</f>
        <v>0</v>
      </c>
      <c r="FL7" s="381">
        <f>'جریان نقدینگی'!N7</f>
        <v>0</v>
      </c>
      <c r="FM7" s="359"/>
      <c r="FN7" s="359"/>
      <c r="FO7" s="359"/>
      <c r="FP7" s="380" t="str">
        <f>'جریان نقدینگی تنزیل شده1'!A7</f>
        <v>خالص مازاد (کمبود) نقدی</v>
      </c>
      <c r="FQ7" s="376">
        <f>FQ3-FQ6</f>
        <v>-1470846409.0019569</v>
      </c>
      <c r="FR7" s="376">
        <f t="shared" ref="FR7:GB7" si="44">FR3-FR6</f>
        <v>-59774391.875</v>
      </c>
      <c r="FS7" s="376">
        <f t="shared" si="44"/>
        <v>-57303592.5</v>
      </c>
      <c r="FT7" s="376">
        <f t="shared" si="44"/>
        <v>-57303592.5</v>
      </c>
      <c r="FU7" s="376">
        <f t="shared" si="44"/>
        <v>-57303592.5</v>
      </c>
      <c r="FV7" s="376">
        <f t="shared" si="44"/>
        <v>-57303592.5</v>
      </c>
      <c r="FW7" s="376">
        <f t="shared" si="44"/>
        <v>-57303592.5</v>
      </c>
      <c r="FX7" s="376">
        <f t="shared" si="44"/>
        <v>-57303592.5</v>
      </c>
      <c r="FY7" s="376">
        <f t="shared" si="44"/>
        <v>-57303592.5</v>
      </c>
      <c r="FZ7" s="376">
        <f t="shared" si="44"/>
        <v>-57303592.5</v>
      </c>
      <c r="GA7" s="376">
        <f t="shared" si="44"/>
        <v>-57303592.5</v>
      </c>
      <c r="GB7" s="381">
        <f t="shared" si="44"/>
        <v>-57303592.5</v>
      </c>
      <c r="GF7" s="395" t="str">
        <f>'جریان نقدینگی تنزیل شده2'!A7</f>
        <v>مازاد نقدی انباشته</v>
      </c>
      <c r="GG7" s="458">
        <f>GG6</f>
        <v>-1476747244.7889817</v>
      </c>
      <c r="GH7" s="458">
        <f>GH6+GG7</f>
        <v>-1541296936.0489817</v>
      </c>
      <c r="GI7" s="458">
        <f>GI6+GH7</f>
        <v>-1598600528.5489817</v>
      </c>
      <c r="GJ7" s="458">
        <f>GJ6+GI7</f>
        <v>-1655904121.0489817</v>
      </c>
      <c r="GK7" s="458">
        <f>GK6+GJ7</f>
        <v>-1713207713.5489817</v>
      </c>
      <c r="GL7" s="458">
        <f t="shared" ref="GL7:GR7" si="45">GL6+GK7</f>
        <v>-1770511306.0489817</v>
      </c>
      <c r="GM7" s="458">
        <f t="shared" si="45"/>
        <v>-1827814898.5489817</v>
      </c>
      <c r="GN7" s="458">
        <f t="shared" si="45"/>
        <v>-1885118491.0489817</v>
      </c>
      <c r="GO7" s="458">
        <f t="shared" si="45"/>
        <v>-1942422083.5489817</v>
      </c>
      <c r="GP7" s="458">
        <f t="shared" si="45"/>
        <v>-1999725676.0489817</v>
      </c>
      <c r="GQ7" s="458">
        <f t="shared" si="45"/>
        <v>-2057029268.5489817</v>
      </c>
      <c r="GR7" s="459">
        <f t="shared" si="45"/>
        <v>-2114332861.0489817</v>
      </c>
      <c r="GS7" s="373"/>
      <c r="GT7" s="373"/>
      <c r="GU7" s="373"/>
      <c r="GV7" s="373"/>
    </row>
    <row r="8" spans="1:204">
      <c r="A8" s="455">
        <f>'برآورد فروش'!A8</f>
        <v>0</v>
      </c>
      <c r="B8" s="407">
        <f t="shared" ref="B8:B16" si="46">$B$4*M8</f>
        <v>0</v>
      </c>
      <c r="C8" s="407">
        <f t="shared" ref="C8:C16" si="47">$C$4*M8</f>
        <v>0</v>
      </c>
      <c r="D8" s="407">
        <f t="shared" ref="D8:D16" si="48">$D$4*M8</f>
        <v>0</v>
      </c>
      <c r="E8" s="407">
        <f t="shared" ref="E8:E16" si="49">$E$4*M8</f>
        <v>0</v>
      </c>
      <c r="F8" s="407">
        <f t="shared" ref="F8:F16" si="50">$F$4*M8</f>
        <v>0</v>
      </c>
      <c r="G8" s="407">
        <f t="shared" ref="G8:G16" si="51">$G$4*M8</f>
        <v>0</v>
      </c>
      <c r="H8" s="407">
        <f t="shared" ref="H8:H16" si="52">$H$4*M8</f>
        <v>0</v>
      </c>
      <c r="I8" s="407">
        <f t="shared" ref="I8:I16" si="53">$I$4*M8</f>
        <v>0</v>
      </c>
      <c r="J8" s="407">
        <f t="shared" ref="J8:J16" si="54">$J$4*M8</f>
        <v>0</v>
      </c>
      <c r="K8" s="407">
        <f t="shared" ref="K8:K16" si="55">$K$4*M8</f>
        <v>0</v>
      </c>
      <c r="L8" s="407">
        <f t="shared" ref="L8:L16" si="56">$L$4*M8</f>
        <v>0</v>
      </c>
      <c r="M8" s="465">
        <f>'برآورد فروش'!M8</f>
        <v>0</v>
      </c>
      <c r="N8" s="407"/>
      <c r="O8" s="407"/>
      <c r="P8" s="455">
        <f>'سرمايه‌‌گذاري طرح'!A8:A9</f>
        <v>5</v>
      </c>
      <c r="Q8" s="407" t="str">
        <f>'سرمايه‌‌گذاري طرح'!B8:B9</f>
        <v xml:space="preserve">ماشين آلات و تجهيزات </v>
      </c>
      <c r="R8" s="464">
        <f>IF('آنالیز حساسیت'!$C$4=0,'سرمايه‌‌گذاري طرح'!D8,'سرمايه‌‌گذاري طرح'!D8*(1+'آنالیز حساسیت'!$C$4))</f>
        <v>0</v>
      </c>
      <c r="S8" s="464">
        <f>IF('آنالیز حساسیت'!$C$4=0,'سرمايه‌‌گذاري طرح'!E8,'سرمايه‌‌گذاري طرح'!E8*(1+'آنالیز حساسیت'!$C$4))</f>
        <v>0</v>
      </c>
      <c r="T8" s="465">
        <f t="shared" si="11"/>
        <v>0</v>
      </c>
      <c r="U8" s="407"/>
      <c r="V8" s="407"/>
      <c r="W8" s="407">
        <f>'سرمايه در گردش'!A8</f>
        <v>6</v>
      </c>
      <c r="X8" s="407" t="str">
        <f>'سرمايه در گردش'!B8</f>
        <v>موجودی کالای در جریال ساخت</v>
      </c>
      <c r="Y8" s="407">
        <f>'سرمايه در گردش'!C8</f>
        <v>0</v>
      </c>
      <c r="Z8" s="407">
        <f>'سرمايه در گردش'!D8</f>
        <v>0</v>
      </c>
      <c r="AA8" s="407">
        <f>(EB13-EB10)/12*Y8</f>
        <v>0</v>
      </c>
      <c r="AB8" s="407">
        <f t="shared" si="0"/>
        <v>0</v>
      </c>
      <c r="AC8" s="407"/>
      <c r="AD8" s="407"/>
      <c r="AE8" s="407"/>
      <c r="AF8" s="407"/>
      <c r="AG8" s="407"/>
      <c r="AH8" s="407"/>
      <c r="AI8" s="407"/>
      <c r="AJ8" s="407"/>
      <c r="AK8" s="407"/>
      <c r="AL8" s="455">
        <f>'تعميرات و نگهداري '!A8:A9</f>
        <v>5</v>
      </c>
      <c r="AM8" s="407" t="str">
        <f>'تعميرات و نگهداري '!B8:B9</f>
        <v>اثاثيه و تجهيزات اداري</v>
      </c>
      <c r="AN8" s="464">
        <f t="shared" si="12"/>
        <v>8400000</v>
      </c>
      <c r="AO8" s="464">
        <f t="shared" si="13"/>
        <v>2100000</v>
      </c>
      <c r="AP8" s="462">
        <f>'تعميرات و نگهداري '!E8:E9</f>
        <v>0.1</v>
      </c>
      <c r="AQ8" s="407">
        <f t="shared" si="14"/>
        <v>840000</v>
      </c>
      <c r="AR8" s="407">
        <f t="shared" si="15"/>
        <v>210000</v>
      </c>
      <c r="AS8" s="451">
        <f t="shared" si="16"/>
        <v>1050000</v>
      </c>
      <c r="AT8" s="407"/>
      <c r="AU8" s="407"/>
      <c r="AV8" s="407"/>
      <c r="AW8" s="407" t="str">
        <f>استهلاك!B9</f>
        <v>اثاثيه و تجهيزات اداري</v>
      </c>
      <c r="AX8" s="464">
        <f>'ex1'!C9</f>
        <v>8400000</v>
      </c>
      <c r="AY8" s="464">
        <f>'ex1'!D9</f>
        <v>2100000</v>
      </c>
      <c r="AZ8" s="562">
        <f>'ex1'!E9</f>
        <v>5</v>
      </c>
      <c r="BA8" s="462">
        <f>'ex1'!F9</f>
        <v>0.2</v>
      </c>
      <c r="BB8" s="464">
        <f>'ex1'!G9</f>
        <v>1680000</v>
      </c>
      <c r="BC8" s="464">
        <f>'ex1'!H9</f>
        <v>420000</v>
      </c>
      <c r="BD8" s="464">
        <f>'ex1'!I9</f>
        <v>2100000</v>
      </c>
      <c r="BE8" s="462">
        <f>'ex1'!J9</f>
        <v>0.1</v>
      </c>
      <c r="BF8" s="464">
        <f>'ex1'!K9</f>
        <v>210000</v>
      </c>
      <c r="BG8" s="464">
        <f>'ex1'!L9</f>
        <v>1890000</v>
      </c>
      <c r="BH8" s="407"/>
      <c r="BI8" s="407"/>
      <c r="BJ8" s="407"/>
      <c r="BK8" s="407"/>
      <c r="BL8" s="407">
        <f>'هزينه هاي توليد'!A7</f>
        <v>5</v>
      </c>
      <c r="BM8" s="407" t="str">
        <f>'هزينه هاي توليد'!B7</f>
        <v>نگهداري و تعميرات</v>
      </c>
      <c r="BN8" s="407"/>
      <c r="BO8" s="464">
        <f>IF('آنالیز حساسیت'!$A$4=0,'هزينه هاي توليد'!D7,'هزينه هاي توليد'!D7*(1+'آنالیز حساسیت'!$A$4))</f>
        <v>3904500</v>
      </c>
      <c r="BP8" s="464">
        <f>BO8*$L$4</f>
        <v>3904500</v>
      </c>
      <c r="BQ8" s="407"/>
      <c r="BR8" s="407"/>
      <c r="BS8" s="407"/>
      <c r="BT8" s="455">
        <f>'هزينه هاي ثابت و متغير'!A8:A9</f>
        <v>5</v>
      </c>
      <c r="BU8" s="407" t="str">
        <f>'هزينه هاي ثابت و متغير'!B8:B9</f>
        <v>نگهداري و تعميرات</v>
      </c>
      <c r="BV8" s="462">
        <f>'هزينه هاي ثابت و متغير'!C8:C9</f>
        <v>0.2</v>
      </c>
      <c r="BW8" s="407">
        <f t="shared" si="17"/>
        <v>780900</v>
      </c>
      <c r="BX8" s="462">
        <f>'هزينه هاي ثابت و متغير'!E8:E9</f>
        <v>0.8</v>
      </c>
      <c r="BY8" s="407">
        <f t="shared" si="18"/>
        <v>3123600</v>
      </c>
      <c r="BZ8" s="451">
        <f t="shared" si="19"/>
        <v>3904500</v>
      </c>
      <c r="CA8" s="455">
        <f>'هزينه هاي ثابت و متغير'!H8:H9</f>
        <v>5</v>
      </c>
      <c r="CB8" s="407" t="str">
        <f>'هزينه هاي ثابت و متغير'!I8:I9</f>
        <v>نگهداري و تعميرات</v>
      </c>
      <c r="CC8" s="407">
        <f>$BZ$8*$BV$8*B3/12</f>
        <v>780900</v>
      </c>
      <c r="CD8" s="407">
        <f t="shared" ref="CD8:CM8" si="57">$BZ$8*$BV$8*C3/12</f>
        <v>780900</v>
      </c>
      <c r="CE8" s="407">
        <f t="shared" si="57"/>
        <v>780900</v>
      </c>
      <c r="CF8" s="407">
        <f t="shared" si="57"/>
        <v>780900</v>
      </c>
      <c r="CG8" s="407">
        <f t="shared" si="57"/>
        <v>780900</v>
      </c>
      <c r="CH8" s="407">
        <f t="shared" si="57"/>
        <v>780900</v>
      </c>
      <c r="CI8" s="407">
        <f t="shared" si="57"/>
        <v>780900</v>
      </c>
      <c r="CJ8" s="407">
        <f t="shared" si="57"/>
        <v>780900</v>
      </c>
      <c r="CK8" s="407">
        <f t="shared" si="57"/>
        <v>780900</v>
      </c>
      <c r="CL8" s="407">
        <f t="shared" si="57"/>
        <v>780900</v>
      </c>
      <c r="CM8" s="407">
        <f t="shared" si="57"/>
        <v>780900</v>
      </c>
      <c r="CN8" s="455">
        <f>'هزينه هاي ثابت و متغير'!U8:U9</f>
        <v>5</v>
      </c>
      <c r="CO8" s="407" t="str">
        <f>'هزينه هاي ثابت و متغير'!V8:V9</f>
        <v>نگهداري و تعميرات</v>
      </c>
      <c r="CP8" s="407">
        <f>$BZ$8*$BX$8*B5</f>
        <v>3123600</v>
      </c>
      <c r="CQ8" s="407">
        <f t="shared" ref="CQ8:CZ8" si="58">$BZ$8*$BX$8*C5</f>
        <v>3123600</v>
      </c>
      <c r="CR8" s="407">
        <f t="shared" si="58"/>
        <v>3123600</v>
      </c>
      <c r="CS8" s="407">
        <f t="shared" si="58"/>
        <v>3123600</v>
      </c>
      <c r="CT8" s="407">
        <f t="shared" si="58"/>
        <v>3123600</v>
      </c>
      <c r="CU8" s="407">
        <f t="shared" si="58"/>
        <v>3123600</v>
      </c>
      <c r="CV8" s="407">
        <f t="shared" si="58"/>
        <v>3123600</v>
      </c>
      <c r="CW8" s="407">
        <f t="shared" si="58"/>
        <v>3123600</v>
      </c>
      <c r="CX8" s="407">
        <f t="shared" si="58"/>
        <v>3123600</v>
      </c>
      <c r="CY8" s="407">
        <f t="shared" si="58"/>
        <v>3123600</v>
      </c>
      <c r="CZ8" s="407">
        <f t="shared" si="58"/>
        <v>3123600</v>
      </c>
      <c r="DA8" s="407"/>
      <c r="DC8" s="442">
        <f>'هزينه هاي ثابت و متغير'!AH8:AH9</f>
        <v>5</v>
      </c>
      <c r="DD8" s="359" t="str">
        <f>'هزينه هاي ثابت و متغير'!AI8:AI9</f>
        <v>نگهداري و تعميرات</v>
      </c>
      <c r="DE8" s="438">
        <f t="shared" si="22"/>
        <v>3904500</v>
      </c>
      <c r="DF8" s="438">
        <f t="shared" si="23"/>
        <v>3904500</v>
      </c>
      <c r="DG8" s="438">
        <f t="shared" si="24"/>
        <v>3904500</v>
      </c>
      <c r="DH8" s="438">
        <f t="shared" si="25"/>
        <v>3904500</v>
      </c>
      <c r="DI8" s="438">
        <f t="shared" si="26"/>
        <v>3904500</v>
      </c>
      <c r="DJ8" s="438">
        <f t="shared" si="27"/>
        <v>3904500</v>
      </c>
      <c r="DK8" s="438">
        <f t="shared" si="28"/>
        <v>3904500</v>
      </c>
      <c r="DL8" s="438">
        <f t="shared" si="29"/>
        <v>3904500</v>
      </c>
      <c r="DM8" s="438">
        <f t="shared" si="30"/>
        <v>3904500</v>
      </c>
      <c r="DN8" s="438">
        <f t="shared" si="31"/>
        <v>3904500</v>
      </c>
      <c r="DO8" s="438">
        <f t="shared" si="32"/>
        <v>3904500</v>
      </c>
      <c r="DT8" s="363">
        <f>'پيش بيني عملكرد سود و زيان'!A9</f>
        <v>5</v>
      </c>
      <c r="DU8" s="361" t="str">
        <f>'پيش بيني عملكرد سود و زيان'!B9</f>
        <v>تاسيسات مصرفي</v>
      </c>
      <c r="DV8" s="361">
        <f t="shared" si="33"/>
        <v>0</v>
      </c>
      <c r="DW8" s="361">
        <f t="shared" si="34"/>
        <v>0</v>
      </c>
      <c r="DX8" s="361">
        <f t="shared" si="34"/>
        <v>0</v>
      </c>
      <c r="DY8" s="361">
        <f t="shared" si="34"/>
        <v>0</v>
      </c>
      <c r="DZ8" s="361">
        <f t="shared" si="34"/>
        <v>0</v>
      </c>
      <c r="EA8" s="361">
        <f t="shared" si="34"/>
        <v>0</v>
      </c>
      <c r="EB8" s="361">
        <f t="shared" si="34"/>
        <v>0</v>
      </c>
      <c r="EC8" s="361">
        <f t="shared" si="34"/>
        <v>0</v>
      </c>
      <c r="ED8" s="361">
        <f t="shared" si="34"/>
        <v>0</v>
      </c>
      <c r="EE8" s="361">
        <f t="shared" si="34"/>
        <v>0</v>
      </c>
      <c r="EF8" s="361">
        <f t="shared" si="34"/>
        <v>0</v>
      </c>
      <c r="EG8" s="359"/>
      <c r="EH8" s="359"/>
      <c r="EI8" s="430" t="str">
        <f>'ترازنامه ایجادی'!A7</f>
        <v>مطالبات</v>
      </c>
      <c r="EJ8" s="374">
        <f>'ترازنامه ایجادی'!B7</f>
        <v>0</v>
      </c>
      <c r="EK8" s="374">
        <f>Y17</f>
        <v>0</v>
      </c>
      <c r="EL8" s="374">
        <f t="shared" si="39"/>
        <v>0</v>
      </c>
      <c r="EM8" s="374">
        <f t="shared" si="39"/>
        <v>0</v>
      </c>
      <c r="EN8" s="374">
        <f t="shared" si="39"/>
        <v>0</v>
      </c>
      <c r="EO8" s="374">
        <f t="shared" si="39"/>
        <v>0</v>
      </c>
      <c r="EP8" s="374">
        <f t="shared" si="39"/>
        <v>0</v>
      </c>
      <c r="EQ8" s="374">
        <f t="shared" si="39"/>
        <v>0</v>
      </c>
      <c r="ER8" s="374">
        <f t="shared" si="39"/>
        <v>0</v>
      </c>
      <c r="ES8" s="374">
        <f t="shared" si="39"/>
        <v>0</v>
      </c>
      <c r="ET8" s="374">
        <f t="shared" si="39"/>
        <v>0</v>
      </c>
      <c r="EU8" s="374">
        <f t="shared" si="39"/>
        <v>0</v>
      </c>
      <c r="EV8" s="359"/>
      <c r="EW8" s="359"/>
      <c r="EY8" s="380" t="str">
        <f>'جریان نقدینگی'!A8</f>
        <v>درآمد ورودی</v>
      </c>
      <c r="EZ8" s="376">
        <f>EZ9+EZ10</f>
        <v>0</v>
      </c>
      <c r="FA8" s="376">
        <f t="shared" ref="FA8:FL8" si="59">FA9+FA10</f>
        <v>0</v>
      </c>
      <c r="FB8" s="376">
        <f t="shared" si="59"/>
        <v>0</v>
      </c>
      <c r="FC8" s="376">
        <f t="shared" si="59"/>
        <v>0</v>
      </c>
      <c r="FD8" s="376">
        <f t="shared" si="59"/>
        <v>0</v>
      </c>
      <c r="FE8" s="376">
        <f t="shared" si="59"/>
        <v>0</v>
      </c>
      <c r="FF8" s="376">
        <f t="shared" si="59"/>
        <v>0</v>
      </c>
      <c r="FG8" s="376">
        <f t="shared" si="59"/>
        <v>0</v>
      </c>
      <c r="FH8" s="376">
        <f t="shared" si="59"/>
        <v>0</v>
      </c>
      <c r="FI8" s="376">
        <f t="shared" si="59"/>
        <v>0</v>
      </c>
      <c r="FJ8" s="376">
        <f t="shared" si="59"/>
        <v>0</v>
      </c>
      <c r="FK8" s="376">
        <f t="shared" si="59"/>
        <v>0</v>
      </c>
      <c r="FL8" s="381">
        <f t="shared" si="59"/>
        <v>137916640.90019572</v>
      </c>
      <c r="FM8" s="359"/>
      <c r="FN8" s="359"/>
      <c r="FO8" s="359"/>
      <c r="FP8" s="380" t="str">
        <f>'جریان نقدینگی تنزیل شده1'!A8</f>
        <v>مازاد نقدی انباشته</v>
      </c>
      <c r="FQ8" s="376">
        <f>FQ7</f>
        <v>-1470846409.0019569</v>
      </c>
      <c r="FR8" s="376">
        <f>FR7+FQ8</f>
        <v>-1530620800.8769569</v>
      </c>
      <c r="FS8" s="376">
        <f>FS7+FR8</f>
        <v>-1587924393.3769569</v>
      </c>
      <c r="FT8" s="376">
        <f>FT7+FS8</f>
        <v>-1645227985.8769569</v>
      </c>
      <c r="FU8" s="376">
        <f>FU7+FT8</f>
        <v>-1702531578.3769569</v>
      </c>
      <c r="FV8" s="376">
        <f t="shared" ref="FV8:GB8" si="60">FV7+FU8</f>
        <v>-1759835170.8769569</v>
      </c>
      <c r="FW8" s="376">
        <f t="shared" si="60"/>
        <v>-1817138763.3769569</v>
      </c>
      <c r="FX8" s="376">
        <f t="shared" si="60"/>
        <v>-1874442355.8769569</v>
      </c>
      <c r="FY8" s="376">
        <f t="shared" si="60"/>
        <v>-1931745948.3769569</v>
      </c>
      <c r="FZ8" s="376">
        <f t="shared" si="60"/>
        <v>-1989049540.8769569</v>
      </c>
      <c r="GA8" s="376">
        <f t="shared" si="60"/>
        <v>-2046353133.3769569</v>
      </c>
      <c r="GB8" s="381">
        <f t="shared" si="60"/>
        <v>-2103656725.8769569</v>
      </c>
      <c r="GF8" s="395">
        <f>'جریان نقدینگی تنزیل شده2'!A8</f>
        <v>0</v>
      </c>
      <c r="GG8" s="375">
        <f>'جریان نقدینگی تنزیل شده2'!B8</f>
        <v>0</v>
      </c>
      <c r="GH8" s="375">
        <f>'جریان نقدینگی تنزیل شده2'!C8</f>
        <v>1</v>
      </c>
      <c r="GI8" s="375">
        <f>'جریان نقدینگی تنزیل شده2'!D8</f>
        <v>2</v>
      </c>
      <c r="GJ8" s="375">
        <f>'جریان نقدینگی تنزیل شده2'!E8</f>
        <v>3</v>
      </c>
      <c r="GK8" s="375">
        <f>'جریان نقدینگی تنزیل شده2'!F8</f>
        <v>4</v>
      </c>
      <c r="GL8" s="375">
        <f>'جریان نقدینگی تنزیل شده2'!G8</f>
        <v>5</v>
      </c>
      <c r="GM8" s="375">
        <f>'جریان نقدینگی تنزیل شده2'!H8</f>
        <v>6</v>
      </c>
      <c r="GN8" s="375">
        <f>'جریان نقدینگی تنزیل شده2'!I8</f>
        <v>7</v>
      </c>
      <c r="GO8" s="375">
        <f>'جریان نقدینگی تنزیل شده2'!J8</f>
        <v>8</v>
      </c>
      <c r="GP8" s="375">
        <f>'جریان نقدینگی تنزیل شده2'!K8</f>
        <v>9</v>
      </c>
      <c r="GQ8" s="375">
        <f>'جریان نقدینگی تنزیل شده2'!L8</f>
        <v>10</v>
      </c>
      <c r="GR8" s="391">
        <f>'جریان نقدینگی تنزیل شده2'!M8</f>
        <v>11</v>
      </c>
      <c r="GS8" s="373"/>
      <c r="GT8" s="373"/>
      <c r="GU8" s="373"/>
      <c r="GV8" s="373"/>
    </row>
    <row r="9" spans="1:204">
      <c r="A9" s="455">
        <f>'برآورد فروش'!A9</f>
        <v>0</v>
      </c>
      <c r="B9" s="407">
        <f t="shared" si="46"/>
        <v>0</v>
      </c>
      <c r="C9" s="407">
        <f t="shared" si="47"/>
        <v>0</v>
      </c>
      <c r="D9" s="407">
        <f t="shared" si="48"/>
        <v>0</v>
      </c>
      <c r="E9" s="407">
        <f t="shared" si="49"/>
        <v>0</v>
      </c>
      <c r="F9" s="407">
        <f t="shared" si="50"/>
        <v>0</v>
      </c>
      <c r="G9" s="407">
        <f t="shared" si="51"/>
        <v>0</v>
      </c>
      <c r="H9" s="407">
        <f t="shared" si="52"/>
        <v>0</v>
      </c>
      <c r="I9" s="407">
        <f t="shared" si="53"/>
        <v>0</v>
      </c>
      <c r="J9" s="407">
        <f t="shared" si="54"/>
        <v>0</v>
      </c>
      <c r="K9" s="407">
        <f t="shared" si="55"/>
        <v>0</v>
      </c>
      <c r="L9" s="407">
        <f t="shared" si="56"/>
        <v>0</v>
      </c>
      <c r="M9" s="465">
        <f>'برآورد فروش'!M9</f>
        <v>0</v>
      </c>
      <c r="N9" s="407"/>
      <c r="O9" s="407"/>
      <c r="P9" s="455">
        <f>'سرمايه‌‌گذاري طرح'!A9:A10</f>
        <v>6</v>
      </c>
      <c r="Q9" s="407" t="str">
        <f>'سرمايه‌‌گذاري طرح'!B9:B10</f>
        <v>اثاثيه و تجهيزات اداري</v>
      </c>
      <c r="R9" s="464">
        <f>IF('آنالیز حساسیت'!$C$4=0,'سرمايه‌‌گذاري طرح'!D9,'سرمايه‌‌گذاري طرح'!D9*(1+'آنالیز حساسیت'!$C$4))</f>
        <v>8400000</v>
      </c>
      <c r="S9" s="464">
        <f>IF('آنالیز حساسیت'!$C$4=0,'سرمايه‌‌گذاري طرح'!E9,'سرمايه‌‌گذاري طرح'!E9*(1+'آنالیز حساسیت'!$C$4))</f>
        <v>2100000</v>
      </c>
      <c r="T9" s="465">
        <f t="shared" si="11"/>
        <v>10500000</v>
      </c>
      <c r="U9" s="407"/>
      <c r="V9" s="407"/>
      <c r="X9" s="407" t="str">
        <f>'سرمايه در گردش'!A9</f>
        <v>جـــــــــــــــــــــــــــــمع</v>
      </c>
      <c r="Y9" s="407"/>
      <c r="Z9" s="407">
        <f>SUM(Z3:Z8)</f>
        <v>0</v>
      </c>
      <c r="AA9" s="407">
        <f>SUM(AA3:AA8)</f>
        <v>2470800.375</v>
      </c>
      <c r="AB9" s="407">
        <f>SUM(AB3:AB8)</f>
        <v>2470800.375</v>
      </c>
      <c r="AC9" s="407"/>
      <c r="AD9" s="407"/>
      <c r="AE9" s="407"/>
      <c r="AF9" s="407"/>
      <c r="AG9" s="407"/>
      <c r="AH9" s="407"/>
      <c r="AI9" s="407"/>
      <c r="AJ9" s="407"/>
      <c r="AK9" s="407"/>
      <c r="AL9" s="455">
        <f>'تعميرات و نگهداري '!A9:A10</f>
        <v>6</v>
      </c>
      <c r="AM9" s="407" t="str">
        <f>'تعميرات و نگهداري '!B9:B10</f>
        <v>وسائط نقليه</v>
      </c>
      <c r="AN9" s="464">
        <f t="shared" si="12"/>
        <v>7000000</v>
      </c>
      <c r="AO9" s="464">
        <f t="shared" si="13"/>
        <v>0</v>
      </c>
      <c r="AP9" s="462">
        <f>'تعميرات و نگهداري '!E9:E10</f>
        <v>0.1</v>
      </c>
      <c r="AQ9" s="407">
        <f t="shared" si="14"/>
        <v>700000</v>
      </c>
      <c r="AR9" s="407">
        <f t="shared" si="15"/>
        <v>0</v>
      </c>
      <c r="AS9" s="451">
        <f t="shared" si="16"/>
        <v>700000</v>
      </c>
      <c r="AT9" s="407"/>
      <c r="AU9" s="407"/>
      <c r="AV9" s="407"/>
      <c r="AW9" s="407" t="str">
        <f>استهلاك!B10</f>
        <v>وسائط نقليه</v>
      </c>
      <c r="AX9" s="464">
        <f>'ex1'!C10</f>
        <v>7000000</v>
      </c>
      <c r="AY9" s="464">
        <f>'ex1'!D10</f>
        <v>0</v>
      </c>
      <c r="AZ9" s="562">
        <f>'ex1'!E10</f>
        <v>4</v>
      </c>
      <c r="BA9" s="462">
        <f>'ex1'!F10</f>
        <v>0.25</v>
      </c>
      <c r="BB9" s="464">
        <f>'ex1'!G10</f>
        <v>1750000</v>
      </c>
      <c r="BC9" s="464">
        <f>'ex1'!H10</f>
        <v>0</v>
      </c>
      <c r="BD9" s="464">
        <f>'ex1'!I10</f>
        <v>1750000</v>
      </c>
      <c r="BE9" s="462">
        <f>'ex1'!J10</f>
        <v>0.1</v>
      </c>
      <c r="BF9" s="464">
        <f>'ex1'!K10</f>
        <v>175000</v>
      </c>
      <c r="BG9" s="464">
        <f>'ex1'!L10</f>
        <v>1575000</v>
      </c>
      <c r="BH9" s="407"/>
      <c r="BI9" s="407"/>
      <c r="BJ9" s="407"/>
      <c r="BK9" s="407"/>
      <c r="BL9" s="407">
        <f>'هزينه هاي توليد'!A8</f>
        <v>6</v>
      </c>
      <c r="BM9" s="407" t="str">
        <f>'هزينه هاي توليد'!B8</f>
        <v>استهلاك</v>
      </c>
      <c r="BN9" s="407"/>
      <c r="BO9" s="464">
        <f>'ex1'!L14-'ex1'!L13</f>
        <v>17302050</v>
      </c>
      <c r="BP9" s="464">
        <f>BO9</f>
        <v>17302050</v>
      </c>
      <c r="BQ9" s="407"/>
      <c r="BR9" s="407"/>
      <c r="BS9" s="407"/>
      <c r="BT9" s="455">
        <f>'هزينه هاي ثابت و متغير'!A9:A10</f>
        <v>6</v>
      </c>
      <c r="BU9" s="407" t="str">
        <f>'هزينه هاي ثابت و متغير'!B9:B10</f>
        <v>استهلاك</v>
      </c>
      <c r="BV9" s="462">
        <f>'هزينه هاي ثابت و متغير'!C9:C10</f>
        <v>1</v>
      </c>
      <c r="BW9" s="407">
        <f t="shared" si="17"/>
        <v>17302050</v>
      </c>
      <c r="BX9" s="462">
        <f>'هزينه هاي ثابت و متغير'!E9:E10</f>
        <v>0</v>
      </c>
      <c r="BY9" s="407">
        <f t="shared" si="18"/>
        <v>0</v>
      </c>
      <c r="BZ9" s="451">
        <f t="shared" si="19"/>
        <v>17302050</v>
      </c>
      <c r="CA9" s="455">
        <f>'هزينه هاي ثابت و متغير'!H9:H10</f>
        <v>6</v>
      </c>
      <c r="CB9" s="407" t="str">
        <f>'هزينه هاي ثابت و متغير'!I9:I10</f>
        <v>استهلاك</v>
      </c>
      <c r="CC9" s="407">
        <f>('ex1'!C30-'ex1'!C29)*ex!$BV$9</f>
        <v>-212198203.62035227</v>
      </c>
      <c r="CD9" s="407">
        <f>('ex1'!D30-'ex1'!D29)*ex!$BV$9</f>
        <v>-212198203.62035227</v>
      </c>
      <c r="CE9" s="407">
        <f>('ex1'!E30-'ex1'!E29)*ex!$BV$9</f>
        <v>-212198203.62035227</v>
      </c>
      <c r="CF9" s="407">
        <f>('ex1'!F30-'ex1'!F29)*ex!$BV$9</f>
        <v>-212198203.62035227</v>
      </c>
      <c r="CG9" s="407">
        <f>('ex1'!G30-'ex1'!G29)*ex!$BV$9</f>
        <v>-213773203.62035227</v>
      </c>
      <c r="CH9" s="407">
        <f>('ex1'!H30-'ex1'!H29)*ex!$BV$9</f>
        <v>13837050</v>
      </c>
      <c r="CI9" s="407">
        <f>('ex1'!I30-'ex1'!I29)*ex!$BV$9</f>
        <v>13837050</v>
      </c>
      <c r="CJ9" s="407">
        <f>('ex1'!J30-'ex1'!J29)*ex!$BV$9</f>
        <v>13837050</v>
      </c>
      <c r="CK9" s="407">
        <f>('ex1'!K30-'ex1'!K29)*ex!$BV$9</f>
        <v>13837050</v>
      </c>
      <c r="CL9" s="407">
        <f>('ex1'!L30-'ex1'!L29)*ex!$BV$9</f>
        <v>13837050</v>
      </c>
      <c r="CM9" s="407">
        <f>('ex1'!M30-'ex1'!M29)*ex!$BV$9</f>
        <v>5166000.0000000009</v>
      </c>
      <c r="CN9" s="455">
        <f>'هزينه هاي ثابت و متغير'!U9:U10</f>
        <v>6</v>
      </c>
      <c r="CO9" s="407" t="str">
        <f>'هزينه هاي ثابت و متغير'!V9:V10</f>
        <v>استهلاك</v>
      </c>
      <c r="CP9" s="407">
        <f>'ex1'!C29*$BX$9*B5</f>
        <v>0</v>
      </c>
      <c r="CQ9" s="407">
        <f>'ex1'!D29*$BX$9*C5</f>
        <v>0</v>
      </c>
      <c r="CR9" s="407">
        <f>'ex1'!E29*$BX$9*D5</f>
        <v>0</v>
      </c>
      <c r="CS9" s="407">
        <f>'ex1'!F29*$BX$9*E5</f>
        <v>0</v>
      </c>
      <c r="CT9" s="407">
        <f>'ex1'!G29*$BX$9*F5</f>
        <v>0</v>
      </c>
      <c r="CU9" s="407">
        <f>'ex1'!H29*$BX$9*G5</f>
        <v>0</v>
      </c>
      <c r="CV9" s="407">
        <f>'ex1'!I29*$BX$9*H5</f>
        <v>0</v>
      </c>
      <c r="CW9" s="407">
        <f>'ex1'!J29*$BX$9*I5</f>
        <v>0</v>
      </c>
      <c r="CX9" s="407">
        <f>'ex1'!K29*$BX$9*J5</f>
        <v>0</v>
      </c>
      <c r="CY9" s="407">
        <f>'ex1'!L29*$BX$9*K5</f>
        <v>0</v>
      </c>
      <c r="CZ9" s="407">
        <f>'ex1'!M29*$BX$9*L5</f>
        <v>0</v>
      </c>
      <c r="DA9" s="407"/>
      <c r="DC9" s="442">
        <f>'هزينه هاي ثابت و متغير'!AH9:AH10</f>
        <v>6</v>
      </c>
      <c r="DD9" s="359" t="str">
        <f>'هزينه هاي ثابت و متغير'!AI9:AI10</f>
        <v>استهلاك</v>
      </c>
      <c r="DE9" s="438">
        <f t="shared" si="22"/>
        <v>-212198203.62035227</v>
      </c>
      <c r="DF9" s="438">
        <f t="shared" si="23"/>
        <v>-212198203.62035227</v>
      </c>
      <c r="DG9" s="438">
        <f t="shared" si="24"/>
        <v>-212198203.62035227</v>
      </c>
      <c r="DH9" s="438">
        <f t="shared" si="25"/>
        <v>-212198203.62035227</v>
      </c>
      <c r="DI9" s="438">
        <f t="shared" si="26"/>
        <v>-213773203.62035227</v>
      </c>
      <c r="DJ9" s="438">
        <f t="shared" si="27"/>
        <v>13837050</v>
      </c>
      <c r="DK9" s="438">
        <f t="shared" si="28"/>
        <v>13837050</v>
      </c>
      <c r="DL9" s="438">
        <f t="shared" si="29"/>
        <v>13837050</v>
      </c>
      <c r="DM9" s="438">
        <f t="shared" si="30"/>
        <v>13837050</v>
      </c>
      <c r="DN9" s="438">
        <f t="shared" si="31"/>
        <v>13837050</v>
      </c>
      <c r="DO9" s="438">
        <f t="shared" si="32"/>
        <v>5166000.0000000009</v>
      </c>
      <c r="DT9" s="367">
        <f>'پيش بيني عملكرد سود و زيان'!A10</f>
        <v>6</v>
      </c>
      <c r="DU9" s="368" t="str">
        <f>'پيش بيني عملكرد سود و زيان'!B10</f>
        <v>نگهداري و تعميرات</v>
      </c>
      <c r="DV9" s="368">
        <f t="shared" si="33"/>
        <v>3904500</v>
      </c>
      <c r="DW9" s="368">
        <f t="shared" si="34"/>
        <v>3904500</v>
      </c>
      <c r="DX9" s="368">
        <f t="shared" si="34"/>
        <v>3904500</v>
      </c>
      <c r="DY9" s="368">
        <f t="shared" si="34"/>
        <v>3904500</v>
      </c>
      <c r="DZ9" s="368">
        <f t="shared" si="34"/>
        <v>3904500</v>
      </c>
      <c r="EA9" s="368">
        <f t="shared" si="34"/>
        <v>3904500</v>
      </c>
      <c r="EB9" s="368">
        <f t="shared" si="34"/>
        <v>3904500</v>
      </c>
      <c r="EC9" s="368">
        <f t="shared" si="34"/>
        <v>3904500</v>
      </c>
      <c r="ED9" s="368">
        <f t="shared" si="34"/>
        <v>3904500</v>
      </c>
      <c r="EE9" s="368">
        <f t="shared" si="34"/>
        <v>3904500</v>
      </c>
      <c r="EF9" s="368">
        <f t="shared" si="34"/>
        <v>3904500</v>
      </c>
      <c r="EG9" s="359"/>
      <c r="EH9" s="359"/>
      <c r="EI9" s="430" t="str">
        <f>'ترازنامه ایجادی'!A8</f>
        <v>تنخواه گردان</v>
      </c>
      <c r="EJ9" s="374">
        <f>'ترازنامه ایجادی'!B8</f>
        <v>0</v>
      </c>
      <c r="EK9" s="374">
        <f>Y18</f>
        <v>0</v>
      </c>
      <c r="EL9" s="374">
        <f t="shared" si="39"/>
        <v>0</v>
      </c>
      <c r="EM9" s="374">
        <f t="shared" si="39"/>
        <v>0</v>
      </c>
      <c r="EN9" s="374">
        <f t="shared" si="39"/>
        <v>0</v>
      </c>
      <c r="EO9" s="374">
        <f t="shared" si="39"/>
        <v>0</v>
      </c>
      <c r="EP9" s="374">
        <f t="shared" si="39"/>
        <v>0</v>
      </c>
      <c r="EQ9" s="374">
        <f t="shared" si="39"/>
        <v>0</v>
      </c>
      <c r="ER9" s="374">
        <f t="shared" si="39"/>
        <v>0</v>
      </c>
      <c r="ES9" s="374">
        <f t="shared" si="39"/>
        <v>0</v>
      </c>
      <c r="ET9" s="374">
        <f t="shared" si="39"/>
        <v>0</v>
      </c>
      <c r="EU9" s="374">
        <f t="shared" si="39"/>
        <v>0</v>
      </c>
      <c r="EV9" s="359"/>
      <c r="EW9" s="359"/>
      <c r="EY9" s="457" t="str">
        <f>'جریان نقدینگی'!A9</f>
        <v>کل فروش</v>
      </c>
      <c r="EZ9" s="376">
        <v>0</v>
      </c>
      <c r="FA9" s="376">
        <f>B34</f>
        <v>0</v>
      </c>
      <c r="FB9" s="376">
        <f t="shared" ref="FB9:FL9" si="61">C34</f>
        <v>0</v>
      </c>
      <c r="FC9" s="376">
        <f t="shared" si="61"/>
        <v>0</v>
      </c>
      <c r="FD9" s="376">
        <f t="shared" si="61"/>
        <v>0</v>
      </c>
      <c r="FE9" s="376">
        <f t="shared" si="61"/>
        <v>0</v>
      </c>
      <c r="FF9" s="376">
        <f t="shared" si="61"/>
        <v>0</v>
      </c>
      <c r="FG9" s="376">
        <f t="shared" si="61"/>
        <v>0</v>
      </c>
      <c r="FH9" s="376">
        <f t="shared" si="61"/>
        <v>0</v>
      </c>
      <c r="FI9" s="376">
        <f t="shared" si="61"/>
        <v>0</v>
      </c>
      <c r="FJ9" s="376">
        <f t="shared" si="61"/>
        <v>0</v>
      </c>
      <c r="FK9" s="376">
        <f t="shared" si="61"/>
        <v>0</v>
      </c>
      <c r="FL9" s="376">
        <f t="shared" si="61"/>
        <v>0</v>
      </c>
      <c r="FM9" s="359"/>
      <c r="FN9" s="359"/>
      <c r="FO9" s="359"/>
      <c r="FP9" s="380">
        <f>'جریان نقدینگی تنزیل شده1'!A9</f>
        <v>0</v>
      </c>
      <c r="FQ9" s="376">
        <f>'جریان نقدینگی تنزیل شده1'!B9</f>
        <v>0</v>
      </c>
      <c r="FR9" s="376">
        <f>'جریان نقدینگی تنزیل شده1'!C9</f>
        <v>1</v>
      </c>
      <c r="FS9" s="376">
        <f>'جریان نقدینگی تنزیل شده1'!D9</f>
        <v>2</v>
      </c>
      <c r="FT9" s="376">
        <f>'جریان نقدینگی تنزیل شده1'!E9</f>
        <v>3</v>
      </c>
      <c r="FU9" s="376">
        <f>'جریان نقدینگی تنزیل شده1'!F9</f>
        <v>4</v>
      </c>
      <c r="FV9" s="376">
        <f>'جریان نقدینگی تنزیل شده1'!G9</f>
        <v>5</v>
      </c>
      <c r="FW9" s="376">
        <f>'جریان نقدینگی تنزیل شده1'!H9</f>
        <v>6</v>
      </c>
      <c r="FX9" s="376">
        <f>'جریان نقدینگی تنزیل شده1'!I9</f>
        <v>7</v>
      </c>
      <c r="FY9" s="376">
        <f>'جریان نقدینگی تنزیل شده1'!J9</f>
        <v>8</v>
      </c>
      <c r="FZ9" s="376">
        <f>'جریان نقدینگی تنزیل شده1'!K9</f>
        <v>9</v>
      </c>
      <c r="GA9" s="376">
        <f>'جریان نقدینگی تنزیل شده1'!L9</f>
        <v>10</v>
      </c>
      <c r="GB9" s="381">
        <f>'جریان نقدینگی تنزیل شده1'!M9</f>
        <v>11</v>
      </c>
      <c r="GF9" s="395" t="str">
        <f>'جریان نقدینگی تنزیل شده2'!A9</f>
        <v>سال</v>
      </c>
      <c r="GG9" s="375">
        <f>'جریان نقدینگی تنزیل شده2'!B9</f>
        <v>0</v>
      </c>
      <c r="GH9" s="375">
        <f>'جریان نقدینگی تنزیل شده2'!C9</f>
        <v>1</v>
      </c>
      <c r="GI9" s="375">
        <f>'جریان نقدینگی تنزیل شده2'!D9</f>
        <v>2</v>
      </c>
      <c r="GJ9" s="375">
        <f>'جریان نقدینگی تنزیل شده2'!E9</f>
        <v>3</v>
      </c>
      <c r="GK9" s="375">
        <f>'جریان نقدینگی تنزیل شده2'!F9</f>
        <v>4</v>
      </c>
      <c r="GL9" s="375">
        <f>'جریان نقدینگی تنزیل شده2'!G9</f>
        <v>5</v>
      </c>
      <c r="GM9" s="375">
        <f>'جریان نقدینگی تنزیل شده2'!H9</f>
        <v>6</v>
      </c>
      <c r="GN9" s="375">
        <f>'جریان نقدینگی تنزیل شده2'!I9</f>
        <v>7</v>
      </c>
      <c r="GO9" s="375">
        <f>'جریان نقدینگی تنزیل شده2'!J9</f>
        <v>8</v>
      </c>
      <c r="GP9" s="375">
        <f>'جریان نقدینگی تنزیل شده2'!K9</f>
        <v>9</v>
      </c>
      <c r="GQ9" s="375">
        <f>'جریان نقدینگی تنزیل شده2'!L9</f>
        <v>10</v>
      </c>
      <c r="GR9" s="391">
        <f>'جریان نقدینگی تنزیل شده2'!M9</f>
        <v>11</v>
      </c>
      <c r="GS9" s="373"/>
      <c r="GT9" s="373"/>
      <c r="GU9" s="373"/>
      <c r="GV9" s="373"/>
    </row>
    <row r="10" spans="1:204">
      <c r="A10" s="455">
        <f>'برآورد فروش'!A10</f>
        <v>0</v>
      </c>
      <c r="B10" s="407">
        <f t="shared" si="46"/>
        <v>0</v>
      </c>
      <c r="C10" s="407">
        <f t="shared" si="47"/>
        <v>0</v>
      </c>
      <c r="D10" s="407">
        <f t="shared" si="48"/>
        <v>0</v>
      </c>
      <c r="E10" s="407">
        <f t="shared" si="49"/>
        <v>0</v>
      </c>
      <c r="F10" s="407">
        <f t="shared" si="50"/>
        <v>0</v>
      </c>
      <c r="G10" s="407">
        <f t="shared" si="51"/>
        <v>0</v>
      </c>
      <c r="H10" s="407">
        <f t="shared" si="52"/>
        <v>0</v>
      </c>
      <c r="I10" s="407">
        <f t="shared" si="53"/>
        <v>0</v>
      </c>
      <c r="J10" s="407">
        <f t="shared" si="54"/>
        <v>0</v>
      </c>
      <c r="K10" s="407">
        <f t="shared" si="55"/>
        <v>0</v>
      </c>
      <c r="L10" s="407">
        <f t="shared" si="56"/>
        <v>0</v>
      </c>
      <c r="M10" s="465">
        <f>'برآورد فروش'!M10</f>
        <v>0</v>
      </c>
      <c r="N10" s="407"/>
      <c r="O10" s="407"/>
      <c r="P10" s="455">
        <f>'سرمايه‌‌گذاري طرح'!A10:A11</f>
        <v>7</v>
      </c>
      <c r="Q10" s="407" t="str">
        <f>'سرمايه‌‌گذاري طرح'!B10:B11</f>
        <v>وسائط نقليه</v>
      </c>
      <c r="R10" s="464">
        <f>IF('آنالیز حساسیت'!$C$4=0,'سرمايه‌‌گذاري طرح'!D10,'سرمايه‌‌گذاري طرح'!D10*(1+'آنالیز حساسیت'!$C$4))</f>
        <v>7000000</v>
      </c>
      <c r="S10" s="464">
        <f>IF('آنالیز حساسیت'!$C$4=0,'سرمايه‌‌گذاري طرح'!E10,'سرمايه‌‌گذاري طرح'!E10*(1+'آنالیز حساسیت'!$C$4))</f>
        <v>0</v>
      </c>
      <c r="T10" s="465">
        <f t="shared" si="11"/>
        <v>7000000</v>
      </c>
      <c r="U10" s="407"/>
      <c r="V10" s="407"/>
      <c r="W10" s="407"/>
      <c r="X10" s="407"/>
      <c r="Y10" s="407"/>
      <c r="Z10" s="407"/>
      <c r="AA10" s="407"/>
      <c r="AB10" s="407"/>
      <c r="AC10" s="407"/>
      <c r="AD10" s="407"/>
      <c r="AE10" s="407"/>
      <c r="AF10" s="407"/>
      <c r="AG10" s="407"/>
      <c r="AH10" s="407"/>
      <c r="AI10" s="407"/>
      <c r="AJ10" s="407"/>
      <c r="AK10" s="407"/>
      <c r="AL10" s="455">
        <f>'تعميرات و نگهداري '!A10:A11</f>
        <v>7</v>
      </c>
      <c r="AM10" s="407" t="str">
        <f>'تعميرات و نگهداري '!B10:B11</f>
        <v>ساير هزينه هاي بخش ثابت</v>
      </c>
      <c r="AN10" s="464">
        <f t="shared" si="12"/>
        <v>480000</v>
      </c>
      <c r="AO10" s="464">
        <f t="shared" si="13"/>
        <v>91200000</v>
      </c>
      <c r="AP10" s="462">
        <f>'تعميرات و نگهداري '!E10:E11</f>
        <v>0.1</v>
      </c>
      <c r="AQ10" s="407">
        <f t="shared" si="14"/>
        <v>48000</v>
      </c>
      <c r="AR10" s="407">
        <f t="shared" si="15"/>
        <v>9120000</v>
      </c>
      <c r="AS10" s="451">
        <f t="shared" si="16"/>
        <v>9168000</v>
      </c>
      <c r="AT10" s="407"/>
      <c r="AU10" s="407"/>
      <c r="AV10" s="407"/>
      <c r="AW10" s="407" t="str">
        <f>استهلاك!B11</f>
        <v>ساير هزينه هاي بخش ثابت</v>
      </c>
      <c r="AX10" s="464">
        <f>'ex1'!C11</f>
        <v>480000</v>
      </c>
      <c r="AY10" s="464">
        <f>'ex1'!D11</f>
        <v>91200000</v>
      </c>
      <c r="AZ10" s="562">
        <f>'ex1'!E11</f>
        <v>10</v>
      </c>
      <c r="BA10" s="462">
        <f>'ex1'!F11</f>
        <v>0.1</v>
      </c>
      <c r="BB10" s="464">
        <f>'ex1'!G11</f>
        <v>48000</v>
      </c>
      <c r="BC10" s="464">
        <f>'ex1'!H11</f>
        <v>9120000</v>
      </c>
      <c r="BD10" s="464">
        <f>'ex1'!I11</f>
        <v>9168000</v>
      </c>
      <c r="BE10" s="462">
        <f>'ex1'!J11</f>
        <v>0.1</v>
      </c>
      <c r="BF10" s="464">
        <f>'ex1'!K11</f>
        <v>916800</v>
      </c>
      <c r="BG10" s="464">
        <f>'ex1'!L11</f>
        <v>8251200</v>
      </c>
      <c r="BH10" s="407"/>
      <c r="BI10" s="407"/>
      <c r="BJ10" s="407"/>
      <c r="BK10" s="407"/>
      <c r="BL10" s="407">
        <f>'هزينه هاي توليد'!A9</f>
        <v>7</v>
      </c>
      <c r="BM10" s="407" t="str">
        <f>'هزينه هاي توليد'!B9</f>
        <v>قطعات يدكي (1.5% هزينه هاي سرمايه گذاري بدون زمين)</v>
      </c>
      <c r="BN10" s="407"/>
      <c r="BO10" s="464">
        <f>IF('آنالیز حساسیت'!$A$4=0,(T5+T6+T7+T8+T9+T10+T11+T12)*1.5/100,(T5+T6+T7+T8+T9+T10+T11+T12)*1.5/100*(1+'آنالیز حساسیت'!$A$4))</f>
        <v>2937675</v>
      </c>
      <c r="BP10" s="464">
        <f>BO10*$L$4</f>
        <v>2937675</v>
      </c>
      <c r="BQ10" s="407"/>
      <c r="BR10" s="407"/>
      <c r="BS10" s="407"/>
      <c r="BT10" s="455">
        <f>'هزينه هاي ثابت و متغير'!A10:A11</f>
        <v>7</v>
      </c>
      <c r="BU10" s="407" t="str">
        <f>'هزينه هاي ثابت و متغير'!B10:B11</f>
        <v>قطعات يدكي (1.5% هزينه هاي سرمايه گذاري بدون زمين)</v>
      </c>
      <c r="BV10" s="462">
        <f>'هزينه هاي ثابت و متغير'!C10:C11</f>
        <v>0.4</v>
      </c>
      <c r="BW10" s="407">
        <f t="shared" si="17"/>
        <v>1175070</v>
      </c>
      <c r="BX10" s="462">
        <f>'هزينه هاي ثابت و متغير'!E10:E11</f>
        <v>0.6</v>
      </c>
      <c r="BY10" s="407">
        <f t="shared" si="18"/>
        <v>1762605</v>
      </c>
      <c r="BZ10" s="451">
        <f t="shared" si="19"/>
        <v>2937675</v>
      </c>
      <c r="CA10" s="455">
        <f>'هزينه هاي ثابت و متغير'!H10:H11</f>
        <v>7</v>
      </c>
      <c r="CB10" s="407" t="str">
        <f>'هزينه هاي ثابت و متغير'!I10:I11</f>
        <v>قطعات يدكي (1.5% هزينه هاي سرمايه گذاري بدون زمين)</v>
      </c>
      <c r="CC10" s="407">
        <f>$BZ$10*$BV$10*B3/12</f>
        <v>1175070</v>
      </c>
      <c r="CD10" s="407">
        <f t="shared" ref="CD10:CM10" si="62">$BZ$10*$BV$10*C3/12</f>
        <v>1175070</v>
      </c>
      <c r="CE10" s="407">
        <f t="shared" si="62"/>
        <v>1175070</v>
      </c>
      <c r="CF10" s="407">
        <f t="shared" si="62"/>
        <v>1175070</v>
      </c>
      <c r="CG10" s="407">
        <f t="shared" si="62"/>
        <v>1175070</v>
      </c>
      <c r="CH10" s="407">
        <f t="shared" si="62"/>
        <v>1175070</v>
      </c>
      <c r="CI10" s="407">
        <f t="shared" si="62"/>
        <v>1175070</v>
      </c>
      <c r="CJ10" s="407">
        <f t="shared" si="62"/>
        <v>1175070</v>
      </c>
      <c r="CK10" s="407">
        <f t="shared" si="62"/>
        <v>1175070</v>
      </c>
      <c r="CL10" s="407">
        <f t="shared" si="62"/>
        <v>1175070</v>
      </c>
      <c r="CM10" s="407">
        <f t="shared" si="62"/>
        <v>1175070</v>
      </c>
      <c r="CN10" s="455">
        <f>'هزينه هاي ثابت و متغير'!U10:U11</f>
        <v>7</v>
      </c>
      <c r="CO10" s="407" t="str">
        <f>'هزينه هاي ثابت و متغير'!V10:V11</f>
        <v>قطعات يدكي (1.5% هزينه هاي سرمايه گذاري بدون زمين)</v>
      </c>
      <c r="CP10" s="407">
        <f>$BZ$10*$BX$10*B5</f>
        <v>1762605</v>
      </c>
      <c r="CQ10" s="407">
        <f t="shared" ref="CQ10:CZ10" si="63">$BZ$10*$BX$10*C5</f>
        <v>1762605</v>
      </c>
      <c r="CR10" s="407">
        <f t="shared" si="63"/>
        <v>1762605</v>
      </c>
      <c r="CS10" s="407">
        <f t="shared" si="63"/>
        <v>1762605</v>
      </c>
      <c r="CT10" s="407">
        <f t="shared" si="63"/>
        <v>1762605</v>
      </c>
      <c r="CU10" s="407">
        <f t="shared" si="63"/>
        <v>1762605</v>
      </c>
      <c r="CV10" s="407">
        <f t="shared" si="63"/>
        <v>1762605</v>
      </c>
      <c r="CW10" s="407">
        <f t="shared" si="63"/>
        <v>1762605</v>
      </c>
      <c r="CX10" s="407">
        <f t="shared" si="63"/>
        <v>1762605</v>
      </c>
      <c r="CY10" s="407">
        <f t="shared" si="63"/>
        <v>1762605</v>
      </c>
      <c r="CZ10" s="407">
        <f t="shared" si="63"/>
        <v>1762605</v>
      </c>
      <c r="DA10" s="407"/>
      <c r="DC10" s="442">
        <f>'هزينه هاي ثابت و متغير'!AH10:AH11</f>
        <v>7</v>
      </c>
      <c r="DD10" s="359" t="str">
        <f>'هزينه هاي ثابت و متغير'!AI10:AI11</f>
        <v>قطعات يدكي (1.5% هزينه هاي سرمايه گذاري بدون زمين)</v>
      </c>
      <c r="DE10" s="438">
        <f t="shared" si="22"/>
        <v>2937675</v>
      </c>
      <c r="DF10" s="438">
        <f t="shared" si="23"/>
        <v>2937675</v>
      </c>
      <c r="DG10" s="438">
        <f t="shared" si="24"/>
        <v>2937675</v>
      </c>
      <c r="DH10" s="438">
        <f t="shared" si="25"/>
        <v>2937675</v>
      </c>
      <c r="DI10" s="438">
        <f t="shared" si="26"/>
        <v>2937675</v>
      </c>
      <c r="DJ10" s="438">
        <f t="shared" si="27"/>
        <v>2937675</v>
      </c>
      <c r="DK10" s="438">
        <f t="shared" si="28"/>
        <v>2937675</v>
      </c>
      <c r="DL10" s="438">
        <f t="shared" si="29"/>
        <v>2937675</v>
      </c>
      <c r="DM10" s="438">
        <f t="shared" si="30"/>
        <v>2937675</v>
      </c>
      <c r="DN10" s="438">
        <f t="shared" si="31"/>
        <v>2937675</v>
      </c>
      <c r="DO10" s="438">
        <f t="shared" si="32"/>
        <v>2937675</v>
      </c>
      <c r="DT10" s="363">
        <f>'پيش بيني عملكرد سود و زيان'!A11</f>
        <v>7</v>
      </c>
      <c r="DU10" s="361" t="str">
        <f>'پيش بيني عملكرد سود و زيان'!B11</f>
        <v>استهلاك</v>
      </c>
      <c r="DV10" s="361">
        <f t="shared" si="33"/>
        <v>-212198203.62035227</v>
      </c>
      <c r="DW10" s="361">
        <f t="shared" ref="DW10:EF12" si="64">DF9</f>
        <v>-212198203.62035227</v>
      </c>
      <c r="DX10" s="361">
        <f t="shared" si="64"/>
        <v>-212198203.62035227</v>
      </c>
      <c r="DY10" s="361">
        <f t="shared" si="64"/>
        <v>-212198203.62035227</v>
      </c>
      <c r="DZ10" s="361">
        <f t="shared" si="64"/>
        <v>-213773203.62035227</v>
      </c>
      <c r="EA10" s="361">
        <f t="shared" si="64"/>
        <v>13837050</v>
      </c>
      <c r="EB10" s="361">
        <f t="shared" si="64"/>
        <v>13837050</v>
      </c>
      <c r="EC10" s="361">
        <f t="shared" si="64"/>
        <v>13837050</v>
      </c>
      <c r="ED10" s="361">
        <f t="shared" si="64"/>
        <v>13837050</v>
      </c>
      <c r="EE10" s="361">
        <f t="shared" si="64"/>
        <v>13837050</v>
      </c>
      <c r="EF10" s="361">
        <f t="shared" si="64"/>
        <v>5166000.0000000009</v>
      </c>
      <c r="EG10" s="359"/>
      <c r="EH10" s="359"/>
      <c r="EI10" s="430" t="str">
        <f>'ترازنامه ایجادی'!A9</f>
        <v>موجودی کالای در جریال ساخت</v>
      </c>
      <c r="EJ10" s="374">
        <f>'ترازنامه ایجادی'!B9</f>
        <v>0</v>
      </c>
      <c r="EK10" s="374">
        <f>Y19</f>
        <v>0</v>
      </c>
      <c r="EL10" s="374">
        <f t="shared" si="39"/>
        <v>0</v>
      </c>
      <c r="EM10" s="374">
        <f t="shared" si="39"/>
        <v>0</v>
      </c>
      <c r="EN10" s="374">
        <f t="shared" si="39"/>
        <v>0</v>
      </c>
      <c r="EO10" s="374">
        <f t="shared" si="39"/>
        <v>0</v>
      </c>
      <c r="EP10" s="374">
        <f t="shared" si="39"/>
        <v>0</v>
      </c>
      <c r="EQ10" s="374">
        <f t="shared" si="39"/>
        <v>0</v>
      </c>
      <c r="ER10" s="374">
        <f t="shared" si="39"/>
        <v>0</v>
      </c>
      <c r="ES10" s="374">
        <f t="shared" si="39"/>
        <v>0</v>
      </c>
      <c r="ET10" s="374">
        <f t="shared" si="39"/>
        <v>0</v>
      </c>
      <c r="EU10" s="374">
        <f t="shared" si="39"/>
        <v>0</v>
      </c>
      <c r="EV10" s="359"/>
      <c r="EW10" s="359"/>
      <c r="EY10" s="457" t="str">
        <f>'جریان نقدینگی'!A10</f>
        <v>سایر درآمدها</v>
      </c>
      <c r="EZ10" s="376">
        <f>'جریان نقدینگی'!B10</f>
        <v>0</v>
      </c>
      <c r="FA10" s="376">
        <f>'جریان نقدینگی'!C10</f>
        <v>0</v>
      </c>
      <c r="FB10" s="376">
        <f>'جریان نقدینگی'!D10</f>
        <v>0</v>
      </c>
      <c r="FC10" s="376">
        <f>'جریان نقدینگی'!E10</f>
        <v>0</v>
      </c>
      <c r="FD10" s="376">
        <f>'جریان نقدینگی'!F10</f>
        <v>0</v>
      </c>
      <c r="FE10" s="376">
        <f>'جریان نقدینگی'!G10</f>
        <v>0</v>
      </c>
      <c r="FF10" s="376">
        <f>'جریان نقدینگی'!H10</f>
        <v>0</v>
      </c>
      <c r="FG10" s="376">
        <f>'جریان نقدینگی'!I10</f>
        <v>0</v>
      </c>
      <c r="FH10" s="376">
        <f>'جریان نقدینگی'!J10</f>
        <v>0</v>
      </c>
      <c r="FI10" s="376">
        <f>'جریان نقدینگی'!K10</f>
        <v>0</v>
      </c>
      <c r="FJ10" s="376">
        <f>'جریان نقدینگی'!L10</f>
        <v>0</v>
      </c>
      <c r="FK10" s="376">
        <f>'جریان نقدینگی'!M10</f>
        <v>0</v>
      </c>
      <c r="FL10" s="381">
        <f>'جریان نقدینگی'!N10</f>
        <v>137916640.90019572</v>
      </c>
      <c r="FM10" s="359"/>
      <c r="FN10" s="359"/>
      <c r="FO10" s="359"/>
      <c r="FP10" s="380" t="str">
        <f>'جریان نقدینگی تنزیل شده1'!A10</f>
        <v>سال</v>
      </c>
      <c r="FQ10" s="376">
        <f>'جریان نقدینگی تنزیل شده1'!B10</f>
        <v>0</v>
      </c>
      <c r="FR10" s="376">
        <f>'جریان نقدینگی تنزیل شده1'!C10</f>
        <v>1</v>
      </c>
      <c r="FS10" s="376">
        <f>'جریان نقدینگی تنزیل شده1'!D10</f>
        <v>2</v>
      </c>
      <c r="FT10" s="376">
        <f>'جریان نقدینگی تنزیل شده1'!E10</f>
        <v>3</v>
      </c>
      <c r="FU10" s="376">
        <f>'جریان نقدینگی تنزیل شده1'!F10</f>
        <v>4</v>
      </c>
      <c r="FV10" s="376">
        <f>'جریان نقدینگی تنزیل شده1'!G10</f>
        <v>5</v>
      </c>
      <c r="FW10" s="376">
        <f>'جریان نقدینگی تنزیل شده1'!H10</f>
        <v>6</v>
      </c>
      <c r="FX10" s="376">
        <f>'جریان نقدینگی تنزیل شده1'!I10</f>
        <v>7</v>
      </c>
      <c r="FY10" s="376">
        <f>'جریان نقدینگی تنزیل شده1'!J10</f>
        <v>8</v>
      </c>
      <c r="FZ10" s="376">
        <f>'جریان نقدینگی تنزیل شده1'!K10</f>
        <v>9</v>
      </c>
      <c r="GA10" s="376">
        <f>'جریان نقدینگی تنزیل شده1'!L10</f>
        <v>10</v>
      </c>
      <c r="GB10" s="381">
        <f>'جریان نقدینگی تنزیل شده1'!M10</f>
        <v>11</v>
      </c>
      <c r="GF10" s="395" t="str">
        <f>'جریان نقدینگی تنزیل شده2'!A10</f>
        <v>ارزش خالص فعلی</v>
      </c>
      <c r="GG10" s="375">
        <f>GG6/(1+مفروضات!$B$13)^GG9</f>
        <v>-1476747244.7889817</v>
      </c>
      <c r="GH10" s="375">
        <f>GH6/(1+مفروضات!$B$13)^GH9</f>
        <v>-52056202.629032254</v>
      </c>
      <c r="GI10" s="375">
        <f>GI6/(1+مفروضات!$B$13)^GI9</f>
        <v>-37268205.319979183</v>
      </c>
      <c r="GJ10" s="375">
        <f>GJ6/(1+مفروضات!$B$13)^GJ9</f>
        <v>-30055004.290305797</v>
      </c>
      <c r="GK10" s="375">
        <f>GK6/(1+مفروضات!$B$13)^GK9</f>
        <v>-24237906.68573048</v>
      </c>
      <c r="GL10" s="375">
        <f>GL6/(1+مفروضات!$B$13)^GL9</f>
        <v>-19546698.940105226</v>
      </c>
      <c r="GM10" s="375">
        <f>GM6/(1+مفروضات!$B$13)^GM9</f>
        <v>-15763466.887181632</v>
      </c>
      <c r="GN10" s="375">
        <f>GN6/(1+مفروضات!$B$13)^GN9</f>
        <v>-12712473.296114219</v>
      </c>
      <c r="GO10" s="375">
        <f>GO6/(1+مفروضات!$B$13)^GO9</f>
        <v>-10251994.593640501</v>
      </c>
      <c r="GP10" s="375">
        <f>GP6/(1+مفروضات!$B$13)^GP9</f>
        <v>-8267737.5755165322</v>
      </c>
      <c r="GQ10" s="375">
        <f>GQ6/(1+مفروضات!$B$13)^GQ9</f>
        <v>-6667530.3028359124</v>
      </c>
      <c r="GR10" s="391">
        <f>GR6/(1+مفروضات!$B$13)^GR9</f>
        <v>-5377040.5668031555</v>
      </c>
      <c r="GS10" s="373"/>
      <c r="GT10" s="373"/>
      <c r="GU10" s="373"/>
      <c r="GV10" s="373"/>
    </row>
    <row r="11" spans="1:204" ht="15.6" thickBot="1">
      <c r="A11" s="455">
        <f>'برآورد فروش'!A11</f>
        <v>0</v>
      </c>
      <c r="B11" s="407">
        <f t="shared" si="46"/>
        <v>0</v>
      </c>
      <c r="C11" s="407">
        <f t="shared" si="47"/>
        <v>0</v>
      </c>
      <c r="D11" s="407">
        <f t="shared" si="48"/>
        <v>0</v>
      </c>
      <c r="E11" s="407">
        <f t="shared" si="49"/>
        <v>0</v>
      </c>
      <c r="F11" s="407">
        <f t="shared" si="50"/>
        <v>0</v>
      </c>
      <c r="G11" s="407">
        <f t="shared" si="51"/>
        <v>0</v>
      </c>
      <c r="H11" s="407">
        <f t="shared" si="52"/>
        <v>0</v>
      </c>
      <c r="I11" s="407">
        <f t="shared" si="53"/>
        <v>0</v>
      </c>
      <c r="J11" s="407">
        <f t="shared" si="54"/>
        <v>0</v>
      </c>
      <c r="K11" s="407">
        <f t="shared" si="55"/>
        <v>0</v>
      </c>
      <c r="L11" s="407">
        <f t="shared" si="56"/>
        <v>0</v>
      </c>
      <c r="M11" s="465">
        <f>'برآورد فروش'!M11</f>
        <v>0</v>
      </c>
      <c r="N11" s="407"/>
      <c r="O11" s="407"/>
      <c r="P11" s="455">
        <f>'سرمايه‌‌گذاري طرح'!A11:A12</f>
        <v>8</v>
      </c>
      <c r="Q11" s="407" t="str">
        <f>'سرمايه‌‌گذاري طرح'!B11:B12</f>
        <v>ساير هزينه هاي بخش ثابت</v>
      </c>
      <c r="R11" s="464">
        <f>IF('آنالیز حساسیت'!$C$4=0,'سرمايه‌‌گذاري طرح'!D11,'سرمايه‌‌گذاري طرح'!D11*(1+'آنالیز حساسیت'!$C$4))</f>
        <v>480000</v>
      </c>
      <c r="S11" s="464">
        <f>IF('آنالیز حساسیت'!$C$4=0,'سرمايه‌‌گذاري طرح'!E11,'سرمايه‌‌گذاري طرح'!E11*(1+'آنالیز حساسیت'!$C$4))</f>
        <v>91200000</v>
      </c>
      <c r="T11" s="465">
        <f t="shared" si="11"/>
        <v>91680000</v>
      </c>
      <c r="U11" s="407"/>
      <c r="V11" s="407"/>
      <c r="W11" s="407"/>
      <c r="X11" s="407"/>
      <c r="Y11" s="407"/>
      <c r="Z11" s="407"/>
      <c r="AA11" s="407"/>
      <c r="AB11" s="407"/>
      <c r="AC11" s="407"/>
      <c r="AD11" s="407"/>
      <c r="AE11" s="407"/>
      <c r="AF11" s="407"/>
      <c r="AG11" s="407"/>
      <c r="AH11" s="407"/>
      <c r="AI11" s="407"/>
      <c r="AJ11" s="407"/>
      <c r="AK11" s="407"/>
      <c r="AL11" s="455">
        <f>'تعميرات و نگهداري '!A11:A12</f>
        <v>8</v>
      </c>
      <c r="AM11" s="407" t="str">
        <f>'تعميرات و نگهداري '!B11:B12</f>
        <v>هزينه‌هاي پيش‌بيني‌نشده‌</v>
      </c>
      <c r="AN11" s="464">
        <f t="shared" si="12"/>
        <v>0</v>
      </c>
      <c r="AO11" s="464">
        <f t="shared" si="13"/>
        <v>4665000</v>
      </c>
      <c r="AP11" s="462">
        <f>'تعميرات و نگهداري '!E11:E12</f>
        <v>0.1</v>
      </c>
      <c r="AQ11" s="407">
        <f t="shared" si="14"/>
        <v>0</v>
      </c>
      <c r="AR11" s="407">
        <f t="shared" si="15"/>
        <v>466500</v>
      </c>
      <c r="AS11" s="451">
        <f t="shared" si="16"/>
        <v>466500</v>
      </c>
      <c r="AT11" s="407"/>
      <c r="AU11" s="407"/>
      <c r="AV11" s="407"/>
      <c r="AW11" s="407" t="str">
        <f>استهلاك!B12</f>
        <v>هزينه‌هاي پيش‌بيني‌نشده‌</v>
      </c>
      <c r="AX11" s="464">
        <f>'ex1'!C12</f>
        <v>0</v>
      </c>
      <c r="AY11" s="464">
        <f>'ex1'!D12</f>
        <v>4665000</v>
      </c>
      <c r="AZ11" s="562">
        <f>'ex1'!E12</f>
        <v>10</v>
      </c>
      <c r="BA11" s="462">
        <f>'ex1'!F12</f>
        <v>0.1</v>
      </c>
      <c r="BB11" s="464">
        <f>'ex1'!G12</f>
        <v>0</v>
      </c>
      <c r="BC11" s="464">
        <f>'ex1'!H12</f>
        <v>466500</v>
      </c>
      <c r="BD11" s="464">
        <f>'ex1'!I12</f>
        <v>466500</v>
      </c>
      <c r="BE11" s="462">
        <f>'ex1'!J12</f>
        <v>0.1</v>
      </c>
      <c r="BF11" s="464">
        <f>'ex1'!K12</f>
        <v>46650</v>
      </c>
      <c r="BG11" s="464">
        <f>'ex1'!L12</f>
        <v>419850</v>
      </c>
      <c r="BH11" s="407"/>
      <c r="BI11" s="407"/>
      <c r="BJ11" s="407"/>
      <c r="BK11" s="407"/>
      <c r="BL11" s="407">
        <f>'هزينه هاي توليد'!A10</f>
        <v>8</v>
      </c>
      <c r="BM11" s="407" t="str">
        <f>'هزينه هاي توليد'!B10</f>
        <v>پيش بيني نشده بدون احتساب استهلاك</v>
      </c>
      <c r="BN11" s="472">
        <f>'هزينه هاي توليد'!C10</f>
        <v>0.1</v>
      </c>
      <c r="BO11" s="464">
        <f>(SUM(BO4:BO10)-BO9)*BN11</f>
        <v>2695417.5</v>
      </c>
      <c r="BP11" s="464">
        <f>BO11*$L$4</f>
        <v>2695417.5</v>
      </c>
      <c r="BQ11" s="407"/>
      <c r="BR11" s="407"/>
      <c r="BS11" s="407"/>
      <c r="BT11" s="455">
        <f>'هزينه هاي ثابت و متغير'!A11:A12</f>
        <v>8</v>
      </c>
      <c r="BU11" s="407" t="str">
        <f>'هزينه هاي ثابت و متغير'!B11:B12</f>
        <v>پيش بيني نشده بدون احتساب استهلاك</v>
      </c>
      <c r="BV11" s="462">
        <f>'هزينه هاي ثابت و متغير'!C11:C12</f>
        <v>0.5</v>
      </c>
      <c r="BW11" s="407">
        <f t="shared" si="17"/>
        <v>1347708.75</v>
      </c>
      <c r="BX11" s="462">
        <f>'هزينه هاي ثابت و متغير'!E11:E12</f>
        <v>0.5</v>
      </c>
      <c r="BY11" s="407">
        <f t="shared" si="18"/>
        <v>1347708.75</v>
      </c>
      <c r="BZ11" s="451">
        <f>BP11</f>
        <v>2695417.5</v>
      </c>
      <c r="CA11" s="455">
        <f>'هزينه هاي ثابت و متغير'!H11:H12</f>
        <v>8</v>
      </c>
      <c r="CB11" s="407" t="str">
        <f>'هزينه هاي ثابت و متغير'!I11:I12</f>
        <v>پيش بيني نشده بدون احتساب استهلاك</v>
      </c>
      <c r="CC11" s="407">
        <f>$BZ$11*$BV$11*B3/12</f>
        <v>1347708.75</v>
      </c>
      <c r="CD11" s="407">
        <f t="shared" ref="CD11:CM11" si="65">$BZ$11*$BV$11*C3/12</f>
        <v>1347708.75</v>
      </c>
      <c r="CE11" s="407">
        <f t="shared" si="65"/>
        <v>1347708.75</v>
      </c>
      <c r="CF11" s="407">
        <f t="shared" si="65"/>
        <v>1347708.75</v>
      </c>
      <c r="CG11" s="407">
        <f t="shared" si="65"/>
        <v>1347708.75</v>
      </c>
      <c r="CH11" s="407">
        <f t="shared" si="65"/>
        <v>1347708.75</v>
      </c>
      <c r="CI11" s="407">
        <f t="shared" si="65"/>
        <v>1347708.75</v>
      </c>
      <c r="CJ11" s="407">
        <f t="shared" si="65"/>
        <v>1347708.75</v>
      </c>
      <c r="CK11" s="407">
        <f t="shared" si="65"/>
        <v>1347708.75</v>
      </c>
      <c r="CL11" s="407">
        <f t="shared" si="65"/>
        <v>1347708.75</v>
      </c>
      <c r="CM11" s="407">
        <f t="shared" si="65"/>
        <v>1347708.75</v>
      </c>
      <c r="CN11" s="455">
        <f>'هزينه هاي ثابت و متغير'!U11:U12</f>
        <v>8</v>
      </c>
      <c r="CO11" s="407" t="str">
        <f>'هزينه هاي ثابت و متغير'!V11:V12</f>
        <v>پيش بيني نشده بدون احتساب استهلاك</v>
      </c>
      <c r="CP11" s="407">
        <f>$BZ$11*$BX$11*B5</f>
        <v>1347708.75</v>
      </c>
      <c r="CQ11" s="407">
        <f t="shared" ref="CQ11:CZ11" si="66">$BZ$11*$BX$11*C5</f>
        <v>1347708.75</v>
      </c>
      <c r="CR11" s="407">
        <f t="shared" si="66"/>
        <v>1347708.75</v>
      </c>
      <c r="CS11" s="407">
        <f t="shared" si="66"/>
        <v>1347708.75</v>
      </c>
      <c r="CT11" s="407">
        <f t="shared" si="66"/>
        <v>1347708.75</v>
      </c>
      <c r="CU11" s="407">
        <f t="shared" si="66"/>
        <v>1347708.75</v>
      </c>
      <c r="CV11" s="407">
        <f t="shared" si="66"/>
        <v>1347708.75</v>
      </c>
      <c r="CW11" s="407">
        <f t="shared" si="66"/>
        <v>1347708.75</v>
      </c>
      <c r="CX11" s="407">
        <f t="shared" si="66"/>
        <v>1347708.75</v>
      </c>
      <c r="CY11" s="407">
        <f t="shared" si="66"/>
        <v>1347708.75</v>
      </c>
      <c r="CZ11" s="407">
        <f t="shared" si="66"/>
        <v>1347708.75</v>
      </c>
      <c r="DA11" s="407"/>
      <c r="DC11" s="442">
        <f>'هزينه هاي ثابت و متغير'!AH11:AH12</f>
        <v>8</v>
      </c>
      <c r="DD11" s="359" t="str">
        <f>'هزينه هاي ثابت و متغير'!AI11:AI12</f>
        <v>پيش بيني نشده بدون احتساب استهلاك</v>
      </c>
      <c r="DE11" s="438">
        <f t="shared" si="22"/>
        <v>2695417.5</v>
      </c>
      <c r="DF11" s="438">
        <f t="shared" si="23"/>
        <v>2695417.5</v>
      </c>
      <c r="DG11" s="438">
        <f t="shared" si="24"/>
        <v>2695417.5</v>
      </c>
      <c r="DH11" s="438">
        <f t="shared" si="25"/>
        <v>2695417.5</v>
      </c>
      <c r="DI11" s="438">
        <f t="shared" si="26"/>
        <v>2695417.5</v>
      </c>
      <c r="DJ11" s="438">
        <f t="shared" si="27"/>
        <v>2695417.5</v>
      </c>
      <c r="DK11" s="438">
        <f t="shared" si="28"/>
        <v>2695417.5</v>
      </c>
      <c r="DL11" s="438">
        <f t="shared" si="29"/>
        <v>2695417.5</v>
      </c>
      <c r="DM11" s="438">
        <f t="shared" si="30"/>
        <v>2695417.5</v>
      </c>
      <c r="DN11" s="438">
        <f t="shared" si="31"/>
        <v>2695417.5</v>
      </c>
      <c r="DO11" s="438">
        <f t="shared" si="32"/>
        <v>2695417.5</v>
      </c>
      <c r="DT11" s="367">
        <f>'پيش بيني عملكرد سود و زيان'!A12</f>
        <v>8</v>
      </c>
      <c r="DU11" s="368" t="str">
        <f>'پيش بيني عملكرد سود و زيان'!B12</f>
        <v>قطعات يدكي (1.5% هزينه هاي سرمايه گذاري بدون زمين)</v>
      </c>
      <c r="DV11" s="368">
        <f t="shared" si="33"/>
        <v>2937675</v>
      </c>
      <c r="DW11" s="368">
        <f t="shared" si="64"/>
        <v>2937675</v>
      </c>
      <c r="DX11" s="368">
        <f t="shared" si="64"/>
        <v>2937675</v>
      </c>
      <c r="DY11" s="368">
        <f t="shared" si="64"/>
        <v>2937675</v>
      </c>
      <c r="DZ11" s="368">
        <f t="shared" si="64"/>
        <v>2937675</v>
      </c>
      <c r="EA11" s="368">
        <f t="shared" si="64"/>
        <v>2937675</v>
      </c>
      <c r="EB11" s="368">
        <f t="shared" si="64"/>
        <v>2937675</v>
      </c>
      <c r="EC11" s="368">
        <f t="shared" si="64"/>
        <v>2937675</v>
      </c>
      <c r="ED11" s="368">
        <f t="shared" si="64"/>
        <v>2937675</v>
      </c>
      <c r="EE11" s="368">
        <f t="shared" si="64"/>
        <v>2937675</v>
      </c>
      <c r="EF11" s="368">
        <f t="shared" si="64"/>
        <v>2937675</v>
      </c>
      <c r="EG11" s="359"/>
      <c r="EH11" s="359"/>
      <c r="EI11" s="430" t="str">
        <f>'ترازنامه ایجادی'!A10</f>
        <v>مازاد (كسري ) منابع</v>
      </c>
      <c r="EJ11" s="374">
        <f>'ترازنامه ایجادی'!B10</f>
        <v>0</v>
      </c>
      <c r="EK11" s="374">
        <f>FA21</f>
        <v>-58648855.472975165</v>
      </c>
      <c r="EL11" s="374">
        <f t="shared" ref="EL11:EU11" si="67">FB21</f>
        <v>-115952447.97297516</v>
      </c>
      <c r="EM11" s="374">
        <f t="shared" si="67"/>
        <v>-173256040.47297516</v>
      </c>
      <c r="EN11" s="374">
        <f t="shared" si="67"/>
        <v>-230559632.97297516</v>
      </c>
      <c r="EO11" s="374">
        <f t="shared" si="67"/>
        <v>-287863225.47297513</v>
      </c>
      <c r="EP11" s="374">
        <f t="shared" si="67"/>
        <v>-345166817.97297513</v>
      </c>
      <c r="EQ11" s="374">
        <f t="shared" si="67"/>
        <v>-402470410.47297513</v>
      </c>
      <c r="ER11" s="374">
        <f t="shared" si="67"/>
        <v>-459774002.97297513</v>
      </c>
      <c r="ES11" s="374">
        <f t="shared" si="67"/>
        <v>-517077595.47297513</v>
      </c>
      <c r="ET11" s="374">
        <f t="shared" si="67"/>
        <v>-574381187.97297513</v>
      </c>
      <c r="EU11" s="374">
        <f t="shared" si="67"/>
        <v>-631684780.47297513</v>
      </c>
      <c r="EV11" s="359"/>
      <c r="EW11" s="359"/>
      <c r="EY11" s="380" t="str">
        <f>'جریان نقدینگی'!A11</f>
        <v>کل جریان خروجی</v>
      </c>
      <c r="EZ11" s="376">
        <f>SUM(EZ13:EZ19)</f>
        <v>1470846409.0019569</v>
      </c>
      <c r="FA11" s="376">
        <f>SUM(FA13:FA19)</f>
        <v>61119654.847975165</v>
      </c>
      <c r="FB11" s="376">
        <f t="shared" ref="FB11:FL11" si="68">SUM(FB13:FB19)</f>
        <v>57303592.5</v>
      </c>
      <c r="FC11" s="376">
        <f t="shared" si="68"/>
        <v>57303592.5</v>
      </c>
      <c r="FD11" s="376">
        <f t="shared" si="68"/>
        <v>57303592.5</v>
      </c>
      <c r="FE11" s="376">
        <f t="shared" si="68"/>
        <v>57303592.5</v>
      </c>
      <c r="FF11" s="376">
        <f t="shared" si="68"/>
        <v>57303592.5</v>
      </c>
      <c r="FG11" s="376">
        <f t="shared" si="68"/>
        <v>57303592.5</v>
      </c>
      <c r="FH11" s="376">
        <f t="shared" si="68"/>
        <v>57303592.5</v>
      </c>
      <c r="FI11" s="376">
        <f t="shared" si="68"/>
        <v>57303592.5</v>
      </c>
      <c r="FJ11" s="376">
        <f t="shared" si="68"/>
        <v>57303592.5</v>
      </c>
      <c r="FK11" s="376">
        <f t="shared" si="68"/>
        <v>57303592.5</v>
      </c>
      <c r="FL11" s="381">
        <f t="shared" si="68"/>
        <v>0</v>
      </c>
      <c r="FM11" s="359"/>
      <c r="FN11" s="359"/>
      <c r="FO11" s="359"/>
      <c r="FP11" s="380" t="str">
        <f>'جریان نقدینگی تنزیل شده1'!A11</f>
        <v xml:space="preserve">ارزش خالص فعلی </v>
      </c>
      <c r="FQ11" s="376">
        <f>FQ7/(1+مفروضات!$B$12)^FQ10</f>
        <v>-1470846409.0019569</v>
      </c>
      <c r="FR11" s="376">
        <f>FR7/(1+مفروضات!$B$12)^FR10</f>
        <v>-50230581.407563031</v>
      </c>
      <c r="FS11" s="376">
        <f>FS7/(1+مفروضات!$B$12)^FS10</f>
        <v>-40465781.01828967</v>
      </c>
      <c r="FT11" s="376">
        <f>FT7/(1+مفروضات!$B$12)^FT10</f>
        <v>-34004857.998562753</v>
      </c>
      <c r="FU11" s="376">
        <f>FU7/(1+مفروضات!$B$12)^FU10</f>
        <v>-28575510.923161976</v>
      </c>
      <c r="FV11" s="376">
        <f>FV7/(1+مفروضات!$B$12)^FV10</f>
        <v>-24013034.389211744</v>
      </c>
      <c r="FW11" s="376">
        <f>FW7/(1+مفروضات!$B$12)^FW10</f>
        <v>-20179020.495135922</v>
      </c>
      <c r="FX11" s="376">
        <f>FX7/(1+مفروضات!$B$12)^FX10</f>
        <v>-16957160.079946153</v>
      </c>
      <c r="FY11" s="376">
        <f>FY7/(1+مفروضات!$B$12)^FY10</f>
        <v>-14249714.352895925</v>
      </c>
      <c r="FZ11" s="376">
        <f>FZ7/(1+مفروضات!$B$12)^FZ10</f>
        <v>-11974549.876383131</v>
      </c>
      <c r="GA11" s="376">
        <f>GA7/(1+مفروضات!$B$12)^GA10</f>
        <v>-10062646.954943808</v>
      </c>
      <c r="GB11" s="381">
        <f>GB7/(1+مفروضات!$B$12)^GB10</f>
        <v>-8456005.8444905952</v>
      </c>
      <c r="GF11" s="396" t="str">
        <f>'جریان نقدینگی تنزیل شده2'!A11</f>
        <v>جمع تجمعی ارزش خالص فعلی</v>
      </c>
      <c r="GG11" s="392">
        <f>SUM(GG10:GR10)</f>
        <v>-1698951505.8762267</v>
      </c>
      <c r="GH11" s="392">
        <f>'جریان نقدینگی تنزیل شده2'!C11</f>
        <v>0</v>
      </c>
      <c r="GI11" s="392">
        <f>'جریان نقدینگی تنزیل شده2'!D11</f>
        <v>0</v>
      </c>
      <c r="GJ11" s="392">
        <f>'جریان نقدینگی تنزیل شده2'!E11</f>
        <v>0</v>
      </c>
      <c r="GK11" s="392">
        <f>'جریان نقدینگی تنزیل شده2'!F11</f>
        <v>0</v>
      </c>
      <c r="GL11" s="392">
        <f>'جریان نقدینگی تنزیل شده2'!G11</f>
        <v>0</v>
      </c>
      <c r="GM11" s="392">
        <f>'جریان نقدینگی تنزیل شده2'!H11</f>
        <v>0</v>
      </c>
      <c r="GN11" s="392">
        <f>'جریان نقدینگی تنزیل شده2'!I11</f>
        <v>0</v>
      </c>
      <c r="GO11" s="392">
        <f>'جریان نقدینگی تنزیل شده2'!J11</f>
        <v>0</v>
      </c>
      <c r="GP11" s="392">
        <f>'جریان نقدینگی تنزیل شده2'!K11</f>
        <v>0</v>
      </c>
      <c r="GQ11" s="392">
        <f>'جریان نقدینگی تنزیل شده2'!L11</f>
        <v>0</v>
      </c>
      <c r="GR11" s="393">
        <f>'جریان نقدینگی تنزیل شده2'!M11</f>
        <v>0</v>
      </c>
      <c r="GS11" s="373"/>
      <c r="GT11" s="373"/>
      <c r="GU11" s="373"/>
      <c r="GV11" s="373"/>
    </row>
    <row r="12" spans="1:204" ht="16.2" thickBot="1">
      <c r="A12" s="455">
        <f>'برآورد فروش'!A12</f>
        <v>0</v>
      </c>
      <c r="B12" s="407">
        <f t="shared" si="46"/>
        <v>0</v>
      </c>
      <c r="C12" s="407">
        <f t="shared" si="47"/>
        <v>0</v>
      </c>
      <c r="D12" s="407">
        <f t="shared" si="48"/>
        <v>0</v>
      </c>
      <c r="E12" s="407">
        <f t="shared" si="49"/>
        <v>0</v>
      </c>
      <c r="F12" s="407">
        <f t="shared" si="50"/>
        <v>0</v>
      </c>
      <c r="G12" s="407">
        <f t="shared" si="51"/>
        <v>0</v>
      </c>
      <c r="H12" s="407">
        <f t="shared" si="52"/>
        <v>0</v>
      </c>
      <c r="I12" s="407">
        <f t="shared" si="53"/>
        <v>0</v>
      </c>
      <c r="J12" s="407">
        <f t="shared" si="54"/>
        <v>0</v>
      </c>
      <c r="K12" s="407">
        <f t="shared" si="55"/>
        <v>0</v>
      </c>
      <c r="L12" s="407">
        <f t="shared" si="56"/>
        <v>0</v>
      </c>
      <c r="M12" s="465">
        <f>'برآورد فروش'!M12</f>
        <v>0</v>
      </c>
      <c r="N12" s="407"/>
      <c r="O12" s="407"/>
      <c r="P12" s="455">
        <f>'سرمايه‌‌گذاري طرح'!A12:A13</f>
        <v>9</v>
      </c>
      <c r="Q12" s="407" t="str">
        <f>'سرمايه‌‌گذاري طرح'!B12:B13</f>
        <v>هزينه‌هاي پيش‌بيني‌نشده‌</v>
      </c>
      <c r="R12" s="464">
        <f>IF('آنالیز حساسیت'!$C$4=0,'سرمايه‌‌گذاري طرح'!D12,'سرمايه‌‌گذاري طرح'!D12*(1+'آنالیز حساسیت'!$C$4))</f>
        <v>0</v>
      </c>
      <c r="S12" s="464">
        <f>IF('آنالیز حساسیت'!$C$4=0,'سرمايه‌‌گذاري طرح'!E12,'سرمايه‌‌گذاري طرح'!E12*(1+'آنالیز حساسیت'!$C$4))</f>
        <v>4665000</v>
      </c>
      <c r="T12" s="465">
        <f t="shared" si="11"/>
        <v>4665000</v>
      </c>
      <c r="U12" s="407"/>
      <c r="V12" s="407"/>
      <c r="W12" s="407"/>
      <c r="X12" s="407" t="str">
        <f>'سرمايه در گردش'!B12</f>
        <v>سرمايه در گردش سالیانه (ارقام به هزار ريال)</v>
      </c>
      <c r="Y12" s="407"/>
      <c r="Z12" s="407"/>
      <c r="AA12" s="407"/>
      <c r="AB12" s="407"/>
      <c r="AC12" s="407"/>
      <c r="AD12" s="407"/>
      <c r="AE12" s="407"/>
      <c r="AF12" s="407"/>
      <c r="AG12" s="407"/>
      <c r="AH12" s="407"/>
      <c r="AI12" s="407"/>
      <c r="AJ12" s="407"/>
      <c r="AK12" s="407"/>
      <c r="AL12" s="1133" t="str">
        <f>'تعميرات و نگهداري '!A12:A13</f>
        <v xml:space="preserve">جمع </v>
      </c>
      <c r="AM12" s="1134"/>
      <c r="AN12" s="466">
        <f>SUM(AN4:AN11)</f>
        <v>72880000</v>
      </c>
      <c r="AO12" s="466">
        <f>SUM(AO4:AO11)</f>
        <v>122965000</v>
      </c>
      <c r="AP12" s="452"/>
      <c r="AQ12" s="452">
        <f>SUM(AQ4:AQ11)</f>
        <v>2728000</v>
      </c>
      <c r="AR12" s="452">
        <f>SUM(AR4:AR11)</f>
        <v>10296500</v>
      </c>
      <c r="AS12" s="453">
        <f>SUM(AS4:AS11)</f>
        <v>13024500</v>
      </c>
      <c r="AT12" s="407"/>
      <c r="AU12" s="407"/>
      <c r="AV12" s="407"/>
      <c r="AW12" s="407" t="str">
        <f>استهلاك!B13</f>
        <v>هزينه هاي قبل از بهره برداري</v>
      </c>
      <c r="AX12" s="464">
        <f>'ex1'!C13</f>
        <v>0</v>
      </c>
      <c r="AY12" s="464">
        <f>'ex1'!D13</f>
        <v>1275001409.0019569</v>
      </c>
      <c r="AZ12" s="562">
        <f>'ex1'!E13</f>
        <v>5</v>
      </c>
      <c r="BA12" s="462">
        <f>'ex1'!F13</f>
        <v>0.2</v>
      </c>
      <c r="BB12" s="464">
        <f>'ex1'!G13</f>
        <v>0</v>
      </c>
      <c r="BC12" s="464">
        <f>'ex1'!H13</f>
        <v>255000281.80039141</v>
      </c>
      <c r="BD12" s="464">
        <f>'ex1'!I13</f>
        <v>255000281.80039141</v>
      </c>
      <c r="BE12" s="462">
        <f>'ex1'!J13</f>
        <v>0.1</v>
      </c>
      <c r="BF12" s="464">
        <f>'ex1'!K13</f>
        <v>25500028.180039141</v>
      </c>
      <c r="BG12" s="464">
        <f>'ex1'!L13</f>
        <v>229500253.62035227</v>
      </c>
      <c r="BH12" s="407"/>
      <c r="BI12" s="407"/>
      <c r="BJ12" s="407"/>
      <c r="BK12" s="407"/>
      <c r="BL12" s="1128" t="str">
        <f>'هزينه هاي توليد'!A11</f>
        <v>جمع هزينه هاي توليد</v>
      </c>
      <c r="BM12" s="1128"/>
      <c r="BN12" s="1128"/>
      <c r="BO12" s="464">
        <f>SUM(BO4:BO11)</f>
        <v>46951642.5</v>
      </c>
      <c r="BP12" s="464">
        <f>SUM(BP4:BP11)</f>
        <v>46951642.5</v>
      </c>
      <c r="BQ12" s="407"/>
      <c r="BR12" s="407"/>
      <c r="BS12" s="407"/>
      <c r="BT12" s="455">
        <f>'هزينه هاي ثابت و متغير'!A12:A13</f>
        <v>9</v>
      </c>
      <c r="BU12" s="407" t="str">
        <f>'هزينه هاي ثابت و متغير'!B12:B13</f>
        <v>حقوق و دستمزد پرسنل اداري</v>
      </c>
      <c r="BV12" s="462">
        <f>'هزينه هاي ثابت و متغير'!C12:C13</f>
        <v>1</v>
      </c>
      <c r="BW12" s="407">
        <f t="shared" si="17"/>
        <v>27654000</v>
      </c>
      <c r="BX12" s="462">
        <f>'هزينه هاي ثابت و متغير'!E12:E13</f>
        <v>0</v>
      </c>
      <c r="BY12" s="407">
        <f t="shared" si="18"/>
        <v>0</v>
      </c>
      <c r="BZ12" s="451">
        <f>BP13</f>
        <v>27654000</v>
      </c>
      <c r="CA12" s="455">
        <f>'هزينه هاي ثابت و متغير'!H12:H13</f>
        <v>9</v>
      </c>
      <c r="CB12" s="407" t="str">
        <f>'هزينه هاي ثابت و متغير'!I12:I13</f>
        <v>حقوق و دستمزد پرسنل اداري</v>
      </c>
      <c r="CC12" s="407">
        <f>$BZ$12*$BV$12*B3/12</f>
        <v>27654000</v>
      </c>
      <c r="CD12" s="407">
        <f t="shared" ref="CD12:CM12" si="69">$BZ$12*$BV$12*C3/12</f>
        <v>27654000</v>
      </c>
      <c r="CE12" s="407">
        <f t="shared" si="69"/>
        <v>27654000</v>
      </c>
      <c r="CF12" s="407">
        <f t="shared" si="69"/>
        <v>27654000</v>
      </c>
      <c r="CG12" s="407">
        <f t="shared" si="69"/>
        <v>27654000</v>
      </c>
      <c r="CH12" s="407">
        <f t="shared" si="69"/>
        <v>27654000</v>
      </c>
      <c r="CI12" s="407">
        <f t="shared" si="69"/>
        <v>27654000</v>
      </c>
      <c r="CJ12" s="407">
        <f t="shared" si="69"/>
        <v>27654000</v>
      </c>
      <c r="CK12" s="407">
        <f t="shared" si="69"/>
        <v>27654000</v>
      </c>
      <c r="CL12" s="407">
        <f t="shared" si="69"/>
        <v>27654000</v>
      </c>
      <c r="CM12" s="407">
        <f t="shared" si="69"/>
        <v>27654000</v>
      </c>
      <c r="CN12" s="455">
        <f>'هزينه هاي ثابت و متغير'!U12:U13</f>
        <v>9</v>
      </c>
      <c r="CO12" s="407" t="str">
        <f>'هزينه هاي ثابت و متغير'!V12:V13</f>
        <v>حقوق و دستمزد پرسنل اداري</v>
      </c>
      <c r="CP12" s="407">
        <f>$BZ$12*$BX$12*B5</f>
        <v>0</v>
      </c>
      <c r="CQ12" s="407">
        <f t="shared" ref="CQ12:CZ12" si="70">$BZ$12*$BX$12*C5</f>
        <v>0</v>
      </c>
      <c r="CR12" s="407">
        <f t="shared" si="70"/>
        <v>0</v>
      </c>
      <c r="CS12" s="407">
        <f t="shared" si="70"/>
        <v>0</v>
      </c>
      <c r="CT12" s="407">
        <f t="shared" si="70"/>
        <v>0</v>
      </c>
      <c r="CU12" s="407">
        <f t="shared" si="70"/>
        <v>0</v>
      </c>
      <c r="CV12" s="407">
        <f t="shared" si="70"/>
        <v>0</v>
      </c>
      <c r="CW12" s="407">
        <f t="shared" si="70"/>
        <v>0</v>
      </c>
      <c r="CX12" s="407">
        <f t="shared" si="70"/>
        <v>0</v>
      </c>
      <c r="CY12" s="407">
        <f t="shared" si="70"/>
        <v>0</v>
      </c>
      <c r="CZ12" s="407">
        <f t="shared" si="70"/>
        <v>0</v>
      </c>
      <c r="DA12" s="407"/>
      <c r="DC12" s="442">
        <f>'هزينه هاي ثابت و متغير'!AH12:AH13</f>
        <v>9</v>
      </c>
      <c r="DD12" s="359" t="str">
        <f>'هزينه هاي ثابت و متغير'!AI12:AI13</f>
        <v>حقوق و دستمزد پرسنل اداري</v>
      </c>
      <c r="DE12" s="438">
        <f t="shared" si="22"/>
        <v>27654000</v>
      </c>
      <c r="DF12" s="438">
        <f t="shared" si="23"/>
        <v>27654000</v>
      </c>
      <c r="DG12" s="438">
        <f t="shared" si="24"/>
        <v>27654000</v>
      </c>
      <c r="DH12" s="438">
        <f t="shared" si="25"/>
        <v>27654000</v>
      </c>
      <c r="DI12" s="438">
        <f t="shared" si="26"/>
        <v>27654000</v>
      </c>
      <c r="DJ12" s="438">
        <f t="shared" si="27"/>
        <v>27654000</v>
      </c>
      <c r="DK12" s="438">
        <f t="shared" si="28"/>
        <v>27654000</v>
      </c>
      <c r="DL12" s="438">
        <f t="shared" si="29"/>
        <v>27654000</v>
      </c>
      <c r="DM12" s="438">
        <f t="shared" si="30"/>
        <v>27654000</v>
      </c>
      <c r="DN12" s="438">
        <f t="shared" si="31"/>
        <v>27654000</v>
      </c>
      <c r="DO12" s="438">
        <f t="shared" si="32"/>
        <v>27654000</v>
      </c>
      <c r="DT12" s="363">
        <f>'پيش بيني عملكرد سود و زيان'!A13</f>
        <v>9</v>
      </c>
      <c r="DU12" s="361" t="str">
        <f>'پيش بيني عملكرد سود و زيان'!B13</f>
        <v>پيش بيني نشده بدون احتساب استهلاك</v>
      </c>
      <c r="DV12" s="361">
        <f t="shared" si="33"/>
        <v>2695417.5</v>
      </c>
      <c r="DW12" s="361">
        <f t="shared" si="64"/>
        <v>2695417.5</v>
      </c>
      <c r="DX12" s="361">
        <f t="shared" si="64"/>
        <v>2695417.5</v>
      </c>
      <c r="DY12" s="361">
        <f t="shared" si="64"/>
        <v>2695417.5</v>
      </c>
      <c r="DZ12" s="361">
        <f t="shared" si="64"/>
        <v>2695417.5</v>
      </c>
      <c r="EA12" s="361">
        <f t="shared" si="64"/>
        <v>2695417.5</v>
      </c>
      <c r="EB12" s="361">
        <f t="shared" si="64"/>
        <v>2695417.5</v>
      </c>
      <c r="EC12" s="361">
        <f t="shared" si="64"/>
        <v>2695417.5</v>
      </c>
      <c r="ED12" s="361">
        <f t="shared" si="64"/>
        <v>2695417.5</v>
      </c>
      <c r="EE12" s="361">
        <f t="shared" si="64"/>
        <v>2695417.5</v>
      </c>
      <c r="EF12" s="361">
        <f t="shared" si="64"/>
        <v>2695417.5</v>
      </c>
      <c r="EG12" s="359"/>
      <c r="EH12" s="359"/>
      <c r="EI12" s="425" t="str">
        <f>'ترازنامه ایجادی'!A11</f>
        <v>دارائی های ثابت</v>
      </c>
      <c r="EJ12" s="426">
        <f t="shared" ref="EJ12:EU12" si="71">SUM(EJ13:EJ14)-EJ15</f>
        <v>1470846409.0019569</v>
      </c>
      <c r="EK12" s="426">
        <f t="shared" si="71"/>
        <v>1224044105.3816047</v>
      </c>
      <c r="EL12" s="426">
        <f t="shared" si="71"/>
        <v>977241801.7612524</v>
      </c>
      <c r="EM12" s="426">
        <f t="shared" si="71"/>
        <v>730439498.14090014</v>
      </c>
      <c r="EN12" s="426">
        <f t="shared" si="71"/>
        <v>483637194.52054787</v>
      </c>
      <c r="EO12" s="426">
        <f t="shared" si="71"/>
        <v>238409890.9001956</v>
      </c>
      <c r="EP12" s="426">
        <f t="shared" si="71"/>
        <v>224572840.9001956</v>
      </c>
      <c r="EQ12" s="426">
        <f t="shared" si="71"/>
        <v>210735790.9001956</v>
      </c>
      <c r="ER12" s="426">
        <f t="shared" si="71"/>
        <v>196898740.9001956</v>
      </c>
      <c r="ES12" s="426">
        <f t="shared" si="71"/>
        <v>183061690.9001956</v>
      </c>
      <c r="ET12" s="426">
        <f t="shared" si="71"/>
        <v>169224640.9001956</v>
      </c>
      <c r="EU12" s="426">
        <f t="shared" si="71"/>
        <v>164058640.9001956</v>
      </c>
      <c r="EV12" s="359"/>
      <c r="EW12" s="359"/>
      <c r="EY12" s="380" t="str">
        <f>'جریان نقدینگی'!A12</f>
        <v>افزایش در دارائیهای ثابت</v>
      </c>
      <c r="EZ12" s="376">
        <f>EZ13</f>
        <v>1470846409.0019569</v>
      </c>
      <c r="FA12" s="376">
        <f t="shared" ref="FA12:FL12" si="72">FA13</f>
        <v>0</v>
      </c>
      <c r="FB12" s="376">
        <f t="shared" si="72"/>
        <v>0</v>
      </c>
      <c r="FC12" s="376">
        <f t="shared" si="72"/>
        <v>0</v>
      </c>
      <c r="FD12" s="376">
        <f t="shared" si="72"/>
        <v>0</v>
      </c>
      <c r="FE12" s="376">
        <f t="shared" si="72"/>
        <v>0</v>
      </c>
      <c r="FF12" s="376">
        <f t="shared" si="72"/>
        <v>0</v>
      </c>
      <c r="FG12" s="376">
        <f t="shared" si="72"/>
        <v>0</v>
      </c>
      <c r="FH12" s="376">
        <f t="shared" si="72"/>
        <v>0</v>
      </c>
      <c r="FI12" s="376">
        <f t="shared" si="72"/>
        <v>0</v>
      </c>
      <c r="FJ12" s="376">
        <f t="shared" si="72"/>
        <v>0</v>
      </c>
      <c r="FK12" s="376">
        <f t="shared" si="72"/>
        <v>0</v>
      </c>
      <c r="FL12" s="376">
        <f t="shared" si="72"/>
        <v>0</v>
      </c>
      <c r="FM12" s="359"/>
      <c r="FN12" s="359"/>
      <c r="FO12" s="359"/>
      <c r="FP12" s="382" t="str">
        <f>'جریان نقدینگی تنزیل شده1'!A12</f>
        <v>جمع تجمعی ارزش خالص فعلی</v>
      </c>
      <c r="FQ12" s="383">
        <f>SUM(FQ11:GB11)</f>
        <v>-1730015272.3425415</v>
      </c>
      <c r="FR12" s="383">
        <f>'جریان نقدینگی تنزیل شده1'!C12</f>
        <v>0</v>
      </c>
      <c r="FS12" s="383">
        <f>'جریان نقدینگی تنزیل شده1'!D12</f>
        <v>0</v>
      </c>
      <c r="FT12" s="383">
        <f>'جریان نقدینگی تنزیل شده1'!E12</f>
        <v>0</v>
      </c>
      <c r="FU12" s="383">
        <f>'جریان نقدینگی تنزیل شده1'!F12</f>
        <v>0</v>
      </c>
      <c r="FV12" s="383">
        <f>'جریان نقدینگی تنزیل شده1'!G12</f>
        <v>0</v>
      </c>
      <c r="FW12" s="383">
        <f>'جریان نقدینگی تنزیل شده1'!H12</f>
        <v>0</v>
      </c>
      <c r="FX12" s="383">
        <f>'جریان نقدینگی تنزیل شده1'!I12</f>
        <v>0</v>
      </c>
      <c r="FY12" s="383">
        <f>'جریان نقدینگی تنزیل شده1'!J12</f>
        <v>0</v>
      </c>
      <c r="FZ12" s="383">
        <f>'جریان نقدینگی تنزیل شده1'!K12</f>
        <v>0</v>
      </c>
      <c r="GA12" s="383">
        <f>'جریان نقدینگی تنزیل شده1'!L12</f>
        <v>0</v>
      </c>
      <c r="GB12" s="384">
        <f>'جریان نقدینگی تنزیل شده1'!M12</f>
        <v>0</v>
      </c>
      <c r="GF12" s="416"/>
      <c r="GG12" s="373"/>
      <c r="GH12" s="373"/>
      <c r="GI12" s="373"/>
      <c r="GJ12" s="373"/>
      <c r="GK12" s="373"/>
      <c r="GL12" s="373"/>
      <c r="GM12" s="373"/>
      <c r="GN12" s="373"/>
      <c r="GO12" s="373"/>
      <c r="GP12" s="373"/>
      <c r="GQ12" s="373"/>
      <c r="GR12" s="373"/>
      <c r="GS12" s="373"/>
      <c r="GT12" s="373"/>
      <c r="GU12" s="373"/>
      <c r="GV12" s="373"/>
    </row>
    <row r="13" spans="1:204">
      <c r="A13" s="455">
        <f>'برآورد فروش'!A13</f>
        <v>0</v>
      </c>
      <c r="B13" s="407">
        <f t="shared" si="46"/>
        <v>0</v>
      </c>
      <c r="C13" s="407">
        <f t="shared" si="47"/>
        <v>0</v>
      </c>
      <c r="D13" s="407">
        <f t="shared" si="48"/>
        <v>0</v>
      </c>
      <c r="E13" s="407">
        <f t="shared" si="49"/>
        <v>0</v>
      </c>
      <c r="F13" s="407">
        <f t="shared" si="50"/>
        <v>0</v>
      </c>
      <c r="G13" s="407">
        <f t="shared" si="51"/>
        <v>0</v>
      </c>
      <c r="H13" s="407">
        <f t="shared" si="52"/>
        <v>0</v>
      </c>
      <c r="I13" s="407">
        <f t="shared" si="53"/>
        <v>0</v>
      </c>
      <c r="J13" s="407">
        <f t="shared" si="54"/>
        <v>0</v>
      </c>
      <c r="K13" s="407">
        <f t="shared" si="55"/>
        <v>0</v>
      </c>
      <c r="L13" s="407">
        <f t="shared" si="56"/>
        <v>0</v>
      </c>
      <c r="M13" s="465">
        <f>'برآورد فروش'!M13</f>
        <v>0</v>
      </c>
      <c r="N13" s="407"/>
      <c r="O13" s="407"/>
      <c r="P13" s="1141" t="str">
        <f>'سرمايه‌‌گذاري طرح'!A13:A14</f>
        <v>جمع دارائي هاي ثابت</v>
      </c>
      <c r="Q13" s="1128"/>
      <c r="R13" s="464">
        <f>SUM(R4:R12)</f>
        <v>72880000</v>
      </c>
      <c r="S13" s="464">
        <f>SUM(S4:S12)</f>
        <v>122965000</v>
      </c>
      <c r="T13" s="465">
        <f>SUM(T4:T12)</f>
        <v>195845000</v>
      </c>
      <c r="U13" s="407"/>
      <c r="V13" s="407"/>
      <c r="W13" s="407"/>
      <c r="X13" s="407" t="str">
        <f>'سرمايه در گردش'!B13</f>
        <v>سال</v>
      </c>
      <c r="Y13" s="407" t="str">
        <f>'سرمايه در گردش'!C13</f>
        <v>سال بهره برداری</v>
      </c>
      <c r="Z13" s="407" t="str">
        <f>'سرمايه در گردش'!D13</f>
        <v xml:space="preserve">سال اول </v>
      </c>
      <c r="AA13" s="407" t="str">
        <f>'سرمايه در گردش'!E13</f>
        <v>سال دوم</v>
      </c>
      <c r="AB13" s="407" t="str">
        <f>'سرمايه در گردش'!F13</f>
        <v>سال سوم</v>
      </c>
      <c r="AC13" s="407" t="str">
        <f>'سرمايه در گردش'!G13</f>
        <v>سال چهارم</v>
      </c>
      <c r="AD13" s="407" t="str">
        <f>'سرمايه در گردش'!H13</f>
        <v>سال پنجم</v>
      </c>
      <c r="AE13" s="407" t="str">
        <f>'سرمايه در گردش'!I13</f>
        <v>سال ششم</v>
      </c>
      <c r="AF13" s="407" t="str">
        <f>'سرمايه در گردش'!J13</f>
        <v>سال هفتم</v>
      </c>
      <c r="AG13" s="407" t="str">
        <f>'سرمايه در گردش'!K13</f>
        <v>سال هشتم</v>
      </c>
      <c r="AH13" s="407" t="str">
        <f>'سرمايه در گردش'!L13</f>
        <v>سال نهم</v>
      </c>
      <c r="AI13" s="407" t="str">
        <f>'سرمايه در گردش'!M13</f>
        <v>سال دهم</v>
      </c>
      <c r="AJ13" s="407"/>
      <c r="AK13" s="407"/>
      <c r="AL13" s="407"/>
      <c r="AM13" s="407"/>
      <c r="AN13" s="407"/>
      <c r="AO13" s="407"/>
      <c r="AP13" s="407"/>
      <c r="AQ13" s="407"/>
      <c r="AR13" s="407"/>
      <c r="AS13" s="407"/>
      <c r="AT13" s="407"/>
      <c r="AU13" s="407"/>
      <c r="AW13" s="407" t="str">
        <f>استهلاك!A14</f>
        <v xml:space="preserve">جمع </v>
      </c>
      <c r="AX13" s="464">
        <f>SUM(AX4:AX12)</f>
        <v>72880000</v>
      </c>
      <c r="AY13" s="464">
        <f>SUM(AY4:AY12)</f>
        <v>1397966409.0019569</v>
      </c>
      <c r="AZ13" s="407">
        <f>استهلاك!I14</f>
        <v>0</v>
      </c>
      <c r="BA13" s="407">
        <f>استهلاك!J14</f>
        <v>0</v>
      </c>
      <c r="BB13" s="464">
        <f>SUM(BB4:BB12)</f>
        <v>7468000</v>
      </c>
      <c r="BC13" s="464">
        <f>SUM(BC4:BC12)</f>
        <v>266756781.80039141</v>
      </c>
      <c r="BD13" s="464">
        <f>SUM(BD4:BD12)</f>
        <v>274224781.80039144</v>
      </c>
      <c r="BE13" s="462">
        <f>'ex1'!J14</f>
        <v>0</v>
      </c>
      <c r="BF13" s="464">
        <f>SUM(BF4:BF12)</f>
        <v>27422478.180039141</v>
      </c>
      <c r="BG13" s="464">
        <f>SUM(BG4:BG12)</f>
        <v>246802303.62035227</v>
      </c>
      <c r="BH13" s="407"/>
      <c r="BI13" s="407"/>
      <c r="BJ13" s="407"/>
      <c r="BK13" s="407"/>
      <c r="BL13" s="407">
        <f>'هزينه هاي توليد'!A12</f>
        <v>1</v>
      </c>
      <c r="BM13" s="407" t="str">
        <f>'هزينه هاي توليد'!B12</f>
        <v>حقوق و دستمزد پرسنل اداري</v>
      </c>
      <c r="BN13" s="407"/>
      <c r="BO13" s="464">
        <f>'هزينه هاي توليد'!D12</f>
        <v>27654000</v>
      </c>
      <c r="BP13" s="464">
        <f>BO13</f>
        <v>27654000</v>
      </c>
      <c r="BQ13" s="407"/>
      <c r="BR13" s="407"/>
      <c r="BS13" s="407"/>
      <c r="BT13" s="455">
        <f>'هزينه هاي ثابت و متغير'!A13:A14</f>
        <v>10</v>
      </c>
      <c r="BU13" s="407" t="str">
        <f>'هزينه هاي ثابت و متغير'!B13:B14</f>
        <v>هزينه هاي توزيع و فروش تبلیغات و اداری (درصدی از فروش)</v>
      </c>
      <c r="BV13" s="462">
        <f>'هزينه هاي ثابت و متغير'!C13:C14</f>
        <v>0.6</v>
      </c>
      <c r="BW13" s="407">
        <f t="shared" si="17"/>
        <v>0</v>
      </c>
      <c r="BX13" s="462">
        <f>'هزينه هاي ثابت و متغير'!E13:E14</f>
        <v>0.4</v>
      </c>
      <c r="BY13" s="407">
        <f t="shared" si="18"/>
        <v>0</v>
      </c>
      <c r="BZ13" s="451">
        <f>BP14</f>
        <v>0</v>
      </c>
      <c r="CA13" s="455">
        <f>'هزينه هاي ثابت و متغير'!H13:H14</f>
        <v>10</v>
      </c>
      <c r="CB13" s="407" t="str">
        <f>'هزينه هاي ثابت و متغير'!I13:I14</f>
        <v>هزينه هاي توزيع و فروش تبلیغات و اداری (درصدی از فروش)</v>
      </c>
      <c r="CC13" s="407">
        <f>$BZ$13*$BV$13*B3/12</f>
        <v>0</v>
      </c>
      <c r="CD13" s="407">
        <f t="shared" ref="CD13:CM13" si="73">$BZ$13*$BV$13*C3/12</f>
        <v>0</v>
      </c>
      <c r="CE13" s="407">
        <f t="shared" si="73"/>
        <v>0</v>
      </c>
      <c r="CF13" s="407">
        <f t="shared" si="73"/>
        <v>0</v>
      </c>
      <c r="CG13" s="407">
        <f t="shared" si="73"/>
        <v>0</v>
      </c>
      <c r="CH13" s="407">
        <f t="shared" si="73"/>
        <v>0</v>
      </c>
      <c r="CI13" s="407">
        <f t="shared" si="73"/>
        <v>0</v>
      </c>
      <c r="CJ13" s="407">
        <f t="shared" si="73"/>
        <v>0</v>
      </c>
      <c r="CK13" s="407">
        <f t="shared" si="73"/>
        <v>0</v>
      </c>
      <c r="CL13" s="407">
        <f t="shared" si="73"/>
        <v>0</v>
      </c>
      <c r="CM13" s="407">
        <f t="shared" si="73"/>
        <v>0</v>
      </c>
      <c r="CN13" s="455">
        <f>'هزينه هاي ثابت و متغير'!U13:U14</f>
        <v>10</v>
      </c>
      <c r="CO13" s="407" t="str">
        <f>'هزينه هاي ثابت و متغير'!V13:V14</f>
        <v>هزينه هاي توزيع و فروش تبلیغات و اداری (درصدی از فروش)</v>
      </c>
      <c r="CP13" s="407">
        <f>$BZ$13*$BX$13*B5</f>
        <v>0</v>
      </c>
      <c r="CQ13" s="407">
        <f t="shared" ref="CQ13:CZ13" si="74">$BZ$13*$BX$13*C5</f>
        <v>0</v>
      </c>
      <c r="CR13" s="407">
        <f t="shared" si="74"/>
        <v>0</v>
      </c>
      <c r="CS13" s="407">
        <f t="shared" si="74"/>
        <v>0</v>
      </c>
      <c r="CT13" s="407">
        <f t="shared" si="74"/>
        <v>0</v>
      </c>
      <c r="CU13" s="407">
        <f t="shared" si="74"/>
        <v>0</v>
      </c>
      <c r="CV13" s="407">
        <f t="shared" si="74"/>
        <v>0</v>
      </c>
      <c r="CW13" s="407">
        <f t="shared" si="74"/>
        <v>0</v>
      </c>
      <c r="CX13" s="407">
        <f t="shared" si="74"/>
        <v>0</v>
      </c>
      <c r="CY13" s="407">
        <f t="shared" si="74"/>
        <v>0</v>
      </c>
      <c r="CZ13" s="407">
        <f t="shared" si="74"/>
        <v>0</v>
      </c>
      <c r="DA13" s="407"/>
      <c r="DC13" s="442">
        <f>'هزينه هاي ثابت و متغير'!AH13:AH14</f>
        <v>10</v>
      </c>
      <c r="DD13" s="359" t="str">
        <f>'هزينه هاي ثابت و متغير'!AI13:AI14</f>
        <v>هزينه هاي توزيع و فروش تبلیغات و اداری (درصدی از فروش)</v>
      </c>
      <c r="DE13" s="438">
        <f t="shared" si="22"/>
        <v>0</v>
      </c>
      <c r="DF13" s="438">
        <f t="shared" si="23"/>
        <v>0</v>
      </c>
      <c r="DG13" s="438">
        <f t="shared" si="24"/>
        <v>0</v>
      </c>
      <c r="DH13" s="438">
        <f t="shared" si="25"/>
        <v>0</v>
      </c>
      <c r="DI13" s="438">
        <f t="shared" si="26"/>
        <v>0</v>
      </c>
      <c r="DJ13" s="438">
        <f t="shared" si="27"/>
        <v>0</v>
      </c>
      <c r="DK13" s="438">
        <f t="shared" si="28"/>
        <v>0</v>
      </c>
      <c r="DL13" s="438">
        <f t="shared" si="29"/>
        <v>0</v>
      </c>
      <c r="DM13" s="438">
        <f t="shared" si="30"/>
        <v>0</v>
      </c>
      <c r="DN13" s="438">
        <f t="shared" si="31"/>
        <v>0</v>
      </c>
      <c r="DO13" s="438">
        <f t="shared" si="32"/>
        <v>0</v>
      </c>
      <c r="DT13" s="1135" t="str">
        <f>'پيش بيني عملكرد سود و زيان'!A14</f>
        <v>جمع هزينه هاي توليد</v>
      </c>
      <c r="DU13" s="1136"/>
      <c r="DV13" s="368">
        <f>SUM(DV5:DV12)</f>
        <v>-182548611.12035227</v>
      </c>
      <c r="DW13" s="368">
        <f t="shared" ref="DW13:EF13" si="75">SUM(DW5:DW12)</f>
        <v>-182548611.12035227</v>
      </c>
      <c r="DX13" s="368">
        <f t="shared" si="75"/>
        <v>-182548611.12035227</v>
      </c>
      <c r="DY13" s="368">
        <f t="shared" si="75"/>
        <v>-182548611.12035227</v>
      </c>
      <c r="DZ13" s="368">
        <f t="shared" si="75"/>
        <v>-184123611.12035227</v>
      </c>
      <c r="EA13" s="368">
        <f t="shared" si="75"/>
        <v>43486642.5</v>
      </c>
      <c r="EB13" s="368">
        <f t="shared" si="75"/>
        <v>43486642.5</v>
      </c>
      <c r="EC13" s="368">
        <f t="shared" si="75"/>
        <v>43486642.5</v>
      </c>
      <c r="ED13" s="368">
        <f t="shared" si="75"/>
        <v>43486642.5</v>
      </c>
      <c r="EE13" s="368">
        <f t="shared" si="75"/>
        <v>43486642.5</v>
      </c>
      <c r="EF13" s="368">
        <f t="shared" si="75"/>
        <v>34815592.5</v>
      </c>
      <c r="EG13" s="359"/>
      <c r="EH13" s="359"/>
      <c r="EI13" s="432" t="str">
        <f>'ترازنامه ایجادی'!A12</f>
        <v>هزینه های سرمایه گذاری ثابت</v>
      </c>
      <c r="EJ13" s="374">
        <f>$T$13</f>
        <v>195845000</v>
      </c>
      <c r="EK13" s="374">
        <f t="shared" ref="EK13:EU13" si="76">$T$13</f>
        <v>195845000</v>
      </c>
      <c r="EL13" s="374">
        <f t="shared" si="76"/>
        <v>195845000</v>
      </c>
      <c r="EM13" s="374">
        <f t="shared" si="76"/>
        <v>195845000</v>
      </c>
      <c r="EN13" s="374">
        <f t="shared" si="76"/>
        <v>195845000</v>
      </c>
      <c r="EO13" s="374">
        <f t="shared" si="76"/>
        <v>195845000</v>
      </c>
      <c r="EP13" s="374">
        <f t="shared" si="76"/>
        <v>195845000</v>
      </c>
      <c r="EQ13" s="374">
        <f t="shared" si="76"/>
        <v>195845000</v>
      </c>
      <c r="ER13" s="374">
        <f t="shared" si="76"/>
        <v>195845000</v>
      </c>
      <c r="ES13" s="374">
        <f t="shared" si="76"/>
        <v>195845000</v>
      </c>
      <c r="ET13" s="374">
        <f t="shared" si="76"/>
        <v>195845000</v>
      </c>
      <c r="EU13" s="374">
        <f t="shared" si="76"/>
        <v>195845000</v>
      </c>
      <c r="EV13" s="359"/>
      <c r="EW13" s="359"/>
      <c r="EY13" s="380" t="str">
        <f>'جریان نقدینگی'!A13</f>
        <v>سرمایه گذاری ثابت</v>
      </c>
      <c r="EZ13" s="376">
        <f>T15</f>
        <v>1470846409.0019569</v>
      </c>
      <c r="FA13" s="376">
        <f>'جریان نقدینگی'!C13</f>
        <v>0</v>
      </c>
      <c r="FB13" s="376">
        <f>'جریان نقدینگی'!D13</f>
        <v>0</v>
      </c>
      <c r="FC13" s="376">
        <f>'جریان نقدینگی'!E13</f>
        <v>0</v>
      </c>
      <c r="FD13" s="376">
        <f>'جریان نقدینگی'!F13</f>
        <v>0</v>
      </c>
      <c r="FE13" s="376">
        <f>'جریان نقدینگی'!G13</f>
        <v>0</v>
      </c>
      <c r="FF13" s="376">
        <f>'جریان نقدینگی'!H13</f>
        <v>0</v>
      </c>
      <c r="FG13" s="376">
        <f>'جریان نقدینگی'!I13</f>
        <v>0</v>
      </c>
      <c r="FH13" s="376">
        <f>'جریان نقدینگی'!J13</f>
        <v>0</v>
      </c>
      <c r="FI13" s="376">
        <f>'جریان نقدینگی'!K13</f>
        <v>0</v>
      </c>
      <c r="FJ13" s="376">
        <f>'جریان نقدینگی'!L13</f>
        <v>0</v>
      </c>
      <c r="FK13" s="376">
        <f>'جریان نقدینگی'!M13</f>
        <v>0</v>
      </c>
      <c r="FL13" s="381">
        <f>'جریان نقدینگی'!N13</f>
        <v>0</v>
      </c>
      <c r="FM13" s="359"/>
      <c r="FN13" s="359"/>
      <c r="FO13" s="359"/>
      <c r="FQ13" s="374"/>
      <c r="FR13" s="374"/>
      <c r="FS13" s="374"/>
      <c r="FT13" s="374"/>
      <c r="FU13" s="374"/>
      <c r="FV13" s="374"/>
      <c r="FW13" s="374"/>
      <c r="FX13" s="374"/>
      <c r="FY13" s="374"/>
      <c r="FZ13" s="374"/>
      <c r="GA13" s="374"/>
      <c r="GB13" s="374"/>
      <c r="GF13" s="416"/>
      <c r="GG13" s="373"/>
      <c r="GH13" s="373"/>
      <c r="GI13" s="373"/>
      <c r="GJ13" s="373"/>
      <c r="GK13" s="373"/>
      <c r="GL13" s="373"/>
      <c r="GM13" s="373"/>
      <c r="GN13" s="373"/>
      <c r="GO13" s="373"/>
      <c r="GP13" s="373"/>
      <c r="GQ13" s="373"/>
      <c r="GR13" s="373"/>
      <c r="GS13" s="373"/>
      <c r="GT13" s="373"/>
      <c r="GU13" s="373"/>
      <c r="GV13" s="373"/>
    </row>
    <row r="14" spans="1:204">
      <c r="A14" s="455">
        <f>'برآورد فروش'!A14</f>
        <v>0</v>
      </c>
      <c r="B14" s="407">
        <f t="shared" si="46"/>
        <v>0</v>
      </c>
      <c r="C14" s="407">
        <f t="shared" si="47"/>
        <v>0</v>
      </c>
      <c r="D14" s="407">
        <f t="shared" si="48"/>
        <v>0</v>
      </c>
      <c r="E14" s="407">
        <f t="shared" si="49"/>
        <v>0</v>
      </c>
      <c r="F14" s="407">
        <f t="shared" si="50"/>
        <v>0</v>
      </c>
      <c r="G14" s="407">
        <f t="shared" si="51"/>
        <v>0</v>
      </c>
      <c r="H14" s="407">
        <f t="shared" si="52"/>
        <v>0</v>
      </c>
      <c r="I14" s="407">
        <f t="shared" si="53"/>
        <v>0</v>
      </c>
      <c r="J14" s="407">
        <f t="shared" si="54"/>
        <v>0</v>
      </c>
      <c r="K14" s="407">
        <f t="shared" si="55"/>
        <v>0</v>
      </c>
      <c r="L14" s="407">
        <f t="shared" si="56"/>
        <v>0</v>
      </c>
      <c r="M14" s="465"/>
      <c r="N14" s="407"/>
      <c r="O14" s="407"/>
      <c r="P14" s="1141" t="str">
        <f>'سرمايه‌‌گذاري طرح'!A14:A15</f>
        <v>هزينه هاي قبل از بهره برداري</v>
      </c>
      <c r="Q14" s="1128"/>
      <c r="R14" s="464">
        <f>IF('آنالیز حساسیت'!$C$4=0,'سرمايه‌‌گذاري طرح'!D14,'سرمايه‌‌گذاري طرح'!D14*(1+'آنالیز حساسیت'!$C$4))</f>
        <v>0</v>
      </c>
      <c r="S14" s="464">
        <f>IF('آنالیز حساسیت'!$C$4=0,'سرمايه‌‌گذاري طرح'!E14,'سرمايه‌‌گذاري طرح'!E14*(1+'آنالیز حساسیت'!$C$4))</f>
        <v>1275001409.0019569</v>
      </c>
      <c r="T14" s="465">
        <f>S14+R14</f>
        <v>1275001409.0019569</v>
      </c>
      <c r="U14" s="407"/>
      <c r="V14" s="407"/>
      <c r="W14" s="407"/>
      <c r="X14" s="473">
        <f>'سرمايه در گردش'!B14</f>
        <v>0</v>
      </c>
      <c r="Y14" s="473">
        <f>$AB$3/'برآورد فروش'!$H$4*'برآورد فروش'!B4</f>
        <v>0</v>
      </c>
      <c r="Z14" s="473">
        <f>$AB$3/'برآورد فروش'!$H$4*'برآورد فروش'!C4</f>
        <v>0</v>
      </c>
      <c r="AA14" s="473">
        <f>$AB$3/'برآورد فروش'!$H$4*'برآورد فروش'!D4</f>
        <v>0</v>
      </c>
      <c r="AB14" s="473">
        <f>$AB$3/'برآورد فروش'!$H$4*'برآورد فروش'!E4</f>
        <v>0</v>
      </c>
      <c r="AC14" s="473">
        <f>$AB$3/'برآورد فروش'!$H$4*'برآورد فروش'!F4</f>
        <v>0</v>
      </c>
      <c r="AD14" s="473">
        <f>$AB$3/'برآورد فروش'!$H$4*'برآورد فروش'!G4</f>
        <v>0</v>
      </c>
      <c r="AE14" s="473">
        <f>$AB$3/'برآورد فروش'!$H$4*'برآورد فروش'!H4</f>
        <v>0</v>
      </c>
      <c r="AF14" s="473">
        <f>$AB$3/'برآورد فروش'!$H$4*'برآورد فروش'!I4</f>
        <v>0</v>
      </c>
      <c r="AG14" s="473">
        <f>$AB$3/'برآورد فروش'!$H$4*'برآورد فروش'!J4</f>
        <v>0</v>
      </c>
      <c r="AH14" s="473">
        <f>$AB$3/'برآورد فروش'!$H$4*'برآورد فروش'!K4</f>
        <v>0</v>
      </c>
      <c r="AI14" s="473">
        <f>$AB$3/'برآورد فروش'!$H$4*'برآورد فروش'!L4</f>
        <v>0</v>
      </c>
      <c r="AJ14" s="407"/>
      <c r="AK14" s="407"/>
      <c r="AL14" s="407"/>
      <c r="AM14" s="407"/>
      <c r="AN14" s="407"/>
      <c r="AO14" s="407"/>
      <c r="AP14" s="407"/>
      <c r="AQ14" s="407"/>
      <c r="AR14" s="407"/>
      <c r="AS14" s="407"/>
      <c r="AT14" s="407"/>
      <c r="AU14" s="407"/>
      <c r="AV14" s="407"/>
      <c r="AW14" s="407"/>
      <c r="AX14" s="407"/>
      <c r="AY14" s="407"/>
      <c r="AZ14" s="407"/>
      <c r="BA14" s="407"/>
      <c r="BB14" s="407"/>
      <c r="BC14" s="407"/>
      <c r="BD14" s="407"/>
      <c r="BE14" s="407"/>
      <c r="BF14" s="407"/>
      <c r="BG14" s="407"/>
      <c r="BH14" s="407"/>
      <c r="BI14" s="407"/>
      <c r="BJ14" s="407"/>
      <c r="BK14" s="407"/>
      <c r="BL14" s="407">
        <f>'هزينه هاي توليد'!A13</f>
        <v>2</v>
      </c>
      <c r="BM14" s="407" t="str">
        <f>'هزينه هاي توليد'!B13</f>
        <v>هزينه هاي توزيع و فروش تبلیغات و اداری (درصدی از فروش)</v>
      </c>
      <c r="BN14" s="472">
        <f>'هزينه هاي توليد'!C13</f>
        <v>0.01</v>
      </c>
      <c r="BO14" s="464">
        <f>L34*BN14/L4</f>
        <v>0</v>
      </c>
      <c r="BP14" s="464">
        <f>BO14*$L$4</f>
        <v>0</v>
      </c>
      <c r="BQ14" s="407"/>
      <c r="BR14" s="407"/>
      <c r="BS14" s="407"/>
      <c r="BT14" s="455">
        <f>'هزينه هاي ثابت و متغير'!A14:A15</f>
        <v>11</v>
      </c>
      <c r="BU14" s="407" t="str">
        <f>'هزينه هاي ثابت و متغير'!B14:B15</f>
        <v>هزینه استهلاک هزینه های قبل از بهره برداری</v>
      </c>
      <c r="BV14" s="462">
        <f>'هزينه هاي ثابت و متغير'!C14:C15</f>
        <v>1</v>
      </c>
      <c r="BW14" s="407">
        <f t="shared" si="17"/>
        <v>229500253.62035227</v>
      </c>
      <c r="BX14" s="462">
        <f>'هزينه هاي ثابت و متغير'!E14:E15</f>
        <v>0</v>
      </c>
      <c r="BY14" s="407">
        <f t="shared" si="18"/>
        <v>0</v>
      </c>
      <c r="BZ14" s="451">
        <f>BP16</f>
        <v>229500253.62035227</v>
      </c>
      <c r="CA14" s="455">
        <f>'هزينه هاي ثابت و متغير'!H14:H15</f>
        <v>11</v>
      </c>
      <c r="CB14" s="407" t="str">
        <f>'هزينه هاي ثابت و متغير'!I14:I15</f>
        <v>هزینه استهلاک هزینه های قبل از بهره برداری</v>
      </c>
      <c r="CC14" s="407">
        <f>AX28*$BV$14</f>
        <v>229500253.62035227</v>
      </c>
      <c r="CD14" s="407">
        <f t="shared" ref="CD14:CM14" si="77">AY28*$BV$14</f>
        <v>229500253.62035227</v>
      </c>
      <c r="CE14" s="407">
        <f t="shared" si="77"/>
        <v>229500253.62035227</v>
      </c>
      <c r="CF14" s="407">
        <f t="shared" si="77"/>
        <v>229500253.62035227</v>
      </c>
      <c r="CG14" s="407">
        <f t="shared" si="77"/>
        <v>229500253.62035227</v>
      </c>
      <c r="CH14" s="407">
        <f t="shared" si="77"/>
        <v>0</v>
      </c>
      <c r="CI14" s="407">
        <f t="shared" si="77"/>
        <v>0</v>
      </c>
      <c r="CJ14" s="407">
        <f t="shared" si="77"/>
        <v>0</v>
      </c>
      <c r="CK14" s="407">
        <f t="shared" si="77"/>
        <v>0</v>
      </c>
      <c r="CL14" s="407">
        <f t="shared" si="77"/>
        <v>0</v>
      </c>
      <c r="CM14" s="407">
        <f t="shared" si="77"/>
        <v>0</v>
      </c>
      <c r="CN14" s="455">
        <f>'هزينه هاي ثابت و متغير'!U14:U15</f>
        <v>11</v>
      </c>
      <c r="CO14" s="407" t="str">
        <f>'هزينه هاي ثابت و متغير'!V14:V15</f>
        <v>هزینه استهلاک هزینه های قبل از بهره برداری</v>
      </c>
      <c r="CP14" s="407">
        <f>$BZ$14*$BX$14*B5</f>
        <v>0</v>
      </c>
      <c r="CQ14" s="407">
        <f t="shared" ref="CQ14:CZ14" si="78">$BZ$14*$BX$14*C5</f>
        <v>0</v>
      </c>
      <c r="CR14" s="407">
        <f t="shared" si="78"/>
        <v>0</v>
      </c>
      <c r="CS14" s="407">
        <f t="shared" si="78"/>
        <v>0</v>
      </c>
      <c r="CT14" s="407">
        <f t="shared" si="78"/>
        <v>0</v>
      </c>
      <c r="CU14" s="407">
        <f t="shared" si="78"/>
        <v>0</v>
      </c>
      <c r="CV14" s="407">
        <f t="shared" si="78"/>
        <v>0</v>
      </c>
      <c r="CW14" s="407">
        <f t="shared" si="78"/>
        <v>0</v>
      </c>
      <c r="CX14" s="407">
        <f t="shared" si="78"/>
        <v>0</v>
      </c>
      <c r="CY14" s="407">
        <f t="shared" si="78"/>
        <v>0</v>
      </c>
      <c r="CZ14" s="407">
        <f t="shared" si="78"/>
        <v>0</v>
      </c>
      <c r="DA14" s="407"/>
      <c r="DC14" s="442">
        <f>'هزينه هاي ثابت و متغير'!AH14:AH15</f>
        <v>11</v>
      </c>
      <c r="DD14" s="359" t="str">
        <f>'هزينه هاي ثابت و متغير'!AI14:AI15</f>
        <v>هزینه استهلاک هزینه های قبل از بهره برداری</v>
      </c>
      <c r="DE14" s="438">
        <f t="shared" si="22"/>
        <v>229500253.62035227</v>
      </c>
      <c r="DF14" s="438">
        <f t="shared" si="23"/>
        <v>229500253.62035227</v>
      </c>
      <c r="DG14" s="438">
        <f t="shared" si="24"/>
        <v>229500253.62035227</v>
      </c>
      <c r="DH14" s="438">
        <f t="shared" si="25"/>
        <v>229500253.62035227</v>
      </c>
      <c r="DI14" s="438">
        <f t="shared" si="26"/>
        <v>229500253.62035227</v>
      </c>
      <c r="DJ14" s="438">
        <f t="shared" si="27"/>
        <v>0</v>
      </c>
      <c r="DK14" s="438">
        <f t="shared" si="28"/>
        <v>0</v>
      </c>
      <c r="DL14" s="438">
        <f t="shared" si="29"/>
        <v>0</v>
      </c>
      <c r="DM14" s="438">
        <f t="shared" si="30"/>
        <v>0</v>
      </c>
      <c r="DN14" s="438">
        <f t="shared" si="31"/>
        <v>0</v>
      </c>
      <c r="DO14" s="438">
        <f t="shared" si="32"/>
        <v>0</v>
      </c>
      <c r="DT14" s="564">
        <v>10</v>
      </c>
      <c r="DU14" s="563" t="s">
        <v>494</v>
      </c>
      <c r="DV14" s="564">
        <f>IF((DV13*مفروضات!$B$23/(B3*30))&lt;0,0,(DV13*مفروضات!$B$23/(B3*30)))</f>
        <v>0</v>
      </c>
      <c r="DW14" s="564">
        <f>IF(DW13&gt;DV13,IF((DW13*مفروضات!$B$23/(C3*30))&lt;0,0,(DW13*مفروضات!$B$23/(C3*30)))-DV14,0)</f>
        <v>0</v>
      </c>
      <c r="DX14" s="564">
        <f>IF(DX13&gt;DW13,IF((DX13*مفروضات!$B$23/(D3*30))&lt;0,0,(DX13*مفروضات!$B$23/(D3*30)))-DW14-DV14,0)</f>
        <v>0</v>
      </c>
      <c r="DY14" s="564">
        <f>IF(DY13&gt;DX13,IF((DY13*مفروضات!$B$23/(E3*30))&lt;0,0,(DY13*مفروضات!$B$23/(E3*30)))-DX14-DW14-DV14,0)</f>
        <v>0</v>
      </c>
      <c r="DZ14" s="564">
        <f>IF(DZ13&gt;DY13,IF((DZ13*مفروضات!$B$23/(F3*30))&lt;0,0,(DZ13*مفروضات!$B$23/(F3*30)))-DY14-DX14-DW14-DV14,0)</f>
        <v>0</v>
      </c>
      <c r="EA14" s="564">
        <f>IF(EA13&gt;DZ13,IF((EA13*مفروضات!$B$23/(G3*30))&lt;0,0,(EA13*مفروضات!$B$23/(G3*30)))-DZ14-DY14-DX14-DW14-DV14,0)</f>
        <v>0</v>
      </c>
      <c r="EB14" s="564">
        <f>IF(EB13&gt;EA13,IF((EB13*مفروضات!$B$23/(H3*30))&lt;0,0,(EB13*مفروضات!$B$23/(H3*30)))-EA14-DZ14-DY14-DX14-DW14-DV14,0)</f>
        <v>0</v>
      </c>
      <c r="EC14" s="564">
        <f>IF(EC13&gt;EB13,IF((EC13*مفروضات!$B$23/(I3*30))&lt;0,0,(EC13*مفروضات!$B$23/(I3*30)))-EB14-EA14-DZ14-DY14-DX14-DW14-DV14,0)</f>
        <v>0</v>
      </c>
      <c r="ED14" s="564">
        <f>IF(ED13&gt;EC13,IF((ED13*مفروضات!$B$23/(J3*30))&lt;0,0,(ED13*مفروضات!$B$23/(J3*30)))-EC14-EB14-EA14-DZ14-DY14-DX14-DW14-DV14,0)</f>
        <v>0</v>
      </c>
      <c r="EE14" s="564">
        <f>IF(EE13&gt;ED13,IF((EE13*مفروضات!$B$23/(K3*30))&lt;0,0,(EE13*مفروضات!$B$23/(K3*30)))-ED14-EC14-EB14-EA14-DZ14-DY14-DX14-DW14-DV14,0)</f>
        <v>0</v>
      </c>
      <c r="EF14" s="564">
        <f>IF(EF13&gt;EE13,IF((EF13*مفروضات!$B$23/(L3*30))&lt;0,0,(EF13*مفروضات!$B$23/(L3*30)))-EE14-ED14-EC14-EB14-EA14-DZ14-DY14-DX14-DW14-DV14,0)</f>
        <v>0</v>
      </c>
      <c r="EG14" s="359"/>
      <c r="EH14" s="359"/>
      <c r="EI14" s="432" t="str">
        <f>'ترازنامه ایجادی'!A13</f>
        <v>هزینه های قبل از بهره برداری</v>
      </c>
      <c r="EJ14" s="374">
        <f>$T$14</f>
        <v>1275001409.0019569</v>
      </c>
      <c r="EK14" s="374">
        <f t="shared" ref="EK14:EU14" si="79">$T$14</f>
        <v>1275001409.0019569</v>
      </c>
      <c r="EL14" s="374">
        <f t="shared" si="79"/>
        <v>1275001409.0019569</v>
      </c>
      <c r="EM14" s="374">
        <f t="shared" si="79"/>
        <v>1275001409.0019569</v>
      </c>
      <c r="EN14" s="374">
        <f t="shared" si="79"/>
        <v>1275001409.0019569</v>
      </c>
      <c r="EO14" s="374">
        <f t="shared" si="79"/>
        <v>1275001409.0019569</v>
      </c>
      <c r="EP14" s="374">
        <f t="shared" si="79"/>
        <v>1275001409.0019569</v>
      </c>
      <c r="EQ14" s="374">
        <f t="shared" si="79"/>
        <v>1275001409.0019569</v>
      </c>
      <c r="ER14" s="374">
        <f t="shared" si="79"/>
        <v>1275001409.0019569</v>
      </c>
      <c r="ES14" s="374">
        <f t="shared" si="79"/>
        <v>1275001409.0019569</v>
      </c>
      <c r="ET14" s="374">
        <f t="shared" si="79"/>
        <v>1275001409.0019569</v>
      </c>
      <c r="EU14" s="374">
        <f t="shared" si="79"/>
        <v>1275001409.0019569</v>
      </c>
      <c r="EV14" s="359"/>
      <c r="EW14" s="359"/>
      <c r="EY14" s="380" t="str">
        <f>'جریان نقدینگی'!A14</f>
        <v>افزایش در دارائی های جاری</v>
      </c>
      <c r="EZ14" s="376">
        <f>'جریان نقدینگی'!B14</f>
        <v>0</v>
      </c>
      <c r="FA14" s="376">
        <f t="shared" ref="FA14:FL14" si="80">Y21</f>
        <v>2470799.375</v>
      </c>
      <c r="FB14" s="376">
        <f t="shared" si="80"/>
        <v>0</v>
      </c>
      <c r="FC14" s="376">
        <f t="shared" si="80"/>
        <v>0</v>
      </c>
      <c r="FD14" s="376">
        <f t="shared" si="80"/>
        <v>0</v>
      </c>
      <c r="FE14" s="376">
        <f t="shared" si="80"/>
        <v>0</v>
      </c>
      <c r="FF14" s="376">
        <f t="shared" si="80"/>
        <v>0</v>
      </c>
      <c r="FG14" s="376">
        <f t="shared" si="80"/>
        <v>0</v>
      </c>
      <c r="FH14" s="376">
        <f t="shared" si="80"/>
        <v>0</v>
      </c>
      <c r="FI14" s="376">
        <f t="shared" si="80"/>
        <v>0</v>
      </c>
      <c r="FJ14" s="376">
        <f t="shared" si="80"/>
        <v>0</v>
      </c>
      <c r="FK14" s="376">
        <f t="shared" si="80"/>
        <v>0</v>
      </c>
      <c r="FL14" s="376">
        <f t="shared" si="80"/>
        <v>0</v>
      </c>
      <c r="FM14" s="359"/>
      <c r="FN14" s="359"/>
      <c r="FO14" s="359"/>
      <c r="FQ14" s="374"/>
      <c r="FR14" s="374"/>
      <c r="FS14" s="374"/>
      <c r="FT14" s="374"/>
      <c r="FU14" s="374"/>
      <c r="FV14" s="374"/>
      <c r="FW14" s="374"/>
      <c r="FX14" s="374"/>
      <c r="FY14" s="374"/>
      <c r="FZ14" s="374"/>
      <c r="GA14" s="374"/>
      <c r="GB14" s="374"/>
      <c r="GG14" s="373"/>
      <c r="GH14" s="373"/>
      <c r="GI14" s="373"/>
      <c r="GJ14" s="373"/>
      <c r="GK14" s="373"/>
      <c r="GL14" s="373"/>
      <c r="GM14" s="373"/>
      <c r="GN14" s="373"/>
      <c r="GO14" s="373"/>
      <c r="GP14" s="373"/>
      <c r="GQ14" s="373"/>
      <c r="GR14" s="373"/>
      <c r="GS14" s="373"/>
      <c r="GT14" s="373"/>
      <c r="GU14" s="373"/>
      <c r="GV14" s="373"/>
    </row>
    <row r="15" spans="1:204" ht="15.6" thickBot="1">
      <c r="A15" s="455">
        <f>'برآورد فروش'!A15</f>
        <v>0</v>
      </c>
      <c r="B15" s="407">
        <f t="shared" si="46"/>
        <v>0</v>
      </c>
      <c r="C15" s="407">
        <f t="shared" si="47"/>
        <v>0</v>
      </c>
      <c r="D15" s="407">
        <f t="shared" si="48"/>
        <v>0</v>
      </c>
      <c r="E15" s="407">
        <f t="shared" si="49"/>
        <v>0</v>
      </c>
      <c r="F15" s="407">
        <f t="shared" si="50"/>
        <v>0</v>
      </c>
      <c r="G15" s="407">
        <f t="shared" si="51"/>
        <v>0</v>
      </c>
      <c r="H15" s="407">
        <f t="shared" si="52"/>
        <v>0</v>
      </c>
      <c r="I15" s="407">
        <f t="shared" si="53"/>
        <v>0</v>
      </c>
      <c r="J15" s="407">
        <f t="shared" si="54"/>
        <v>0</v>
      </c>
      <c r="K15" s="407">
        <f t="shared" si="55"/>
        <v>0</v>
      </c>
      <c r="L15" s="407">
        <f t="shared" si="56"/>
        <v>0</v>
      </c>
      <c r="M15" s="465"/>
      <c r="N15" s="407"/>
      <c r="O15" s="407"/>
      <c r="P15" s="1141" t="str">
        <f>'سرمايه‌‌گذاري طرح'!A15:A16</f>
        <v>جمع هزينه هاي سرمايه گذاري ثابت</v>
      </c>
      <c r="Q15" s="1128"/>
      <c r="R15" s="464">
        <f>R14+R13</f>
        <v>72880000</v>
      </c>
      <c r="S15" s="464">
        <f>S14+S13</f>
        <v>1397966409.0019569</v>
      </c>
      <c r="T15" s="465">
        <f>T14+T13</f>
        <v>1470846409.0019569</v>
      </c>
      <c r="U15" s="407"/>
      <c r="V15" s="407"/>
      <c r="W15" s="407"/>
      <c r="X15" s="407" t="str">
        <f>'سرمايه در گردش'!B15</f>
        <v>مواد اوليه</v>
      </c>
      <c r="Y15" s="407">
        <f>$AB$4/'برآورد فروش'!$H$4*B4</f>
        <v>0</v>
      </c>
      <c r="Z15" s="407">
        <f>$AB$4/'برآورد فروش'!$H$4*C4</f>
        <v>0</v>
      </c>
      <c r="AA15" s="407">
        <f>$AB$4/'برآورد فروش'!$H$4*D4</f>
        <v>0</v>
      </c>
      <c r="AB15" s="407">
        <f>$AB$4/'برآورد فروش'!$H$4*E4</f>
        <v>0</v>
      </c>
      <c r="AC15" s="407">
        <f>$AB$4/'برآورد فروش'!$H$4*F4</f>
        <v>0</v>
      </c>
      <c r="AD15" s="407">
        <f>$AB$4/'برآورد فروش'!$H$4*G4</f>
        <v>0</v>
      </c>
      <c r="AE15" s="407">
        <f>$AB$4/'برآورد فروش'!$H$4*H4</f>
        <v>0</v>
      </c>
      <c r="AF15" s="407">
        <f>$AB$4/'برآورد فروش'!$H$4*I4</f>
        <v>0</v>
      </c>
      <c r="AG15" s="407">
        <f>$AB$4/'برآورد فروش'!$H$4*J4</f>
        <v>0</v>
      </c>
      <c r="AH15" s="407">
        <f>$AB$4/'برآورد فروش'!$H$4*K4</f>
        <v>0</v>
      </c>
      <c r="AI15" s="407">
        <f>$AB$4/'برآورد فروش'!$H$4*L4</f>
        <v>0</v>
      </c>
      <c r="AJ15" s="407"/>
      <c r="AK15" s="407"/>
      <c r="AL15" s="407"/>
      <c r="AM15" s="407"/>
      <c r="AN15" s="407"/>
      <c r="AO15" s="407"/>
      <c r="AP15" s="407"/>
      <c r="AQ15" s="407"/>
      <c r="AR15" s="407"/>
      <c r="AS15" s="407"/>
      <c r="AT15" s="407"/>
      <c r="AU15" s="407"/>
      <c r="AV15" s="407"/>
      <c r="AW15" s="407" t="str">
        <f>استهلاك!B16</f>
        <v>هزينه استهلاك سالیانه ( ارقام به هزار ريال )</v>
      </c>
      <c r="AX15" s="407"/>
      <c r="AY15" s="407"/>
      <c r="AZ15" s="407"/>
      <c r="BA15" s="407"/>
      <c r="BB15" s="407"/>
      <c r="BC15" s="407"/>
      <c r="BD15" s="407"/>
      <c r="BE15" s="407"/>
      <c r="BF15" s="407"/>
      <c r="BG15" s="407"/>
      <c r="BH15" s="407"/>
      <c r="BI15" s="407"/>
      <c r="BJ15" s="407"/>
      <c r="BK15" s="407"/>
      <c r="BL15" s="1128" t="str">
        <f>'هزينه هاي توليد'!A14</f>
        <v>جمع هزينه هاي  عملياتي</v>
      </c>
      <c r="BM15" s="1128"/>
      <c r="BN15" s="1128"/>
      <c r="BO15" s="464">
        <f>SUM(BO13:BO14)</f>
        <v>27654000</v>
      </c>
      <c r="BP15" s="464">
        <f>SUM(BP13:BP14)</f>
        <v>27654000</v>
      </c>
      <c r="BQ15" s="407"/>
      <c r="BR15" s="407"/>
      <c r="BS15" s="407"/>
      <c r="BT15" s="455">
        <f>'هزينه هاي ثابت و متغير'!A15:A16</f>
        <v>12</v>
      </c>
      <c r="BU15" s="407" t="str">
        <f>'هزينه هاي ثابت و متغير'!B15:B16</f>
        <v>هزينه هاي مالي</v>
      </c>
      <c r="BV15" s="462">
        <f>'هزينه هاي ثابت و متغير'!C15:C16</f>
        <v>1</v>
      </c>
      <c r="BW15" s="407">
        <f t="shared" si="17"/>
        <v>0</v>
      </c>
      <c r="BX15" s="462">
        <f>'هزينه هاي ثابت و متغير'!E15:E16</f>
        <v>0</v>
      </c>
      <c r="BY15" s="407">
        <f t="shared" si="18"/>
        <v>0</v>
      </c>
      <c r="BZ15" s="451">
        <f>BP17</f>
        <v>0</v>
      </c>
      <c r="CA15" s="455">
        <f>'هزينه هاي ثابت و متغير'!H15:H16</f>
        <v>12</v>
      </c>
      <c r="CB15" s="407" t="str">
        <f>'هزينه هاي ثابت و متغير'!I15:I16</f>
        <v>هزينه هاي مالي</v>
      </c>
      <c r="CC15" s="407">
        <f>'هزينه هاي ثابت و متغير'!J15:J16</f>
        <v>0</v>
      </c>
      <c r="CD15" s="407">
        <f>'هزينه هاي ثابت و متغير'!K15:K16</f>
        <v>0</v>
      </c>
      <c r="CE15" s="407">
        <f>'هزينه هاي ثابت و متغير'!L15:L16</f>
        <v>0</v>
      </c>
      <c r="CF15" s="407">
        <f>'هزينه هاي ثابت و متغير'!M15:M16</f>
        <v>0</v>
      </c>
      <c r="CG15" s="407">
        <f>'هزينه هاي ثابت و متغير'!N15:N16</f>
        <v>0</v>
      </c>
      <c r="CH15" s="407">
        <f>'هزينه هاي ثابت و متغير'!O15:O16</f>
        <v>0</v>
      </c>
      <c r="CI15" s="407">
        <f>'هزينه هاي ثابت و متغير'!P15:P16</f>
        <v>0</v>
      </c>
      <c r="CJ15" s="407">
        <f>'هزينه هاي ثابت و متغير'!Q15:Q16</f>
        <v>0</v>
      </c>
      <c r="CK15" s="407">
        <f>'هزينه هاي ثابت و متغير'!R15:R16</f>
        <v>0</v>
      </c>
      <c r="CL15" s="407">
        <f>'هزينه هاي ثابت و متغير'!S15:S16</f>
        <v>0</v>
      </c>
      <c r="CM15" s="451">
        <f>'هزينه هاي ثابت و متغير'!T15:T16</f>
        <v>0</v>
      </c>
      <c r="CN15" s="455">
        <f>'هزينه هاي ثابت و متغير'!U15:U16</f>
        <v>12</v>
      </c>
      <c r="CO15" s="407" t="str">
        <f>'هزينه هاي ثابت و متغير'!V15:V16</f>
        <v>هزينه هاي مالي</v>
      </c>
      <c r="CP15" s="407">
        <f>$BZ$15*$BX$15*B5</f>
        <v>0</v>
      </c>
      <c r="CQ15" s="407">
        <f t="shared" ref="CQ15:CZ15" si="81">$BZ$15*$BX$15*C5</f>
        <v>0</v>
      </c>
      <c r="CR15" s="407">
        <f t="shared" si="81"/>
        <v>0</v>
      </c>
      <c r="CS15" s="407">
        <f t="shared" si="81"/>
        <v>0</v>
      </c>
      <c r="CT15" s="407">
        <f t="shared" si="81"/>
        <v>0</v>
      </c>
      <c r="CU15" s="407">
        <f t="shared" si="81"/>
        <v>0</v>
      </c>
      <c r="CV15" s="407">
        <f t="shared" si="81"/>
        <v>0</v>
      </c>
      <c r="CW15" s="407">
        <f t="shared" si="81"/>
        <v>0</v>
      </c>
      <c r="CX15" s="407">
        <f t="shared" si="81"/>
        <v>0</v>
      </c>
      <c r="CY15" s="407">
        <f t="shared" si="81"/>
        <v>0</v>
      </c>
      <c r="CZ15" s="407">
        <f t="shared" si="81"/>
        <v>0</v>
      </c>
      <c r="DA15" s="407"/>
      <c r="DC15" s="442">
        <f>'هزينه هاي ثابت و متغير'!AH15:AH16</f>
        <v>12</v>
      </c>
      <c r="DD15" s="359" t="str">
        <f>'هزينه هاي ثابت و متغير'!AI15:AI16</f>
        <v>هزينه هاي مالي</v>
      </c>
      <c r="DE15" s="438">
        <f t="shared" si="22"/>
        <v>0</v>
      </c>
      <c r="DF15" s="438">
        <f t="shared" si="23"/>
        <v>0</v>
      </c>
      <c r="DG15" s="438">
        <f t="shared" si="24"/>
        <v>0</v>
      </c>
      <c r="DH15" s="438">
        <f t="shared" si="25"/>
        <v>0</v>
      </c>
      <c r="DI15" s="438">
        <f t="shared" si="26"/>
        <v>0</v>
      </c>
      <c r="DJ15" s="438">
        <f t="shared" si="27"/>
        <v>0</v>
      </c>
      <c r="DK15" s="438">
        <f t="shared" si="28"/>
        <v>0</v>
      </c>
      <c r="DL15" s="438">
        <f t="shared" si="29"/>
        <v>0</v>
      </c>
      <c r="DM15" s="438">
        <f t="shared" si="30"/>
        <v>0</v>
      </c>
      <c r="DN15" s="438">
        <f t="shared" si="31"/>
        <v>0</v>
      </c>
      <c r="DO15" s="438">
        <f t="shared" si="32"/>
        <v>0</v>
      </c>
      <c r="DT15" s="367">
        <v>11</v>
      </c>
      <c r="DU15" s="367" t="s">
        <v>498</v>
      </c>
      <c r="DV15" s="367">
        <f>DV13-DV14</f>
        <v>-182548611.12035227</v>
      </c>
      <c r="DW15" s="367">
        <f t="shared" ref="DW15:EF15" si="82">DW13-DW14</f>
        <v>-182548611.12035227</v>
      </c>
      <c r="DX15" s="367">
        <f t="shared" si="82"/>
        <v>-182548611.12035227</v>
      </c>
      <c r="DY15" s="367">
        <f t="shared" si="82"/>
        <v>-182548611.12035227</v>
      </c>
      <c r="DZ15" s="367">
        <f t="shared" si="82"/>
        <v>-184123611.12035227</v>
      </c>
      <c r="EA15" s="367">
        <f t="shared" si="82"/>
        <v>43486642.5</v>
      </c>
      <c r="EB15" s="367">
        <f t="shared" si="82"/>
        <v>43486642.5</v>
      </c>
      <c r="EC15" s="367">
        <f t="shared" si="82"/>
        <v>43486642.5</v>
      </c>
      <c r="ED15" s="367">
        <f t="shared" si="82"/>
        <v>43486642.5</v>
      </c>
      <c r="EE15" s="367">
        <f t="shared" si="82"/>
        <v>43486642.5</v>
      </c>
      <c r="EF15" s="367">
        <f t="shared" si="82"/>
        <v>34815592.5</v>
      </c>
      <c r="EG15" s="359"/>
      <c r="EH15" s="359"/>
      <c r="EI15" s="432" t="str">
        <f>'ترازنامه ایجادی'!A14</f>
        <v>کسر تجمعی استهلاک</v>
      </c>
      <c r="EJ15" s="374">
        <f>'ترازنامه ایجادی'!B14</f>
        <v>0</v>
      </c>
      <c r="EK15" s="374">
        <f>AX28+AX29</f>
        <v>246802303.62035227</v>
      </c>
      <c r="EL15" s="374">
        <f>AY28+AY29+EK15</f>
        <v>493604607.24070454</v>
      </c>
      <c r="EM15" s="374">
        <f>AZ28+AZ29+EL15</f>
        <v>740406910.8610568</v>
      </c>
      <c r="EN15" s="374">
        <f>BA28+BA29+EM15</f>
        <v>987209214.48140907</v>
      </c>
      <c r="EO15" s="374">
        <f t="shared" ref="EO15:EU15" si="83">BB28+BB29+EN15</f>
        <v>1232436518.1017613</v>
      </c>
      <c r="EP15" s="374">
        <f t="shared" si="83"/>
        <v>1246273568.1017613</v>
      </c>
      <c r="EQ15" s="374">
        <f t="shared" si="83"/>
        <v>1260110618.1017613</v>
      </c>
      <c r="ER15" s="374">
        <f t="shared" si="83"/>
        <v>1273947668.1017613</v>
      </c>
      <c r="ES15" s="374">
        <f t="shared" si="83"/>
        <v>1287784718.1017613</v>
      </c>
      <c r="ET15" s="374">
        <f t="shared" si="83"/>
        <v>1301621768.1017613</v>
      </c>
      <c r="EU15" s="374">
        <f t="shared" si="83"/>
        <v>1306787768.1017613</v>
      </c>
      <c r="EV15" s="359"/>
      <c r="EW15" s="359"/>
      <c r="EY15" s="380" t="str">
        <f>'جریان نقدینگی'!A15</f>
        <v xml:space="preserve">هزینه های جاری </v>
      </c>
      <c r="EZ15" s="376">
        <f>'جریان نقدینگی'!B15</f>
        <v>0</v>
      </c>
      <c r="FA15" s="376">
        <f t="shared" ref="FA15:FK15" si="84">DV5+DV6+DV7+DV8+DV9+DV11+DV12+DV17+DV18+DV21+DV22</f>
        <v>57303592.5</v>
      </c>
      <c r="FB15" s="376">
        <f t="shared" si="84"/>
        <v>57303592.5</v>
      </c>
      <c r="FC15" s="376">
        <f t="shared" si="84"/>
        <v>57303592.5</v>
      </c>
      <c r="FD15" s="376">
        <f t="shared" si="84"/>
        <v>57303592.5</v>
      </c>
      <c r="FE15" s="376">
        <f t="shared" si="84"/>
        <v>57303592.5</v>
      </c>
      <c r="FF15" s="376">
        <f t="shared" si="84"/>
        <v>57303592.5</v>
      </c>
      <c r="FG15" s="376">
        <f t="shared" si="84"/>
        <v>57303592.5</v>
      </c>
      <c r="FH15" s="376">
        <f t="shared" si="84"/>
        <v>57303592.5</v>
      </c>
      <c r="FI15" s="376">
        <f t="shared" si="84"/>
        <v>57303592.5</v>
      </c>
      <c r="FJ15" s="376">
        <f t="shared" si="84"/>
        <v>57303592.5</v>
      </c>
      <c r="FK15" s="376">
        <f t="shared" si="84"/>
        <v>57303592.5</v>
      </c>
      <c r="FL15" s="376">
        <f>EG5+EG6+EG7+EG8+EG9+EG11+EG12+EG15+EG16+EG19+EG20</f>
        <v>0</v>
      </c>
      <c r="FM15" s="359"/>
      <c r="FN15" s="359"/>
      <c r="FO15" s="359"/>
      <c r="GG15" s="373"/>
      <c r="GH15" s="373"/>
      <c r="GI15" s="373"/>
      <c r="GJ15" s="373"/>
      <c r="GK15" s="373"/>
      <c r="GL15" s="373"/>
      <c r="GM15" s="373"/>
      <c r="GN15" s="373"/>
      <c r="GO15" s="373"/>
      <c r="GP15" s="373"/>
      <c r="GQ15" s="373"/>
      <c r="GR15" s="373"/>
      <c r="GS15" s="373"/>
      <c r="GT15" s="373"/>
      <c r="GU15" s="373"/>
      <c r="GV15" s="373"/>
    </row>
    <row r="16" spans="1:204" ht="15.6" thickBot="1">
      <c r="A16" s="455">
        <f>'برآورد فروش'!A16</f>
        <v>0</v>
      </c>
      <c r="B16" s="407">
        <f t="shared" si="46"/>
        <v>0</v>
      </c>
      <c r="C16" s="407">
        <f t="shared" si="47"/>
        <v>0</v>
      </c>
      <c r="D16" s="407">
        <f t="shared" si="48"/>
        <v>0</v>
      </c>
      <c r="E16" s="407">
        <f t="shared" si="49"/>
        <v>0</v>
      </c>
      <c r="F16" s="407">
        <f t="shared" si="50"/>
        <v>0</v>
      </c>
      <c r="G16" s="407">
        <f t="shared" si="51"/>
        <v>0</v>
      </c>
      <c r="H16" s="407">
        <f t="shared" si="52"/>
        <v>0</v>
      </c>
      <c r="I16" s="407">
        <f t="shared" si="53"/>
        <v>0</v>
      </c>
      <c r="J16" s="407">
        <f t="shared" si="54"/>
        <v>0</v>
      </c>
      <c r="K16" s="407">
        <f t="shared" si="55"/>
        <v>0</v>
      </c>
      <c r="L16" s="407">
        <f t="shared" si="56"/>
        <v>0</v>
      </c>
      <c r="M16" s="465"/>
      <c r="N16" s="407"/>
      <c r="O16" s="407"/>
      <c r="P16" s="1141" t="str">
        <f>'سرمايه‌‌گذاري طرح'!A16:A17</f>
        <v>سرمايه در گردش</v>
      </c>
      <c r="Q16" s="1128"/>
      <c r="R16" s="464">
        <f>'سرمايه‌‌گذاري طرح'!D16</f>
        <v>0</v>
      </c>
      <c r="S16" s="464">
        <f>AA9</f>
        <v>2470800.375</v>
      </c>
      <c r="T16" s="465">
        <f>AB9</f>
        <v>2470800.375</v>
      </c>
      <c r="U16" s="407"/>
      <c r="V16" s="407"/>
      <c r="W16" s="407"/>
      <c r="X16" s="407" t="str">
        <f>'سرمايه در گردش'!B16</f>
        <v xml:space="preserve">موجودی کالای ساخته شده </v>
      </c>
      <c r="Y16" s="407">
        <f>(DV13-DV10)*$Y$5/12</f>
        <v>2470799.375</v>
      </c>
      <c r="Z16" s="407">
        <f t="shared" ref="Z16:AI16" si="85">(DW13-DW10)*$Y$5/12</f>
        <v>2470799.375</v>
      </c>
      <c r="AA16" s="407">
        <f t="shared" si="85"/>
        <v>2470799.375</v>
      </c>
      <c r="AB16" s="407">
        <f t="shared" si="85"/>
        <v>2470799.375</v>
      </c>
      <c r="AC16" s="407">
        <f t="shared" si="85"/>
        <v>2470799.375</v>
      </c>
      <c r="AD16" s="407">
        <f t="shared" si="85"/>
        <v>2470799.375</v>
      </c>
      <c r="AE16" s="407">
        <f t="shared" si="85"/>
        <v>2470799.375</v>
      </c>
      <c r="AF16" s="407">
        <f t="shared" si="85"/>
        <v>2470799.375</v>
      </c>
      <c r="AG16" s="407">
        <f t="shared" si="85"/>
        <v>2470799.375</v>
      </c>
      <c r="AH16" s="407">
        <f t="shared" si="85"/>
        <v>2470799.375</v>
      </c>
      <c r="AI16" s="407">
        <f t="shared" si="85"/>
        <v>2470799.375</v>
      </c>
      <c r="AJ16" s="407"/>
      <c r="AK16" s="407"/>
      <c r="AL16" s="407"/>
      <c r="AM16" s="407"/>
      <c r="AN16" s="407"/>
      <c r="AO16" s="407"/>
      <c r="AP16" s="407"/>
      <c r="AQ16" s="407"/>
      <c r="AR16" s="407"/>
      <c r="AS16" s="407"/>
      <c r="AT16" s="407"/>
      <c r="AU16" s="407"/>
      <c r="AV16" s="407"/>
      <c r="AW16" s="407">
        <f>استهلاك!B17</f>
        <v>0</v>
      </c>
      <c r="AX16" s="407">
        <f>استهلاك!C17</f>
        <v>0</v>
      </c>
      <c r="AY16" s="407">
        <f>استهلاك!D17</f>
        <v>1</v>
      </c>
      <c r="AZ16" s="407">
        <f>استهلاك!E17</f>
        <v>2</v>
      </c>
      <c r="BA16" s="407">
        <f>استهلاك!F17</f>
        <v>3</v>
      </c>
      <c r="BB16" s="407">
        <f>استهلاك!G17</f>
        <v>4</v>
      </c>
      <c r="BC16" s="407">
        <f>استهلاك!H17</f>
        <v>5</v>
      </c>
      <c r="BD16" s="407">
        <f>استهلاك!I17</f>
        <v>6</v>
      </c>
      <c r="BE16" s="407">
        <f>استهلاك!J17</f>
        <v>7</v>
      </c>
      <c r="BF16" s="407">
        <f>استهلاك!K17</f>
        <v>8</v>
      </c>
      <c r="BG16" s="407">
        <f>استهلاك!L17</f>
        <v>9</v>
      </c>
      <c r="BH16" s="407">
        <f>استهلاك!M17</f>
        <v>10</v>
      </c>
      <c r="BI16" s="407"/>
      <c r="BJ16" s="407"/>
      <c r="BK16" s="407"/>
      <c r="BL16" s="407">
        <f>'هزينه هاي توليد'!A15</f>
        <v>1</v>
      </c>
      <c r="BM16" s="407" t="str">
        <f>'هزينه هاي توليد'!B15</f>
        <v>هزینه استهلاک هزینه های قبل از بهره برداری</v>
      </c>
      <c r="BN16" s="407"/>
      <c r="BO16" s="464">
        <f>'ex1'!L13</f>
        <v>229500253.62035227</v>
      </c>
      <c r="BP16" s="464">
        <f>BO16</f>
        <v>229500253.62035227</v>
      </c>
      <c r="BQ16" s="407"/>
      <c r="BR16" s="407"/>
      <c r="BS16" s="407"/>
      <c r="BT16" s="455">
        <f>'هزينه هاي ثابت و متغير'!A16:A17</f>
        <v>13</v>
      </c>
      <c r="BU16" s="407" t="str">
        <f>'هزينه هاي ثابت و متغير'!B16:B17</f>
        <v>هزینه های اجاره</v>
      </c>
      <c r="BV16" s="462">
        <f>'هزينه هاي ثابت و متغير'!C16:C17</f>
        <v>1</v>
      </c>
      <c r="BW16" s="407">
        <f t="shared" si="17"/>
        <v>0</v>
      </c>
      <c r="BX16" s="462">
        <f>'هزينه هاي ثابت و متغير'!E16:E17</f>
        <v>0</v>
      </c>
      <c r="BY16" s="407">
        <f t="shared" si="18"/>
        <v>0</v>
      </c>
      <c r="BZ16" s="451">
        <f>BP18</f>
        <v>0</v>
      </c>
      <c r="CA16" s="455">
        <f>'هزينه هاي ثابت و متغير'!H16:H17</f>
        <v>13</v>
      </c>
      <c r="CB16" s="407" t="str">
        <f>'هزينه هاي ثابت و متغير'!I16:I17</f>
        <v>هزینه های اجاره</v>
      </c>
      <c r="CC16" s="407">
        <f>$BZ$16*$BV$16*B3/12</f>
        <v>0</v>
      </c>
      <c r="CD16" s="407">
        <f t="shared" ref="CD16:CM16" si="86">$BZ$16*$BV$16*C3/12</f>
        <v>0</v>
      </c>
      <c r="CE16" s="407">
        <f t="shared" si="86"/>
        <v>0</v>
      </c>
      <c r="CF16" s="407">
        <f t="shared" si="86"/>
        <v>0</v>
      </c>
      <c r="CG16" s="407">
        <f t="shared" si="86"/>
        <v>0</v>
      </c>
      <c r="CH16" s="407">
        <f t="shared" si="86"/>
        <v>0</v>
      </c>
      <c r="CI16" s="407">
        <f t="shared" si="86"/>
        <v>0</v>
      </c>
      <c r="CJ16" s="407">
        <f t="shared" si="86"/>
        <v>0</v>
      </c>
      <c r="CK16" s="407">
        <f t="shared" si="86"/>
        <v>0</v>
      </c>
      <c r="CL16" s="407">
        <f t="shared" si="86"/>
        <v>0</v>
      </c>
      <c r="CM16" s="407">
        <f t="shared" si="86"/>
        <v>0</v>
      </c>
      <c r="CN16" s="455">
        <f>'هزينه هاي ثابت و متغير'!U16:U17</f>
        <v>13</v>
      </c>
      <c r="CO16" s="407" t="str">
        <f>'هزينه هاي ثابت و متغير'!V16:V17</f>
        <v>هزینه های اجاره</v>
      </c>
      <c r="CP16" s="407">
        <f>$BZ$16*$BX$16*B5</f>
        <v>0</v>
      </c>
      <c r="CQ16" s="407">
        <f t="shared" ref="CQ16:CZ16" si="87">$BZ$16*$BX$16*C5</f>
        <v>0</v>
      </c>
      <c r="CR16" s="407">
        <f t="shared" si="87"/>
        <v>0</v>
      </c>
      <c r="CS16" s="407">
        <f t="shared" si="87"/>
        <v>0</v>
      </c>
      <c r="CT16" s="407">
        <f t="shared" si="87"/>
        <v>0</v>
      </c>
      <c r="CU16" s="407">
        <f t="shared" si="87"/>
        <v>0</v>
      </c>
      <c r="CV16" s="407">
        <f t="shared" si="87"/>
        <v>0</v>
      </c>
      <c r="CW16" s="407">
        <f t="shared" si="87"/>
        <v>0</v>
      </c>
      <c r="CX16" s="407">
        <f t="shared" si="87"/>
        <v>0</v>
      </c>
      <c r="CY16" s="407">
        <f t="shared" si="87"/>
        <v>0</v>
      </c>
      <c r="CZ16" s="407">
        <f t="shared" si="87"/>
        <v>0</v>
      </c>
      <c r="DA16" s="407"/>
      <c r="DC16" s="442">
        <f>'هزينه هاي ثابت و متغير'!AH16:AH17</f>
        <v>13</v>
      </c>
      <c r="DD16" s="359" t="str">
        <f>'هزينه هاي ثابت و متغير'!AI16:AI17</f>
        <v>هزینه های اجاره</v>
      </c>
      <c r="DE16" s="438">
        <f t="shared" si="22"/>
        <v>0</v>
      </c>
      <c r="DF16" s="438">
        <f t="shared" si="23"/>
        <v>0</v>
      </c>
      <c r="DG16" s="438">
        <f t="shared" si="24"/>
        <v>0</v>
      </c>
      <c r="DH16" s="438">
        <f t="shared" si="25"/>
        <v>0</v>
      </c>
      <c r="DI16" s="438">
        <f t="shared" si="26"/>
        <v>0</v>
      </c>
      <c r="DJ16" s="438">
        <f t="shared" si="27"/>
        <v>0</v>
      </c>
      <c r="DK16" s="438">
        <f t="shared" si="28"/>
        <v>0</v>
      </c>
      <c r="DL16" s="438">
        <f t="shared" si="29"/>
        <v>0</v>
      </c>
      <c r="DM16" s="438">
        <f t="shared" si="30"/>
        <v>0</v>
      </c>
      <c r="DN16" s="438">
        <f t="shared" si="31"/>
        <v>0</v>
      </c>
      <c r="DO16" s="438">
        <f t="shared" si="32"/>
        <v>0</v>
      </c>
      <c r="DT16" s="1129" t="str">
        <f>'پيش بيني عملكرد سود و زيان'!A17</f>
        <v>سود (زیان) ناويژه</v>
      </c>
      <c r="DU16" s="1130"/>
      <c r="DV16" s="361">
        <f>DV3-DV15</f>
        <v>182548611.12035227</v>
      </c>
      <c r="DW16" s="361">
        <f t="shared" ref="DW16:EF16" si="88">DW3-DW15</f>
        <v>182548611.12035227</v>
      </c>
      <c r="DX16" s="361">
        <f t="shared" si="88"/>
        <v>182548611.12035227</v>
      </c>
      <c r="DY16" s="361">
        <f t="shared" si="88"/>
        <v>182548611.12035227</v>
      </c>
      <c r="DZ16" s="361">
        <f t="shared" si="88"/>
        <v>184123611.12035227</v>
      </c>
      <c r="EA16" s="361">
        <f t="shared" si="88"/>
        <v>-43486642.5</v>
      </c>
      <c r="EB16" s="361">
        <f t="shared" si="88"/>
        <v>-43486642.5</v>
      </c>
      <c r="EC16" s="361">
        <f t="shared" si="88"/>
        <v>-43486642.5</v>
      </c>
      <c r="ED16" s="361">
        <f t="shared" si="88"/>
        <v>-43486642.5</v>
      </c>
      <c r="EE16" s="361">
        <f t="shared" si="88"/>
        <v>-43486642.5</v>
      </c>
      <c r="EF16" s="361">
        <f t="shared" si="88"/>
        <v>-34815592.5</v>
      </c>
      <c r="EG16" s="359"/>
      <c r="EH16" s="359"/>
      <c r="EI16" s="417" t="str">
        <f>'ترازنامه ایجادی'!A15</f>
        <v>کل بدهی ها</v>
      </c>
      <c r="EJ16" s="418">
        <f>'ترازنامه ایجادی'!B15</f>
        <v>1470846409.0019569</v>
      </c>
      <c r="EK16" s="418">
        <f>'ترازنامه ایجادی'!C15</f>
        <v>1252337294.928277</v>
      </c>
      <c r="EL16" s="418">
        <f>'ترازنامه ایجادی'!D15</f>
        <v>1177927345.0675726</v>
      </c>
      <c r="EM16" s="418">
        <f>'ترازنامه ایجادی'!E15</f>
        <v>1253517395.2068682</v>
      </c>
      <c r="EN16" s="418">
        <f>'ترازنامه ایجادی'!F15</f>
        <v>1579107445.3461637</v>
      </c>
      <c r="EO16" s="418">
        <f>'ترازنامه ایجادی'!G15</f>
        <v>1054697507.485459</v>
      </c>
      <c r="EP16" s="418">
        <f>'ترازنامه ایجادی'!H15</f>
        <v>991178076.86545897</v>
      </c>
      <c r="EQ16" s="418">
        <f>'ترازنامه ایجادی'!I15</f>
        <v>927658646.24545896</v>
      </c>
      <c r="ER16" s="418">
        <f>'ترازنامه ایجادی'!J15</f>
        <v>864139215.62545896</v>
      </c>
      <c r="ES16" s="418">
        <f>'ترازنامه ایجادی'!K15</f>
        <v>800619785.00545895</v>
      </c>
      <c r="ET16" s="418">
        <f>'ترازنامه ایجادی'!L15</f>
        <v>737100354.38545895</v>
      </c>
      <c r="EU16" s="419">
        <f>'ترازنامه ایجادی'!M15</f>
        <v>674630773.76545894</v>
      </c>
      <c r="EV16" s="359"/>
      <c r="EW16" s="359"/>
      <c r="EY16" s="380" t="str">
        <f>'جریان نقدینگی'!A16</f>
        <v>مالیات</v>
      </c>
      <c r="EZ16" s="376">
        <v>0</v>
      </c>
      <c r="FA16" s="376">
        <f t="shared" ref="FA16:FK16" si="89">DV26</f>
        <v>0</v>
      </c>
      <c r="FB16" s="376">
        <f t="shared" si="89"/>
        <v>0</v>
      </c>
      <c r="FC16" s="376">
        <f t="shared" si="89"/>
        <v>0</v>
      </c>
      <c r="FD16" s="376">
        <f t="shared" si="89"/>
        <v>0</v>
      </c>
      <c r="FE16" s="376">
        <f t="shared" si="89"/>
        <v>0</v>
      </c>
      <c r="FF16" s="376">
        <f t="shared" si="89"/>
        <v>0</v>
      </c>
      <c r="FG16" s="376">
        <f t="shared" si="89"/>
        <v>0</v>
      </c>
      <c r="FH16" s="376">
        <f t="shared" si="89"/>
        <v>0</v>
      </c>
      <c r="FI16" s="376">
        <f t="shared" si="89"/>
        <v>0</v>
      </c>
      <c r="FJ16" s="376">
        <f t="shared" si="89"/>
        <v>0</v>
      </c>
      <c r="FK16" s="376">
        <f t="shared" si="89"/>
        <v>0</v>
      </c>
      <c r="FL16" s="381">
        <f>EG24</f>
        <v>0</v>
      </c>
      <c r="FM16" s="359"/>
      <c r="FN16" s="359"/>
      <c r="FO16" s="359"/>
    </row>
    <row r="17" spans="1:177" ht="15.6" thickBot="1">
      <c r="A17" s="456" t="str">
        <f>'برآورد فروش'!A17</f>
        <v xml:space="preserve">ضايعات قابل فروش </v>
      </c>
      <c r="B17" s="452">
        <f>$B$4*M17</f>
        <v>0</v>
      </c>
      <c r="C17" s="452">
        <f>$C$4*M17</f>
        <v>0</v>
      </c>
      <c r="D17" s="452">
        <f>$D$4*M17</f>
        <v>0</v>
      </c>
      <c r="E17" s="452">
        <f>$E$4*M17</f>
        <v>0</v>
      </c>
      <c r="F17" s="452">
        <f>$F$4*M17</f>
        <v>0</v>
      </c>
      <c r="G17" s="452">
        <f>$G$4*M17</f>
        <v>0</v>
      </c>
      <c r="H17" s="452">
        <f>$H$4*M17</f>
        <v>0</v>
      </c>
      <c r="I17" s="452">
        <f>$I$4*M17</f>
        <v>0</v>
      </c>
      <c r="J17" s="452">
        <f>$J$4*M17</f>
        <v>0</v>
      </c>
      <c r="K17" s="452">
        <f>$K$4*M17</f>
        <v>0</v>
      </c>
      <c r="L17" s="452">
        <f>$L$4*M17</f>
        <v>0</v>
      </c>
      <c r="M17" s="453">
        <v>0</v>
      </c>
      <c r="N17" s="407"/>
      <c r="O17" s="407"/>
      <c r="P17" s="1133" t="str">
        <f>'سرمايه‌‌گذاري طرح'!A17:A18</f>
        <v>جمع كل هزينه هاي سرمايه گذاري طرح</v>
      </c>
      <c r="Q17" s="1134"/>
      <c r="R17" s="466">
        <f>R16+R15</f>
        <v>72880000</v>
      </c>
      <c r="S17" s="466">
        <f>S16+S15</f>
        <v>1400437209.3769569</v>
      </c>
      <c r="T17" s="467">
        <f>T16+T15</f>
        <v>1473317209.3769569</v>
      </c>
      <c r="U17" s="407"/>
      <c r="V17" s="407"/>
      <c r="W17" s="407"/>
      <c r="X17" s="407" t="str">
        <f>'سرمايه در گردش'!B17</f>
        <v>مطالبات</v>
      </c>
      <c r="Y17" s="407">
        <f>B34/12*$Y$6</f>
        <v>0</v>
      </c>
      <c r="Z17" s="407">
        <f t="shared" ref="Z17:AI17" si="90">C34/12*$Y$6</f>
        <v>0</v>
      </c>
      <c r="AA17" s="407">
        <f t="shared" si="90"/>
        <v>0</v>
      </c>
      <c r="AB17" s="407">
        <f t="shared" si="90"/>
        <v>0</v>
      </c>
      <c r="AC17" s="407">
        <f t="shared" si="90"/>
        <v>0</v>
      </c>
      <c r="AD17" s="407">
        <f t="shared" si="90"/>
        <v>0</v>
      </c>
      <c r="AE17" s="407">
        <f t="shared" si="90"/>
        <v>0</v>
      </c>
      <c r="AF17" s="407">
        <f t="shared" si="90"/>
        <v>0</v>
      </c>
      <c r="AG17" s="407">
        <f t="shared" si="90"/>
        <v>0</v>
      </c>
      <c r="AH17" s="407">
        <f t="shared" si="90"/>
        <v>0</v>
      </c>
      <c r="AI17" s="407">
        <f t="shared" si="90"/>
        <v>0</v>
      </c>
      <c r="AJ17" s="407"/>
      <c r="AK17" s="407"/>
      <c r="AL17" s="407"/>
      <c r="AM17" s="407"/>
      <c r="AN17" s="407"/>
      <c r="AO17" s="407"/>
      <c r="AP17" s="407"/>
      <c r="AQ17" s="407"/>
      <c r="AR17" s="407"/>
      <c r="AS17" s="407"/>
      <c r="AT17" s="407"/>
      <c r="AU17" s="407"/>
      <c r="AV17" s="407"/>
      <c r="AW17" s="407" t="str">
        <f>استهلاك!B18</f>
        <v>سال</v>
      </c>
      <c r="AX17" s="407" t="str">
        <f>استهلاك!C18</f>
        <v>سال بهره برداری</v>
      </c>
      <c r="AY17" s="407" t="str">
        <f>استهلاك!D18</f>
        <v xml:space="preserve">سال اول </v>
      </c>
      <c r="AZ17" s="407" t="str">
        <f>استهلاك!E18</f>
        <v>سال دوم</v>
      </c>
      <c r="BA17" s="407" t="str">
        <f>استهلاك!F18</f>
        <v>سال سوم</v>
      </c>
      <c r="BB17" s="407" t="str">
        <f>استهلاك!G18</f>
        <v>سال چهارم</v>
      </c>
      <c r="BC17" s="407" t="str">
        <f>استهلاك!H18</f>
        <v>سال پنجم</v>
      </c>
      <c r="BD17" s="407" t="str">
        <f>استهلاك!I18</f>
        <v>سال ششم</v>
      </c>
      <c r="BE17" s="407" t="str">
        <f>استهلاك!J18</f>
        <v>سال هفتم</v>
      </c>
      <c r="BF17" s="407" t="str">
        <f>استهلاك!K18</f>
        <v>سال هشتم</v>
      </c>
      <c r="BG17" s="407" t="str">
        <f>استهلاك!L18</f>
        <v>سال نهم</v>
      </c>
      <c r="BH17" s="407" t="str">
        <f>استهلاك!M18</f>
        <v>سال دهم</v>
      </c>
      <c r="BI17" s="407"/>
      <c r="BJ17" s="407"/>
      <c r="BK17" s="407"/>
      <c r="BL17" s="407">
        <f>'هزينه هاي توليد'!A16</f>
        <v>2</v>
      </c>
      <c r="BM17" s="407" t="str">
        <f>'هزينه هاي توليد'!B16</f>
        <v>هزينه هاي مالي</v>
      </c>
      <c r="BN17" s="407"/>
      <c r="BO17" s="464">
        <f>'هزينه هاي توليد'!D16</f>
        <v>0</v>
      </c>
      <c r="BP17" s="464">
        <f>BO17</f>
        <v>0</v>
      </c>
      <c r="BQ17" s="407"/>
      <c r="BR17" s="407"/>
      <c r="BS17" s="407"/>
      <c r="BT17" s="455">
        <f>'هزينه هاي ثابت و متغير'!A17:A18</f>
        <v>14</v>
      </c>
      <c r="BU17" s="407" t="str">
        <f>'هزينه هاي ثابت و متغير'!B17:B18</f>
        <v>هزینه های بیمه</v>
      </c>
      <c r="BV17" s="462">
        <f>'هزينه هاي ثابت و متغير'!C17:C18</f>
        <v>1</v>
      </c>
      <c r="BW17" s="407">
        <f t="shared" si="17"/>
        <v>0</v>
      </c>
      <c r="BX17" s="407">
        <f>'هزينه هاي ثابت و متغير'!E17:E18</f>
        <v>0</v>
      </c>
      <c r="BY17" s="407">
        <f t="shared" si="18"/>
        <v>0</v>
      </c>
      <c r="BZ17" s="451">
        <f>BP19</f>
        <v>0</v>
      </c>
      <c r="CA17" s="455">
        <f>'هزينه هاي ثابت و متغير'!H17:H18</f>
        <v>14</v>
      </c>
      <c r="CB17" s="407" t="str">
        <f>'هزينه هاي ثابت و متغير'!I17:I18</f>
        <v>هزینه های بیمه</v>
      </c>
      <c r="CC17" s="407">
        <f>$BZ$17*$BV$17*B3/12</f>
        <v>0</v>
      </c>
      <c r="CD17" s="407">
        <f t="shared" ref="CD17:CM17" si="91">$BZ$17*$BV$17*C3/12</f>
        <v>0</v>
      </c>
      <c r="CE17" s="407">
        <f t="shared" si="91"/>
        <v>0</v>
      </c>
      <c r="CF17" s="407">
        <f t="shared" si="91"/>
        <v>0</v>
      </c>
      <c r="CG17" s="407">
        <f t="shared" si="91"/>
        <v>0</v>
      </c>
      <c r="CH17" s="407">
        <f t="shared" si="91"/>
        <v>0</v>
      </c>
      <c r="CI17" s="407">
        <f t="shared" si="91"/>
        <v>0</v>
      </c>
      <c r="CJ17" s="407">
        <f t="shared" si="91"/>
        <v>0</v>
      </c>
      <c r="CK17" s="407">
        <f t="shared" si="91"/>
        <v>0</v>
      </c>
      <c r="CL17" s="407">
        <f t="shared" si="91"/>
        <v>0</v>
      </c>
      <c r="CM17" s="407">
        <f t="shared" si="91"/>
        <v>0</v>
      </c>
      <c r="CN17" s="455">
        <f>'هزينه هاي ثابت و متغير'!U17:U18</f>
        <v>14</v>
      </c>
      <c r="CO17" s="407" t="str">
        <f>'هزينه هاي ثابت و متغير'!V17:V18</f>
        <v>هزینه های بیمه</v>
      </c>
      <c r="CP17" s="407">
        <f>$BZ$17*$BX$17*B5</f>
        <v>0</v>
      </c>
      <c r="CQ17" s="407">
        <f t="shared" ref="CQ17:CZ17" si="92">$BZ$17*$BX$17*C5</f>
        <v>0</v>
      </c>
      <c r="CR17" s="407">
        <f t="shared" si="92"/>
        <v>0</v>
      </c>
      <c r="CS17" s="407">
        <f t="shared" si="92"/>
        <v>0</v>
      </c>
      <c r="CT17" s="407">
        <f t="shared" si="92"/>
        <v>0</v>
      </c>
      <c r="CU17" s="407">
        <f t="shared" si="92"/>
        <v>0</v>
      </c>
      <c r="CV17" s="407">
        <f t="shared" si="92"/>
        <v>0</v>
      </c>
      <c r="CW17" s="407">
        <f t="shared" si="92"/>
        <v>0</v>
      </c>
      <c r="CX17" s="407">
        <f t="shared" si="92"/>
        <v>0</v>
      </c>
      <c r="CY17" s="407">
        <f t="shared" si="92"/>
        <v>0</v>
      </c>
      <c r="CZ17" s="407">
        <f t="shared" si="92"/>
        <v>0</v>
      </c>
      <c r="DA17" s="407"/>
      <c r="DC17" s="442">
        <f>'هزينه هاي ثابت و متغير'!AH17:AH18</f>
        <v>14</v>
      </c>
      <c r="DD17" s="359" t="str">
        <f>'هزينه هاي ثابت و متغير'!AI17:AI18</f>
        <v>هزینه های بیمه</v>
      </c>
      <c r="DE17" s="438">
        <f t="shared" si="22"/>
        <v>0</v>
      </c>
      <c r="DF17" s="438">
        <f t="shared" si="23"/>
        <v>0</v>
      </c>
      <c r="DG17" s="438">
        <f t="shared" si="24"/>
        <v>0</v>
      </c>
      <c r="DH17" s="438">
        <f t="shared" si="25"/>
        <v>0</v>
      </c>
      <c r="DI17" s="438">
        <f t="shared" si="26"/>
        <v>0</v>
      </c>
      <c r="DJ17" s="438">
        <f t="shared" si="27"/>
        <v>0</v>
      </c>
      <c r="DK17" s="438">
        <f t="shared" si="28"/>
        <v>0</v>
      </c>
      <c r="DL17" s="438">
        <f t="shared" si="29"/>
        <v>0</v>
      </c>
      <c r="DM17" s="438">
        <f t="shared" si="30"/>
        <v>0</v>
      </c>
      <c r="DN17" s="438">
        <f t="shared" si="31"/>
        <v>0</v>
      </c>
      <c r="DO17" s="438">
        <f t="shared" si="32"/>
        <v>0</v>
      </c>
      <c r="DT17" s="367">
        <f>'پيش بيني عملكرد سود و زيان'!A18</f>
        <v>12</v>
      </c>
      <c r="DU17" s="368" t="str">
        <f>'پيش بيني عملكرد سود و زيان'!B18</f>
        <v>حقوق و دستمزد پرسنل اداري</v>
      </c>
      <c r="DV17" s="368">
        <f t="shared" ref="DV17:EF18" si="93">DE12</f>
        <v>27654000</v>
      </c>
      <c r="DW17" s="368">
        <f t="shared" si="93"/>
        <v>27654000</v>
      </c>
      <c r="DX17" s="368">
        <f t="shared" si="93"/>
        <v>27654000</v>
      </c>
      <c r="DY17" s="368">
        <f t="shared" si="93"/>
        <v>27654000</v>
      </c>
      <c r="DZ17" s="368">
        <f t="shared" si="93"/>
        <v>27654000</v>
      </c>
      <c r="EA17" s="368">
        <f t="shared" si="93"/>
        <v>27654000</v>
      </c>
      <c r="EB17" s="368">
        <f t="shared" si="93"/>
        <v>27654000</v>
      </c>
      <c r="EC17" s="368">
        <f t="shared" si="93"/>
        <v>27654000</v>
      </c>
      <c r="ED17" s="368">
        <f t="shared" si="93"/>
        <v>27654000</v>
      </c>
      <c r="EE17" s="368">
        <f t="shared" si="93"/>
        <v>27654000</v>
      </c>
      <c r="EF17" s="368">
        <f t="shared" si="93"/>
        <v>27654000</v>
      </c>
      <c r="EG17" s="359"/>
      <c r="EH17" s="359"/>
      <c r="EI17" s="420" t="str">
        <f>'ترازنامه ایجادی'!A16</f>
        <v>بدهی های جاری</v>
      </c>
      <c r="EJ17" s="421">
        <f>'ترازنامه ایجادی'!B16</f>
        <v>0</v>
      </c>
      <c r="EK17" s="421">
        <f>'ترازنامه ایجادی'!C16</f>
        <v>0</v>
      </c>
      <c r="EL17" s="421">
        <f>'ترازنامه ایجادی'!D16</f>
        <v>0</v>
      </c>
      <c r="EM17" s="421">
        <f>'ترازنامه ایجادی'!E16</f>
        <v>0</v>
      </c>
      <c r="EN17" s="421">
        <f>'ترازنامه ایجادی'!F16</f>
        <v>0</v>
      </c>
      <c r="EO17" s="421">
        <f>'ترازنامه ایجادی'!G16</f>
        <v>0</v>
      </c>
      <c r="EP17" s="421">
        <f>'ترازنامه ایجادی'!H16</f>
        <v>0</v>
      </c>
      <c r="EQ17" s="421">
        <f>'ترازنامه ایجادی'!I16</f>
        <v>0</v>
      </c>
      <c r="ER17" s="421">
        <f>'ترازنامه ایجادی'!J16</f>
        <v>0</v>
      </c>
      <c r="ES17" s="421">
        <f>'ترازنامه ایجادی'!K16</f>
        <v>0</v>
      </c>
      <c r="ET17" s="421">
        <f>'ترازنامه ایجادی'!L16</f>
        <v>0</v>
      </c>
      <c r="EU17" s="422">
        <f>'ترازنامه ایجادی'!M16</f>
        <v>0</v>
      </c>
      <c r="EV17" s="359"/>
      <c r="EW17" s="359"/>
      <c r="EY17" s="380" t="str">
        <f>'جریان نقدینگی'!A17</f>
        <v>هزینه های مالی</v>
      </c>
      <c r="EZ17" s="376">
        <f>'جریان نقدینگی'!B17</f>
        <v>0</v>
      </c>
      <c r="FA17" s="376">
        <f>'جریان نقدینگی'!C17</f>
        <v>0</v>
      </c>
      <c r="FB17" s="376">
        <f>'جریان نقدینگی'!D17</f>
        <v>0</v>
      </c>
      <c r="FC17" s="376">
        <f>'جریان نقدینگی'!E17</f>
        <v>0</v>
      </c>
      <c r="FD17" s="376">
        <f>'جریان نقدینگی'!F17</f>
        <v>0</v>
      </c>
      <c r="FE17" s="376">
        <f>'جریان نقدینگی'!G17</f>
        <v>0</v>
      </c>
      <c r="FF17" s="376">
        <f>'جریان نقدینگی'!H17</f>
        <v>0</v>
      </c>
      <c r="FG17" s="376">
        <f>'جریان نقدینگی'!I17</f>
        <v>0</v>
      </c>
      <c r="FH17" s="376">
        <f>'جریان نقدینگی'!J17</f>
        <v>0</v>
      </c>
      <c r="FI17" s="376">
        <f>'جریان نقدینگی'!K17</f>
        <v>0</v>
      </c>
      <c r="FJ17" s="376">
        <f>'جریان نقدینگی'!L17</f>
        <v>0</v>
      </c>
      <c r="FK17" s="376">
        <f>'جریان نقدینگی'!M17</f>
        <v>0</v>
      </c>
      <c r="FL17" s="381">
        <f>'جریان نقدینگی'!N17</f>
        <v>0</v>
      </c>
      <c r="FM17" s="359"/>
      <c r="FN17" s="359"/>
      <c r="FO17" s="359"/>
      <c r="FP17" s="359"/>
      <c r="FQ17" s="374"/>
      <c r="FR17" s="374"/>
      <c r="FS17" s="374"/>
      <c r="FT17" s="374"/>
      <c r="FU17" s="374"/>
    </row>
    <row r="18" spans="1:177" ht="16.2" thickBot="1">
      <c r="A18" s="455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51"/>
      <c r="N18" s="407"/>
      <c r="O18" s="407"/>
      <c r="P18" s="407"/>
      <c r="Q18" s="407"/>
      <c r="R18" s="407"/>
      <c r="S18" s="407"/>
      <c r="T18" s="407"/>
      <c r="U18" s="407"/>
      <c r="V18" s="407"/>
      <c r="W18" s="407"/>
      <c r="X18" s="407" t="str">
        <f>'سرمايه در گردش'!B18</f>
        <v>تنخواه گردان</v>
      </c>
      <c r="Y18" s="407">
        <f>(DV6+DV7+DV8+DV9+DV17)/12*$Y$7</f>
        <v>0</v>
      </c>
      <c r="Z18" s="407">
        <f t="shared" ref="Z18:AI18" si="94">(DW6+DW7+DW8+DW9+DW17)/12*$Y$7</f>
        <v>0</v>
      </c>
      <c r="AA18" s="407">
        <f t="shared" si="94"/>
        <v>0</v>
      </c>
      <c r="AB18" s="407">
        <f t="shared" si="94"/>
        <v>0</v>
      </c>
      <c r="AC18" s="407">
        <f t="shared" si="94"/>
        <v>0</v>
      </c>
      <c r="AD18" s="407">
        <f t="shared" si="94"/>
        <v>0</v>
      </c>
      <c r="AE18" s="407">
        <f t="shared" si="94"/>
        <v>0</v>
      </c>
      <c r="AF18" s="407">
        <f t="shared" si="94"/>
        <v>0</v>
      </c>
      <c r="AG18" s="407">
        <f t="shared" si="94"/>
        <v>0</v>
      </c>
      <c r="AH18" s="407">
        <f t="shared" si="94"/>
        <v>0</v>
      </c>
      <c r="AI18" s="407">
        <f t="shared" si="94"/>
        <v>0</v>
      </c>
      <c r="AJ18" s="407"/>
      <c r="AK18" s="407"/>
      <c r="AL18" s="407"/>
      <c r="AM18" s="407"/>
      <c r="AN18" s="407"/>
      <c r="AO18" s="407"/>
      <c r="AP18" s="407"/>
      <c r="AQ18" s="407"/>
      <c r="AR18" s="407"/>
      <c r="AS18" s="407"/>
      <c r="AT18" s="407"/>
      <c r="AU18" s="407"/>
      <c r="AV18" s="407"/>
      <c r="AW18" s="407">
        <f>استهلاك!B19</f>
        <v>0</v>
      </c>
      <c r="AX18" s="407">
        <f>استهلاك!C19</f>
        <v>0</v>
      </c>
      <c r="AY18" s="407">
        <f>استهلاك!D19</f>
        <v>1</v>
      </c>
      <c r="AZ18" s="407">
        <f>استهلاك!E19</f>
        <v>2</v>
      </c>
      <c r="BA18" s="407">
        <f>استهلاك!F19</f>
        <v>3</v>
      </c>
      <c r="BB18" s="407">
        <f>استهلاك!G19</f>
        <v>4</v>
      </c>
      <c r="BC18" s="407">
        <f>استهلاك!H19</f>
        <v>5</v>
      </c>
      <c r="BD18" s="407">
        <f>استهلاك!I19</f>
        <v>6</v>
      </c>
      <c r="BE18" s="407">
        <f>استهلاك!J19</f>
        <v>7</v>
      </c>
      <c r="BF18" s="407">
        <f>استهلاك!K19</f>
        <v>8</v>
      </c>
      <c r="BG18" s="407">
        <f>استهلاك!L19</f>
        <v>9</v>
      </c>
      <c r="BH18" s="407">
        <f>استهلاك!M19</f>
        <v>10</v>
      </c>
      <c r="BI18" s="407"/>
      <c r="BJ18" s="407"/>
      <c r="BK18" s="407"/>
      <c r="BL18" s="407">
        <f>'هزينه هاي توليد'!A17</f>
        <v>3</v>
      </c>
      <c r="BM18" s="407" t="str">
        <f>'هزينه هاي توليد'!B17</f>
        <v>هزینه های اجاره</v>
      </c>
      <c r="BN18" s="407"/>
      <c r="BO18" s="464">
        <f>'هزينه هاي توليد'!D17</f>
        <v>0</v>
      </c>
      <c r="BP18" s="464">
        <f>BO18</f>
        <v>0</v>
      </c>
      <c r="BQ18" s="407"/>
      <c r="BR18" s="407"/>
      <c r="BS18" s="407"/>
      <c r="BT18" s="1133" t="str">
        <f>'هزينه هاي ثابت و متغير'!A18:A19</f>
        <v>جمع كل</v>
      </c>
      <c r="BU18" s="1134"/>
      <c r="BV18" s="452">
        <f>'هزينه هاي ثابت و متغير'!C18:C19</f>
        <v>0</v>
      </c>
      <c r="BW18" s="452">
        <f>SUM(BW4:BW17)</f>
        <v>291838382.37035227</v>
      </c>
      <c r="BX18" s="452">
        <f>'هزينه هاي ثابت و متغير'!E18:E19</f>
        <v>0</v>
      </c>
      <c r="BY18" s="452">
        <f>SUM(BY4:BY17)</f>
        <v>12267513.75</v>
      </c>
      <c r="BZ18" s="453">
        <f>SUM(BZ4:BZ17)</f>
        <v>304105896.12035227</v>
      </c>
      <c r="CA18" s="1133" t="str">
        <f>'هزينه هاي ثابت و متغير'!H18:H19</f>
        <v>جمع</v>
      </c>
      <c r="CB18" s="1134"/>
      <c r="CC18" s="452">
        <f>SUM(CC4:CC17)</f>
        <v>62338128.75</v>
      </c>
      <c r="CD18" s="452">
        <f t="shared" ref="CD18:CM18" si="95">SUM(CD4:CD17)</f>
        <v>62338128.75</v>
      </c>
      <c r="CE18" s="452">
        <f t="shared" si="95"/>
        <v>62338128.75</v>
      </c>
      <c r="CF18" s="452">
        <f t="shared" si="95"/>
        <v>62338128.75</v>
      </c>
      <c r="CG18" s="452">
        <f t="shared" si="95"/>
        <v>60763128.75</v>
      </c>
      <c r="CH18" s="452">
        <f t="shared" si="95"/>
        <v>58873128.75</v>
      </c>
      <c r="CI18" s="452">
        <f t="shared" si="95"/>
        <v>58873128.75</v>
      </c>
      <c r="CJ18" s="452">
        <f t="shared" si="95"/>
        <v>58873128.75</v>
      </c>
      <c r="CK18" s="452">
        <f t="shared" si="95"/>
        <v>58873128.75</v>
      </c>
      <c r="CL18" s="452">
        <f t="shared" si="95"/>
        <v>58873128.75</v>
      </c>
      <c r="CM18" s="452">
        <f t="shared" si="95"/>
        <v>50202078.75</v>
      </c>
      <c r="CN18" s="1133" t="str">
        <f>'هزينه هاي ثابت و متغير'!U18:U19</f>
        <v>جمع</v>
      </c>
      <c r="CO18" s="1134"/>
      <c r="CP18" s="452">
        <f>SUM(CP4:CP17)</f>
        <v>12267513.75</v>
      </c>
      <c r="CQ18" s="452">
        <f>SUM(CQ4:CQ17)</f>
        <v>12267513.75</v>
      </c>
      <c r="CR18" s="452">
        <f>SUM(CR4:CR17)</f>
        <v>12267513.75</v>
      </c>
      <c r="CS18" s="452">
        <f t="shared" ref="CS18:CZ18" si="96">SUM(CS4:CS17)</f>
        <v>12267513.75</v>
      </c>
      <c r="CT18" s="452">
        <f t="shared" si="96"/>
        <v>12267513.75</v>
      </c>
      <c r="CU18" s="452">
        <f t="shared" si="96"/>
        <v>12267513.75</v>
      </c>
      <c r="CV18" s="452">
        <f t="shared" si="96"/>
        <v>12267513.75</v>
      </c>
      <c r="CW18" s="452">
        <f t="shared" si="96"/>
        <v>12267513.75</v>
      </c>
      <c r="CX18" s="452">
        <f t="shared" si="96"/>
        <v>12267513.75</v>
      </c>
      <c r="CY18" s="452">
        <f t="shared" si="96"/>
        <v>12267513.75</v>
      </c>
      <c r="CZ18" s="452">
        <f t="shared" si="96"/>
        <v>12267513.75</v>
      </c>
      <c r="DA18" s="407"/>
      <c r="DC18" s="469" t="str">
        <f>'هزينه هاي ثابت و متغير'!AH18:AH19</f>
        <v>جمع</v>
      </c>
      <c r="DD18" s="470"/>
      <c r="DE18" s="471">
        <f>SUM(DE4:DE17)</f>
        <v>74605642.5</v>
      </c>
      <c r="DF18" s="471">
        <f t="shared" ref="DF18:DO18" si="97">SUM(DF4:DF17)</f>
        <v>74605642.5</v>
      </c>
      <c r="DG18" s="471">
        <f t="shared" si="97"/>
        <v>74605642.5</v>
      </c>
      <c r="DH18" s="471">
        <f t="shared" si="97"/>
        <v>74605642.5</v>
      </c>
      <c r="DI18" s="471">
        <f t="shared" si="97"/>
        <v>73030642.5</v>
      </c>
      <c r="DJ18" s="471">
        <f t="shared" si="97"/>
        <v>71140642.5</v>
      </c>
      <c r="DK18" s="471">
        <f t="shared" si="97"/>
        <v>71140642.5</v>
      </c>
      <c r="DL18" s="471">
        <f t="shared" si="97"/>
        <v>71140642.5</v>
      </c>
      <c r="DM18" s="471">
        <f t="shared" si="97"/>
        <v>71140642.5</v>
      </c>
      <c r="DN18" s="471">
        <f t="shared" si="97"/>
        <v>71140642.5</v>
      </c>
      <c r="DO18" s="471">
        <f t="shared" si="97"/>
        <v>62469592.5</v>
      </c>
      <c r="DT18" s="363">
        <f>'پيش بيني عملكرد سود و زيان'!A19</f>
        <v>13</v>
      </c>
      <c r="DU18" s="361" t="str">
        <f>'پيش بيني عملكرد سود و زيان'!B19</f>
        <v>هزينه هاي توزيع و فروش تبلیغات و اداری (درصدی از فروش)</v>
      </c>
      <c r="DV18" s="361">
        <f t="shared" si="93"/>
        <v>0</v>
      </c>
      <c r="DW18" s="361">
        <f t="shared" si="93"/>
        <v>0</v>
      </c>
      <c r="DX18" s="361">
        <f t="shared" si="93"/>
        <v>0</v>
      </c>
      <c r="DY18" s="361">
        <f t="shared" si="93"/>
        <v>0</v>
      </c>
      <c r="DZ18" s="361">
        <f t="shared" si="93"/>
        <v>0</v>
      </c>
      <c r="EA18" s="361">
        <f t="shared" si="93"/>
        <v>0</v>
      </c>
      <c r="EB18" s="361">
        <f t="shared" si="93"/>
        <v>0</v>
      </c>
      <c r="EC18" s="361">
        <f t="shared" si="93"/>
        <v>0</v>
      </c>
      <c r="ED18" s="361">
        <f t="shared" si="93"/>
        <v>0</v>
      </c>
      <c r="EE18" s="361">
        <f t="shared" si="93"/>
        <v>0</v>
      </c>
      <c r="EF18" s="361">
        <f t="shared" si="93"/>
        <v>0</v>
      </c>
      <c r="EG18" s="359"/>
      <c r="EH18" s="359"/>
      <c r="EI18" s="430" t="str">
        <f>'ترازنامه ایجادی'!A17</f>
        <v>حسابهای پرداختنی</v>
      </c>
      <c r="EJ18" s="374">
        <f>'ترازنامه ایجادی'!B17</f>
        <v>0</v>
      </c>
      <c r="EK18" s="374">
        <f>'ترازنامه ایجادی'!C17</f>
        <v>0</v>
      </c>
      <c r="EL18" s="374">
        <f>'ترازنامه ایجادی'!D17</f>
        <v>0</v>
      </c>
      <c r="EM18" s="374">
        <f>'ترازنامه ایجادی'!E17</f>
        <v>0</v>
      </c>
      <c r="EN18" s="374">
        <f>'ترازنامه ایجادی'!F17</f>
        <v>0</v>
      </c>
      <c r="EO18" s="374">
        <f>'ترازنامه ایجادی'!G17</f>
        <v>0</v>
      </c>
      <c r="EP18" s="374">
        <f>'ترازنامه ایجادی'!H17</f>
        <v>0</v>
      </c>
      <c r="EQ18" s="374">
        <f>'ترازنامه ایجادی'!I17</f>
        <v>0</v>
      </c>
      <c r="ER18" s="374">
        <f>'ترازنامه ایجادی'!J17</f>
        <v>0</v>
      </c>
      <c r="ES18" s="374">
        <f>'ترازنامه ایجادی'!K17</f>
        <v>0</v>
      </c>
      <c r="ET18" s="374">
        <f>'ترازنامه ایجادی'!L17</f>
        <v>0</v>
      </c>
      <c r="EU18" s="431">
        <f>'ترازنامه ایجادی'!M17</f>
        <v>0</v>
      </c>
      <c r="EV18" s="359"/>
      <c r="EW18" s="359"/>
      <c r="EY18" s="380" t="str">
        <f>'جریان نقدینگی'!A18</f>
        <v>اصل تسهیلات</v>
      </c>
      <c r="EZ18" s="376">
        <f>'جریان نقدینگی'!B18</f>
        <v>0</v>
      </c>
      <c r="FA18" s="376">
        <f>'جریان نقدینگی'!C18</f>
        <v>1345262.9729751665</v>
      </c>
      <c r="FB18" s="376">
        <f>'جریان نقدینگی'!D18</f>
        <v>0</v>
      </c>
      <c r="FC18" s="376">
        <f>'جریان نقدینگی'!E18</f>
        <v>0</v>
      </c>
      <c r="FD18" s="376">
        <f>'جریان نقدینگی'!F18</f>
        <v>0</v>
      </c>
      <c r="FE18" s="376">
        <f>'جریان نقدینگی'!G18</f>
        <v>0</v>
      </c>
      <c r="FF18" s="376">
        <f>'جریان نقدینگی'!H18</f>
        <v>0</v>
      </c>
      <c r="FG18" s="376">
        <f>'جریان نقدینگی'!I18</f>
        <v>0</v>
      </c>
      <c r="FH18" s="376">
        <f>'جریان نقدینگی'!J18</f>
        <v>0</v>
      </c>
      <c r="FI18" s="376">
        <f>'جریان نقدینگی'!K18</f>
        <v>0</v>
      </c>
      <c r="FJ18" s="376">
        <f>'جریان نقدینگی'!L18</f>
        <v>0</v>
      </c>
      <c r="FK18" s="376">
        <f>'جریان نقدینگی'!M18</f>
        <v>0</v>
      </c>
      <c r="FL18" s="381">
        <f>'جریان نقدینگی'!N18</f>
        <v>0</v>
      </c>
      <c r="FM18" s="359"/>
      <c r="FN18" s="359"/>
      <c r="FO18" s="359"/>
      <c r="FP18" s="359"/>
      <c r="FQ18" s="374"/>
      <c r="FR18" s="374"/>
      <c r="FS18" s="374"/>
      <c r="FT18" s="374"/>
      <c r="FU18" s="374"/>
    </row>
    <row r="19" spans="1:177" ht="15.6" thickBot="1">
      <c r="A19" s="455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51"/>
      <c r="N19" s="407"/>
      <c r="O19" s="407"/>
      <c r="P19" s="407"/>
      <c r="Q19" s="407"/>
      <c r="R19" s="407"/>
      <c r="S19" s="407"/>
      <c r="T19" s="407"/>
      <c r="U19" s="407"/>
      <c r="V19" s="407"/>
      <c r="W19" s="407"/>
      <c r="X19" s="407" t="str">
        <f>'سرمايه در گردش'!B19</f>
        <v>موجودی کالای در جریال ساخت</v>
      </c>
      <c r="Y19" s="407">
        <f>(DV13-DV10)/12*$Y$8</f>
        <v>0</v>
      </c>
      <c r="Z19" s="407">
        <f t="shared" ref="Z19:AI19" si="98">(DW13-DW10)/12*$Y$8</f>
        <v>0</v>
      </c>
      <c r="AA19" s="407">
        <f t="shared" si="98"/>
        <v>0</v>
      </c>
      <c r="AB19" s="407">
        <f t="shared" si="98"/>
        <v>0</v>
      </c>
      <c r="AC19" s="407">
        <f t="shared" si="98"/>
        <v>0</v>
      </c>
      <c r="AD19" s="407">
        <f t="shared" si="98"/>
        <v>0</v>
      </c>
      <c r="AE19" s="407">
        <f t="shared" si="98"/>
        <v>0</v>
      </c>
      <c r="AF19" s="407">
        <f t="shared" si="98"/>
        <v>0</v>
      </c>
      <c r="AG19" s="407">
        <f t="shared" si="98"/>
        <v>0</v>
      </c>
      <c r="AH19" s="407">
        <f t="shared" si="98"/>
        <v>0</v>
      </c>
      <c r="AI19" s="407">
        <f t="shared" si="98"/>
        <v>0</v>
      </c>
      <c r="AJ19" s="407"/>
      <c r="AK19" s="407"/>
      <c r="AL19" s="407"/>
      <c r="AM19" s="407"/>
      <c r="AN19" s="407"/>
      <c r="AO19" s="407"/>
      <c r="AP19" s="407"/>
      <c r="AQ19" s="407"/>
      <c r="AR19" s="407"/>
      <c r="AS19" s="407"/>
      <c r="AT19" s="407"/>
      <c r="AU19" s="407"/>
      <c r="AV19" s="407"/>
      <c r="AW19" s="407" t="str">
        <f>استهلاك!B20</f>
        <v>تعداد ماههاي فعاليت</v>
      </c>
      <c r="AX19" s="407">
        <f>استهلاك!C20</f>
        <v>12</v>
      </c>
      <c r="AY19" s="407">
        <f>استهلاك!D20</f>
        <v>12</v>
      </c>
      <c r="AZ19" s="407">
        <f>استهلاك!E20</f>
        <v>12</v>
      </c>
      <c r="BA19" s="407">
        <f>استهلاك!F20</f>
        <v>12</v>
      </c>
      <c r="BB19" s="407">
        <f>استهلاك!G20</f>
        <v>12</v>
      </c>
      <c r="BC19" s="407">
        <f>استهلاك!H20</f>
        <v>12</v>
      </c>
      <c r="BD19" s="407">
        <f>استهلاك!I20</f>
        <v>12</v>
      </c>
      <c r="BE19" s="407">
        <f>استهلاك!J20</f>
        <v>12</v>
      </c>
      <c r="BF19" s="407">
        <f>استهلاك!K20</f>
        <v>12</v>
      </c>
      <c r="BG19" s="407">
        <f>استهلاك!L20</f>
        <v>12</v>
      </c>
      <c r="BH19" s="407">
        <f>استهلاك!M20</f>
        <v>12</v>
      </c>
      <c r="BI19" s="407"/>
      <c r="BJ19" s="407"/>
      <c r="BK19" s="407"/>
      <c r="BL19" s="407">
        <f>'هزينه هاي توليد'!A18</f>
        <v>4</v>
      </c>
      <c r="BM19" s="407" t="str">
        <f>'هزينه هاي توليد'!B18</f>
        <v>هزینه های بیمه</v>
      </c>
      <c r="BN19" s="407"/>
      <c r="BO19" s="464">
        <f>'هزينه هاي توليد'!D18</f>
        <v>0</v>
      </c>
      <c r="BP19" s="464">
        <f>BO19</f>
        <v>0</v>
      </c>
      <c r="BQ19" s="407"/>
      <c r="BR19" s="407"/>
      <c r="BS19" s="407"/>
      <c r="BT19" s="407"/>
      <c r="BU19" s="407"/>
      <c r="BV19" s="407"/>
      <c r="BW19" s="407"/>
      <c r="BX19" s="407"/>
      <c r="BY19" s="407"/>
      <c r="BZ19" s="407"/>
      <c r="CA19" s="407"/>
      <c r="CB19" s="407"/>
      <c r="CC19" s="407"/>
      <c r="CD19" s="407"/>
      <c r="CE19" s="407"/>
      <c r="CF19" s="407"/>
      <c r="CG19" s="407"/>
      <c r="CH19" s="407"/>
      <c r="CI19" s="407"/>
      <c r="CJ19" s="407"/>
      <c r="CK19" s="407"/>
      <c r="CL19" s="407"/>
      <c r="CM19" s="407"/>
      <c r="CN19" s="407"/>
      <c r="CO19" s="407"/>
      <c r="CP19" s="407"/>
      <c r="CQ19" s="407"/>
      <c r="CR19" s="407"/>
      <c r="CS19" s="407"/>
      <c r="CT19" s="407"/>
      <c r="CU19" s="407"/>
      <c r="CV19" s="407"/>
      <c r="CW19" s="407"/>
      <c r="CX19" s="407"/>
      <c r="CY19" s="407"/>
      <c r="CZ19" s="407"/>
      <c r="DA19" s="407"/>
      <c r="DC19" s="443"/>
      <c r="DD19" s="444"/>
      <c r="DE19" s="445"/>
      <c r="DF19" s="445"/>
      <c r="DG19" s="445"/>
      <c r="DH19" s="445"/>
      <c r="DI19" s="445"/>
      <c r="DJ19" s="445"/>
      <c r="DK19" s="445"/>
      <c r="DL19" s="445"/>
      <c r="DM19" s="445"/>
      <c r="DN19" s="445"/>
      <c r="DO19" s="448"/>
      <c r="DT19" s="1131" t="str">
        <f>'پيش بيني عملكرد سود و زيان'!A20</f>
        <v>سود عملياتي</v>
      </c>
      <c r="DU19" s="1132"/>
      <c r="DV19" s="368">
        <f>DV16-(DV17+DV18)</f>
        <v>154894611.12035227</v>
      </c>
      <c r="DW19" s="368">
        <f t="shared" ref="DW19:EF19" si="99">DW16-(DW17+DW18)</f>
        <v>154894611.12035227</v>
      </c>
      <c r="DX19" s="368">
        <f t="shared" si="99"/>
        <v>154894611.12035227</v>
      </c>
      <c r="DY19" s="368">
        <f t="shared" si="99"/>
        <v>154894611.12035227</v>
      </c>
      <c r="DZ19" s="368">
        <f t="shared" si="99"/>
        <v>156469611.12035227</v>
      </c>
      <c r="EA19" s="368">
        <f t="shared" si="99"/>
        <v>-71140642.5</v>
      </c>
      <c r="EB19" s="368">
        <f t="shared" si="99"/>
        <v>-71140642.5</v>
      </c>
      <c r="EC19" s="368">
        <f t="shared" si="99"/>
        <v>-71140642.5</v>
      </c>
      <c r="ED19" s="368">
        <f t="shared" si="99"/>
        <v>-71140642.5</v>
      </c>
      <c r="EE19" s="368">
        <f t="shared" si="99"/>
        <v>-71140642.5</v>
      </c>
      <c r="EF19" s="368">
        <f t="shared" si="99"/>
        <v>-62469592.5</v>
      </c>
      <c r="EG19" s="359"/>
      <c r="EH19" s="359"/>
      <c r="EI19" s="430" t="str">
        <f>'ترازنامه ایجادی'!A18</f>
        <v>بدهی های کوتاه مدت</v>
      </c>
      <c r="EJ19" s="374">
        <f>'ترازنامه ایجادی'!B18</f>
        <v>0</v>
      </c>
      <c r="EK19" s="374">
        <f>'ترازنامه ایجادی'!C18</f>
        <v>0</v>
      </c>
      <c r="EL19" s="374">
        <f>'ترازنامه ایجادی'!D18</f>
        <v>0</v>
      </c>
      <c r="EM19" s="374">
        <f>'ترازنامه ایجادی'!E18</f>
        <v>0</v>
      </c>
      <c r="EN19" s="374">
        <f>'ترازنامه ایجادی'!F18</f>
        <v>0</v>
      </c>
      <c r="EO19" s="374">
        <f>'ترازنامه ایجادی'!G18</f>
        <v>0</v>
      </c>
      <c r="EP19" s="374">
        <f>'ترازنامه ایجادی'!H18</f>
        <v>0</v>
      </c>
      <c r="EQ19" s="374">
        <f>'ترازنامه ایجادی'!I18</f>
        <v>0</v>
      </c>
      <c r="ER19" s="374">
        <f>'ترازنامه ایجادی'!J18</f>
        <v>0</v>
      </c>
      <c r="ES19" s="374">
        <f>'ترازنامه ایجادی'!K18</f>
        <v>0</v>
      </c>
      <c r="ET19" s="374">
        <f>'ترازنامه ایجادی'!L18</f>
        <v>0</v>
      </c>
      <c r="EU19" s="431">
        <f>'ترازنامه ایجادی'!M18</f>
        <v>0</v>
      </c>
      <c r="EV19" s="359"/>
      <c r="EW19" s="359"/>
      <c r="EY19" s="380" t="str">
        <f>'جریان نقدینگی'!A19</f>
        <v>برداشت سود</v>
      </c>
      <c r="EZ19" s="376">
        <f>'جریان نقدینگی'!B19</f>
        <v>0</v>
      </c>
      <c r="FA19" s="376">
        <f>مفروضات!B8*ex!DV27</f>
        <v>0</v>
      </c>
      <c r="FB19" s="376">
        <f>مفروضات!C8*ex!DW27</f>
        <v>0</v>
      </c>
      <c r="FC19" s="376">
        <f>مفروضات!D8*ex!DX27</f>
        <v>0</v>
      </c>
      <c r="FD19" s="376">
        <f>مفروضات!E8*ex!DY27</f>
        <v>0</v>
      </c>
      <c r="FE19" s="376">
        <f>مفروضات!F8*ex!DZ27</f>
        <v>0</v>
      </c>
      <c r="FF19" s="376">
        <f>مفروضات!G8*ex!EA27</f>
        <v>0</v>
      </c>
      <c r="FG19" s="376">
        <f>مفروضات!H8*ex!EB27</f>
        <v>0</v>
      </c>
      <c r="FH19" s="376">
        <f>مفروضات!I8*ex!EC27</f>
        <v>0</v>
      </c>
      <c r="FI19" s="376">
        <f>مفروضات!J8*ex!ED27</f>
        <v>0</v>
      </c>
      <c r="FJ19" s="376">
        <f>مفروضات!K8*ex!EE27</f>
        <v>0</v>
      </c>
      <c r="FK19" s="376">
        <f>مفروضات!L8*ex!EF27</f>
        <v>0</v>
      </c>
      <c r="FL19" s="376">
        <f>مفروضات!M8*ex!EG25</f>
        <v>0</v>
      </c>
      <c r="FM19" s="359"/>
      <c r="FN19" s="359"/>
      <c r="FO19" s="359"/>
      <c r="FP19" s="359"/>
      <c r="FQ19" s="374"/>
      <c r="FR19" s="374"/>
      <c r="FS19" s="374"/>
      <c r="FT19" s="374"/>
      <c r="FU19" s="374"/>
    </row>
    <row r="20" spans="1:177" ht="15.6" thickBot="1">
      <c r="A20" s="455" t="str">
        <f>'برآورد فروش'!A20</f>
        <v>ميزان فروش طرح (ارقام به هزار ريال)</v>
      </c>
      <c r="B20" s="407">
        <f>$B$4*M20</f>
        <v>0</v>
      </c>
      <c r="C20" s="407">
        <f>$C$4*M20</f>
        <v>0</v>
      </c>
      <c r="D20" s="407">
        <f>$D$4*M20</f>
        <v>0</v>
      </c>
      <c r="E20" s="407">
        <f>$E$4*M20</f>
        <v>0</v>
      </c>
      <c r="F20" s="407">
        <f>$F$4*M20</f>
        <v>0</v>
      </c>
      <c r="G20" s="407">
        <f>$G$4*M20</f>
        <v>0</v>
      </c>
      <c r="H20" s="407">
        <f>$H$4*M20</f>
        <v>0</v>
      </c>
      <c r="I20" s="407">
        <f>$I$4*M20</f>
        <v>0</v>
      </c>
      <c r="J20" s="407">
        <f>$J$4*M20</f>
        <v>0</v>
      </c>
      <c r="K20" s="407">
        <f>$K$4*M20</f>
        <v>0</v>
      </c>
      <c r="L20" s="407">
        <f>$L$4*M20</f>
        <v>0</v>
      </c>
      <c r="M20" s="451">
        <v>0</v>
      </c>
      <c r="N20" s="407"/>
      <c r="O20" s="407"/>
      <c r="P20" s="407"/>
      <c r="Q20" s="407"/>
      <c r="R20" s="407"/>
      <c r="S20" s="407"/>
      <c r="T20" s="407"/>
      <c r="U20" s="407"/>
      <c r="V20" s="407"/>
      <c r="W20" s="407"/>
      <c r="X20" s="407" t="str">
        <f>'سرمايه در گردش'!B20</f>
        <v>سرمایه در گردش</v>
      </c>
      <c r="Y20" s="407">
        <f>SUM(Y14:Y19)</f>
        <v>2470799.375</v>
      </c>
      <c r="Z20" s="407">
        <f t="shared" ref="Z20:AI20" si="100">SUM(Z14:Z19)</f>
        <v>2470799.375</v>
      </c>
      <c r="AA20" s="407">
        <f t="shared" si="100"/>
        <v>2470799.375</v>
      </c>
      <c r="AB20" s="407">
        <f t="shared" si="100"/>
        <v>2470799.375</v>
      </c>
      <c r="AC20" s="407">
        <f t="shared" si="100"/>
        <v>2470799.375</v>
      </c>
      <c r="AD20" s="407">
        <f t="shared" si="100"/>
        <v>2470799.375</v>
      </c>
      <c r="AE20" s="407">
        <f t="shared" si="100"/>
        <v>2470799.375</v>
      </c>
      <c r="AF20" s="407">
        <f t="shared" si="100"/>
        <v>2470799.375</v>
      </c>
      <c r="AG20" s="407">
        <f t="shared" si="100"/>
        <v>2470799.375</v>
      </c>
      <c r="AH20" s="407">
        <f t="shared" si="100"/>
        <v>2470799.375</v>
      </c>
      <c r="AI20" s="407">
        <f t="shared" si="100"/>
        <v>2470799.375</v>
      </c>
      <c r="AJ20" s="407"/>
      <c r="AK20" s="407"/>
      <c r="AL20" s="407"/>
      <c r="AM20" s="407"/>
      <c r="AN20" s="407"/>
      <c r="AO20" s="407"/>
      <c r="AP20" s="407"/>
      <c r="AQ20" s="407"/>
      <c r="AR20" s="407"/>
      <c r="AS20" s="407"/>
      <c r="AT20" s="407"/>
      <c r="AU20" s="407"/>
      <c r="AV20" s="407"/>
      <c r="AW20" s="407" t="str">
        <f>استهلاك!B21</f>
        <v>محوطه سازي</v>
      </c>
      <c r="AX20" s="464">
        <f>'ex1'!C21</f>
        <v>0</v>
      </c>
      <c r="AY20" s="464">
        <f>'ex1'!D21</f>
        <v>0</v>
      </c>
      <c r="AZ20" s="464">
        <f>'ex1'!E21</f>
        <v>0</v>
      </c>
      <c r="BA20" s="464">
        <f>'ex1'!F21</f>
        <v>0</v>
      </c>
      <c r="BB20" s="464">
        <f>'ex1'!G21</f>
        <v>0</v>
      </c>
      <c r="BC20" s="464">
        <f>'ex1'!H21</f>
        <v>0</v>
      </c>
      <c r="BD20" s="464">
        <f>'ex1'!I21</f>
        <v>0</v>
      </c>
      <c r="BE20" s="464">
        <f>'ex1'!J21</f>
        <v>0</v>
      </c>
      <c r="BF20" s="464">
        <f>'ex1'!K21</f>
        <v>0</v>
      </c>
      <c r="BG20" s="464">
        <f>'ex1'!L21</f>
        <v>0</v>
      </c>
      <c r="BH20" s="464">
        <f>'ex1'!M21</f>
        <v>0</v>
      </c>
      <c r="BI20" s="407"/>
      <c r="BJ20" s="407"/>
      <c r="BK20" s="407"/>
      <c r="BL20" s="1128" t="str">
        <f>'هزينه هاي توليد'!A19</f>
        <v>جمع هزينه هاي غير عملياتي</v>
      </c>
      <c r="BM20" s="1128"/>
      <c r="BN20" s="1128"/>
      <c r="BO20" s="464">
        <f>SUM(BO16:BO19)</f>
        <v>229500253.62035227</v>
      </c>
      <c r="BP20" s="464">
        <f>SUM(BP16:BP19)</f>
        <v>229500253.62035227</v>
      </c>
      <c r="BQ20" s="407"/>
      <c r="BR20" s="407"/>
      <c r="BS20" s="407"/>
      <c r="BT20" s="407"/>
      <c r="BU20" s="407"/>
      <c r="BV20" s="407"/>
      <c r="BW20" s="407"/>
      <c r="BX20" s="407"/>
      <c r="BY20" s="407"/>
      <c r="BZ20" s="407"/>
      <c r="CA20" s="407"/>
      <c r="CB20" s="407"/>
      <c r="CC20" s="407"/>
      <c r="CD20" s="407"/>
      <c r="CE20" s="407"/>
      <c r="CF20" s="407"/>
      <c r="CG20" s="407"/>
      <c r="CH20" s="407"/>
      <c r="CI20" s="407"/>
      <c r="CJ20" s="407"/>
      <c r="CK20" s="407"/>
      <c r="CL20" s="407"/>
      <c r="CM20" s="407"/>
      <c r="CN20" s="407"/>
      <c r="CO20" s="407"/>
      <c r="CP20" s="407"/>
      <c r="CQ20" s="407"/>
      <c r="CR20" s="407"/>
      <c r="CS20" s="407"/>
      <c r="CT20" s="407"/>
      <c r="CU20" s="407"/>
      <c r="CV20" s="407"/>
      <c r="CW20" s="407"/>
      <c r="CX20" s="407"/>
      <c r="CY20" s="407"/>
      <c r="CZ20" s="407"/>
      <c r="DA20" s="407"/>
      <c r="DC20" s="359"/>
      <c r="DD20" s="359"/>
      <c r="DE20" s="438"/>
      <c r="DF20" s="438"/>
      <c r="DG20" s="438"/>
      <c r="DH20" s="438"/>
      <c r="DI20" s="438"/>
      <c r="DJ20" s="438"/>
      <c r="DK20" s="438"/>
      <c r="DL20" s="438"/>
      <c r="DM20" s="438"/>
      <c r="DN20" s="438"/>
      <c r="DO20" s="438"/>
      <c r="DT20" s="363">
        <f>'پيش بيني عملكرد سود و زيان'!A21</f>
        <v>14</v>
      </c>
      <c r="DU20" s="361" t="str">
        <f>'پيش بيني عملكرد سود و زيان'!B21</f>
        <v>استهلاك هزينه هاي قبل از بهره برداري</v>
      </c>
      <c r="DV20" s="361">
        <f>ex!DE14</f>
        <v>229500253.62035227</v>
      </c>
      <c r="DW20" s="361">
        <f>ex!DF14</f>
        <v>229500253.62035227</v>
      </c>
      <c r="DX20" s="361">
        <f>ex!DG14</f>
        <v>229500253.62035227</v>
      </c>
      <c r="DY20" s="361">
        <f>ex!DH14</f>
        <v>229500253.62035227</v>
      </c>
      <c r="DZ20" s="361">
        <f>ex!DI14</f>
        <v>229500253.62035227</v>
      </c>
      <c r="EA20" s="361">
        <f>ex!DJ14</f>
        <v>0</v>
      </c>
      <c r="EB20" s="361">
        <f>ex!DK14</f>
        <v>0</v>
      </c>
      <c r="EC20" s="361">
        <f>ex!DL14</f>
        <v>0</v>
      </c>
      <c r="ED20" s="361">
        <f>ex!DM14</f>
        <v>0</v>
      </c>
      <c r="EE20" s="361">
        <f>ex!DN14</f>
        <v>0</v>
      </c>
      <c r="EF20" s="361">
        <f>ex!DO14</f>
        <v>0</v>
      </c>
      <c r="EG20" s="359"/>
      <c r="EH20" s="359"/>
      <c r="EI20" s="432" t="str">
        <f>'ترازنامه ایجادی'!A19</f>
        <v>بدهی های بلند مدت</v>
      </c>
      <c r="EJ20" s="374">
        <f>EZ6</f>
        <v>0</v>
      </c>
      <c r="EK20" s="374">
        <f t="shared" ref="EK20:EU20" si="101">IF(EJ20&lt;0,0,IF((EJ20-DV31)&gt;=0,(EJ20-DV31),0))</f>
        <v>0</v>
      </c>
      <c r="EL20" s="374">
        <f t="shared" si="101"/>
        <v>0</v>
      </c>
      <c r="EM20" s="374">
        <f t="shared" si="101"/>
        <v>0</v>
      </c>
      <c r="EN20" s="374">
        <f t="shared" si="101"/>
        <v>0</v>
      </c>
      <c r="EO20" s="374">
        <f t="shared" si="101"/>
        <v>0</v>
      </c>
      <c r="EP20" s="374">
        <f t="shared" si="101"/>
        <v>0</v>
      </c>
      <c r="EQ20" s="374">
        <f t="shared" si="101"/>
        <v>0</v>
      </c>
      <c r="ER20" s="374">
        <f t="shared" si="101"/>
        <v>0</v>
      </c>
      <c r="ES20" s="374">
        <f t="shared" si="101"/>
        <v>0</v>
      </c>
      <c r="ET20" s="374">
        <f t="shared" si="101"/>
        <v>0</v>
      </c>
      <c r="EU20" s="374">
        <f t="shared" si="101"/>
        <v>0</v>
      </c>
      <c r="EV20" s="359"/>
      <c r="EW20" s="359"/>
      <c r="EY20" s="380" t="str">
        <f>'جریان نقدینگی'!A20</f>
        <v>مازاد (کمبود) نقدینگی</v>
      </c>
      <c r="EZ20" s="376">
        <f>EZ3-EZ11</f>
        <v>0</v>
      </c>
      <c r="FA20" s="376">
        <f>FA3-FA11</f>
        <v>-58648855.472975165</v>
      </c>
      <c r="FB20" s="376">
        <f t="shared" ref="FB20:FL20" si="102">FB3-FB11</f>
        <v>-57303592.5</v>
      </c>
      <c r="FC20" s="376">
        <f t="shared" si="102"/>
        <v>-57303592.5</v>
      </c>
      <c r="FD20" s="376">
        <f t="shared" si="102"/>
        <v>-57303592.5</v>
      </c>
      <c r="FE20" s="376">
        <f t="shared" si="102"/>
        <v>-57303592.5</v>
      </c>
      <c r="FF20" s="376">
        <f t="shared" si="102"/>
        <v>-57303592.5</v>
      </c>
      <c r="FG20" s="376">
        <f t="shared" si="102"/>
        <v>-57303592.5</v>
      </c>
      <c r="FH20" s="376">
        <f t="shared" si="102"/>
        <v>-57303592.5</v>
      </c>
      <c r="FI20" s="376">
        <f t="shared" si="102"/>
        <v>-57303592.5</v>
      </c>
      <c r="FJ20" s="376">
        <f t="shared" si="102"/>
        <v>-57303592.5</v>
      </c>
      <c r="FK20" s="376">
        <f t="shared" si="102"/>
        <v>-57303592.5</v>
      </c>
      <c r="FL20" s="381">
        <f t="shared" si="102"/>
        <v>137916640.90019572</v>
      </c>
      <c r="FM20" s="359"/>
      <c r="FN20" s="359"/>
      <c r="FO20" s="359"/>
      <c r="FP20" s="359"/>
      <c r="FQ20" s="374"/>
      <c r="FR20" s="374"/>
      <c r="FS20" s="374"/>
      <c r="FT20" s="374"/>
      <c r="FU20" s="374"/>
    </row>
    <row r="21" spans="1:177" ht="15.6" thickBot="1">
      <c r="A21" s="454" t="str">
        <f>'برآورد فروش'!A21</f>
        <v>سال</v>
      </c>
      <c r="B21" s="449" t="str">
        <f>'برآورد فروش'!B21</f>
        <v>سال بهره برداری</v>
      </c>
      <c r="C21" s="449" t="str">
        <f>'برآورد فروش'!C21</f>
        <v xml:space="preserve">سال اول </v>
      </c>
      <c r="D21" s="449" t="str">
        <f>'برآورد فروش'!D21</f>
        <v>سال دوم</v>
      </c>
      <c r="E21" s="449" t="str">
        <f>'برآورد فروش'!E21</f>
        <v>سال سوم</v>
      </c>
      <c r="F21" s="449" t="str">
        <f>'برآورد فروش'!F21</f>
        <v>سال چهارم</v>
      </c>
      <c r="G21" s="449" t="str">
        <f>'برآورد فروش'!G21</f>
        <v>سال پنجم</v>
      </c>
      <c r="H21" s="449" t="str">
        <f>'برآورد فروش'!H21</f>
        <v>سال ششم</v>
      </c>
      <c r="I21" s="449" t="str">
        <f>'برآورد فروش'!I21</f>
        <v>سال هفتم</v>
      </c>
      <c r="J21" s="449" t="str">
        <f>'برآورد فروش'!J21</f>
        <v>سال هشتم</v>
      </c>
      <c r="K21" s="449" t="str">
        <f>'برآورد فروش'!K21</f>
        <v>سال نهم</v>
      </c>
      <c r="L21" s="449" t="str">
        <f>'برآورد فروش'!L21</f>
        <v>سال دهم</v>
      </c>
      <c r="M21" s="450" t="str">
        <f>'برآورد فروش'!M21</f>
        <v>قيمت فروش واحد 
محصول (ريال)</v>
      </c>
      <c r="N21" s="407"/>
      <c r="O21" s="407"/>
      <c r="P21" s="407"/>
      <c r="Q21" s="407"/>
      <c r="R21" s="407"/>
      <c r="S21" s="407"/>
      <c r="T21" s="407"/>
      <c r="U21" s="407"/>
      <c r="V21" s="407"/>
      <c r="W21" s="407"/>
      <c r="X21" s="407" t="str">
        <f>'سرمايه در گردش'!B21</f>
        <v>افزایش در سرمایه در گردش</v>
      </c>
      <c r="Y21" s="464">
        <f>Y20</f>
        <v>2470799.375</v>
      </c>
      <c r="Z21" s="407">
        <f>Z20-Y20</f>
        <v>0</v>
      </c>
      <c r="AA21" s="407">
        <f>AA20-Z20</f>
        <v>0</v>
      </c>
      <c r="AB21" s="407">
        <f>AB20-AA20</f>
        <v>0</v>
      </c>
      <c r="AC21" s="407">
        <f t="shared" ref="AC21:AI21" si="103">AC20-AB20</f>
        <v>0</v>
      </c>
      <c r="AD21" s="407">
        <f t="shared" si="103"/>
        <v>0</v>
      </c>
      <c r="AE21" s="407">
        <f t="shared" si="103"/>
        <v>0</v>
      </c>
      <c r="AF21" s="407">
        <f t="shared" si="103"/>
        <v>0</v>
      </c>
      <c r="AG21" s="407">
        <f t="shared" si="103"/>
        <v>0</v>
      </c>
      <c r="AH21" s="407">
        <f t="shared" si="103"/>
        <v>0</v>
      </c>
      <c r="AI21" s="407">
        <f t="shared" si="103"/>
        <v>0</v>
      </c>
      <c r="AJ21" s="407"/>
      <c r="AK21" s="407"/>
      <c r="AL21" s="407"/>
      <c r="AM21" s="407"/>
      <c r="AN21" s="407"/>
      <c r="AO21" s="407"/>
      <c r="AP21" s="407"/>
      <c r="AQ21" s="407"/>
      <c r="AR21" s="407"/>
      <c r="AS21" s="407"/>
      <c r="AT21" s="407"/>
      <c r="AU21" s="407"/>
      <c r="AV21" s="407"/>
      <c r="AW21" s="407" t="str">
        <f>استهلاك!B22</f>
        <v>ساختمان توليدي و اداري</v>
      </c>
      <c r="AX21" s="464">
        <f>'ex1'!C22</f>
        <v>5166000.0000000009</v>
      </c>
      <c r="AY21" s="464">
        <f>'ex1'!D22</f>
        <v>5166000.0000000009</v>
      </c>
      <c r="AZ21" s="464">
        <f>'ex1'!E22</f>
        <v>5166000.0000000009</v>
      </c>
      <c r="BA21" s="464">
        <f>'ex1'!F22</f>
        <v>5166000.0000000009</v>
      </c>
      <c r="BB21" s="464">
        <f>'ex1'!G22</f>
        <v>5166000.0000000009</v>
      </c>
      <c r="BC21" s="464">
        <f>'ex1'!H22</f>
        <v>5166000.0000000009</v>
      </c>
      <c r="BD21" s="464">
        <f>'ex1'!I22</f>
        <v>5166000.0000000009</v>
      </c>
      <c r="BE21" s="464">
        <f>'ex1'!J22</f>
        <v>5166000.0000000009</v>
      </c>
      <c r="BF21" s="464">
        <f>'ex1'!K22</f>
        <v>5166000.0000000009</v>
      </c>
      <c r="BG21" s="464">
        <f>'ex1'!L22</f>
        <v>5166000.0000000009</v>
      </c>
      <c r="BH21" s="464">
        <f>'ex1'!M22</f>
        <v>5166000.0000000009</v>
      </c>
      <c r="BI21" s="407"/>
      <c r="BJ21" s="407"/>
      <c r="BK21" s="407"/>
      <c r="BL21" s="1128" t="str">
        <f>'هزينه هاي توليد'!A20</f>
        <v>جمع هزينه هاي بهره برداري ساليانه</v>
      </c>
      <c r="BM21" s="1128"/>
      <c r="BN21" s="1128"/>
      <c r="BO21" s="464">
        <f>BO20+BO15+BO12</f>
        <v>304105896.12035227</v>
      </c>
      <c r="BP21" s="464">
        <f>BP20+BP15+BP12</f>
        <v>304105896.12035227</v>
      </c>
      <c r="BQ21" s="407"/>
      <c r="BR21" s="407"/>
      <c r="BS21" s="407"/>
      <c r="BT21" s="407"/>
      <c r="BU21" s="407"/>
      <c r="BV21" s="407"/>
      <c r="BW21" s="407"/>
      <c r="BX21" s="407"/>
      <c r="BY21" s="407"/>
      <c r="BZ21" s="407"/>
      <c r="CA21" s="407"/>
      <c r="CB21" s="407"/>
      <c r="CC21" s="407"/>
      <c r="CD21" s="407"/>
      <c r="CE21" s="407"/>
      <c r="CF21" s="407"/>
      <c r="CG21" s="407"/>
      <c r="CH21" s="407"/>
      <c r="CI21" s="407"/>
      <c r="CJ21" s="407"/>
      <c r="CK21" s="407"/>
      <c r="CL21" s="407"/>
      <c r="CM21" s="407"/>
      <c r="CN21" s="407"/>
      <c r="CO21" s="407"/>
      <c r="CP21" s="407"/>
      <c r="CQ21" s="407"/>
      <c r="CR21" s="407"/>
      <c r="CS21" s="407"/>
      <c r="CT21" s="407"/>
      <c r="CU21" s="407"/>
      <c r="CV21" s="407"/>
      <c r="CW21" s="407"/>
      <c r="CX21" s="407"/>
      <c r="CY21" s="407"/>
      <c r="CZ21" s="407"/>
      <c r="DA21" s="407"/>
      <c r="DC21" s="359"/>
      <c r="DD21" s="359"/>
      <c r="DE21" s="438"/>
      <c r="DF21" s="438"/>
      <c r="DG21" s="438"/>
      <c r="DH21" s="438"/>
      <c r="DI21" s="438"/>
      <c r="DJ21" s="438"/>
      <c r="DK21" s="438"/>
      <c r="DL21" s="438"/>
      <c r="DM21" s="438"/>
      <c r="DN21" s="438"/>
      <c r="DO21" s="438"/>
      <c r="DT21" s="367">
        <f>'پيش بيني عملكرد سود و زيان'!A22</f>
        <v>15</v>
      </c>
      <c r="DU21" s="368" t="str">
        <f>'پيش بيني عملكرد سود و زيان'!B22</f>
        <v>هزینه های اجاره</v>
      </c>
      <c r="DV21" s="368">
        <f t="shared" ref="DV21:EF22" si="104">DE16</f>
        <v>0</v>
      </c>
      <c r="DW21" s="368">
        <f t="shared" si="104"/>
        <v>0</v>
      </c>
      <c r="DX21" s="368">
        <f t="shared" si="104"/>
        <v>0</v>
      </c>
      <c r="DY21" s="368">
        <f t="shared" si="104"/>
        <v>0</v>
      </c>
      <c r="DZ21" s="368">
        <f t="shared" si="104"/>
        <v>0</v>
      </c>
      <c r="EA21" s="368">
        <f t="shared" si="104"/>
        <v>0</v>
      </c>
      <c r="EB21" s="368">
        <f t="shared" si="104"/>
        <v>0</v>
      </c>
      <c r="EC21" s="368">
        <f t="shared" si="104"/>
        <v>0</v>
      </c>
      <c r="ED21" s="368">
        <f t="shared" si="104"/>
        <v>0</v>
      </c>
      <c r="EE21" s="368">
        <f t="shared" si="104"/>
        <v>0</v>
      </c>
      <c r="EF21" s="368">
        <f t="shared" si="104"/>
        <v>0</v>
      </c>
      <c r="EG21" s="359"/>
      <c r="EH21" s="359"/>
      <c r="EI21" s="432" t="str">
        <f>'ترازنامه ایجادی'!A20</f>
        <v>کل آورده متقاضی</v>
      </c>
      <c r="EJ21" s="374">
        <f>EZ5</f>
        <v>1470846409.0019569</v>
      </c>
      <c r="EK21" s="374">
        <f>SUM(EZ5:FA5)</f>
        <v>1471971945.4039817</v>
      </c>
      <c r="EL21" s="374">
        <f>SUM(EZ5:FB5)</f>
        <v>1471971945.4039817</v>
      </c>
      <c r="EM21" s="374">
        <f>SUM(EZ5:FC5)</f>
        <v>1471971945.4039817</v>
      </c>
      <c r="EN21" s="374">
        <f>SUM(EZ5:FD5)</f>
        <v>1471971945.4039817</v>
      </c>
      <c r="EO21" s="374">
        <f>SUM(EZ5:FE5)</f>
        <v>1471971945.4039817</v>
      </c>
      <c r="EP21" s="374">
        <f>SUM(EZ5:FF5)</f>
        <v>1471971945.4039817</v>
      </c>
      <c r="EQ21" s="374">
        <f>SUM(EZ5:FG5)</f>
        <v>1471971945.4039817</v>
      </c>
      <c r="ER21" s="374">
        <f>SUM(EZ5:FH5)</f>
        <v>1471971945.4039817</v>
      </c>
      <c r="ES21" s="374">
        <f>SUM(EZ5:FI5)</f>
        <v>1471971945.4039817</v>
      </c>
      <c r="ET21" s="374">
        <f>SUM(EZ5:FJ5)</f>
        <v>1471971945.4039817</v>
      </c>
      <c r="EU21" s="431">
        <f>SUM(EZ5:FK5)</f>
        <v>1471971945.4039817</v>
      </c>
      <c r="EV21" s="359"/>
      <c r="EW21" s="359"/>
      <c r="EY21" s="382" t="str">
        <f>'جریان نقدینگی'!A21</f>
        <v>مازاد (کمبود) نقدینگی تجمعی</v>
      </c>
      <c r="EZ21" s="383">
        <f>EZ20</f>
        <v>0</v>
      </c>
      <c r="FA21" s="383">
        <f>EZ21+FA20</f>
        <v>-58648855.472975165</v>
      </c>
      <c r="FB21" s="383">
        <f t="shared" ref="FB21:FL21" si="105">FA21+FB20</f>
        <v>-115952447.97297516</v>
      </c>
      <c r="FC21" s="383">
        <f t="shared" si="105"/>
        <v>-173256040.47297516</v>
      </c>
      <c r="FD21" s="383">
        <f t="shared" si="105"/>
        <v>-230559632.97297516</v>
      </c>
      <c r="FE21" s="383">
        <f t="shared" si="105"/>
        <v>-287863225.47297513</v>
      </c>
      <c r="FF21" s="383">
        <f t="shared" si="105"/>
        <v>-345166817.97297513</v>
      </c>
      <c r="FG21" s="383">
        <f t="shared" si="105"/>
        <v>-402470410.47297513</v>
      </c>
      <c r="FH21" s="383">
        <f t="shared" si="105"/>
        <v>-459774002.97297513</v>
      </c>
      <c r="FI21" s="383">
        <f t="shared" si="105"/>
        <v>-517077595.47297513</v>
      </c>
      <c r="FJ21" s="383">
        <f t="shared" si="105"/>
        <v>-574381187.97297513</v>
      </c>
      <c r="FK21" s="383">
        <f t="shared" si="105"/>
        <v>-631684780.47297513</v>
      </c>
      <c r="FL21" s="384">
        <f t="shared" si="105"/>
        <v>-493768139.57277942</v>
      </c>
      <c r="FM21" s="359"/>
      <c r="FN21" s="359"/>
      <c r="FO21" s="359"/>
      <c r="FP21" s="359"/>
      <c r="FQ21" s="374"/>
      <c r="FR21" s="374"/>
      <c r="FS21" s="374"/>
      <c r="FT21" s="374"/>
      <c r="FU21" s="374"/>
    </row>
    <row r="22" spans="1:177">
      <c r="A22" s="455" t="str">
        <f>'برآورد فروش'!A22</f>
        <v xml:space="preserve">ميزان فروش توليدات </v>
      </c>
      <c r="B22" s="407">
        <f t="shared" ref="B22:K22" si="106">SUM(B23:B32)</f>
        <v>0</v>
      </c>
      <c r="C22" s="407">
        <f t="shared" si="106"/>
        <v>0</v>
      </c>
      <c r="D22" s="407">
        <f t="shared" si="106"/>
        <v>0</v>
      </c>
      <c r="E22" s="407">
        <f t="shared" si="106"/>
        <v>0</v>
      </c>
      <c r="F22" s="407">
        <f t="shared" si="106"/>
        <v>0</v>
      </c>
      <c r="G22" s="407">
        <f t="shared" si="106"/>
        <v>0</v>
      </c>
      <c r="H22" s="407">
        <f t="shared" si="106"/>
        <v>0</v>
      </c>
      <c r="I22" s="407">
        <f t="shared" si="106"/>
        <v>0</v>
      </c>
      <c r="J22" s="407">
        <f t="shared" si="106"/>
        <v>0</v>
      </c>
      <c r="K22" s="407">
        <f t="shared" si="106"/>
        <v>0</v>
      </c>
      <c r="L22" s="407">
        <f>SUM(L23:L32)</f>
        <v>0</v>
      </c>
      <c r="M22" s="451">
        <f>'برآورد فروش'!M22</f>
        <v>0</v>
      </c>
      <c r="N22" s="407"/>
      <c r="O22" s="407"/>
      <c r="P22" s="407"/>
      <c r="Q22" s="407"/>
      <c r="R22" s="407"/>
      <c r="S22" s="407"/>
      <c r="T22" s="407"/>
      <c r="U22" s="407"/>
      <c r="V22" s="407"/>
      <c r="W22" s="407"/>
      <c r="X22" s="407"/>
      <c r="Y22" s="407"/>
      <c r="Z22" s="407"/>
      <c r="AA22" s="407"/>
      <c r="AB22" s="407"/>
      <c r="AC22" s="407"/>
      <c r="AD22" s="407"/>
      <c r="AE22" s="407"/>
      <c r="AF22" s="407"/>
      <c r="AG22" s="407"/>
      <c r="AH22" s="407"/>
      <c r="AI22" s="407"/>
      <c r="AJ22" s="407"/>
      <c r="AK22" s="407"/>
      <c r="AL22" s="407"/>
      <c r="AM22" s="407"/>
      <c r="AN22" s="407"/>
      <c r="AO22" s="407"/>
      <c r="AP22" s="407"/>
      <c r="AQ22" s="407"/>
      <c r="AR22" s="407"/>
      <c r="AS22" s="407"/>
      <c r="AT22" s="407"/>
      <c r="AU22" s="407"/>
      <c r="AV22" s="407"/>
      <c r="AW22" s="407" t="str">
        <f>استهلاك!B23</f>
        <v>تاسيسات و تجهيزات عمومي</v>
      </c>
      <c r="AX22" s="464">
        <f>'ex1'!C23</f>
        <v>0</v>
      </c>
      <c r="AY22" s="464">
        <f>'ex1'!D23</f>
        <v>0</v>
      </c>
      <c r="AZ22" s="464">
        <f>'ex1'!E23</f>
        <v>0</v>
      </c>
      <c r="BA22" s="464">
        <f>'ex1'!F23</f>
        <v>0</v>
      </c>
      <c r="BB22" s="464">
        <f>'ex1'!G23</f>
        <v>0</v>
      </c>
      <c r="BC22" s="464">
        <f>'ex1'!H23</f>
        <v>0</v>
      </c>
      <c r="BD22" s="464">
        <f>'ex1'!I23</f>
        <v>0</v>
      </c>
      <c r="BE22" s="464">
        <f>'ex1'!J23</f>
        <v>0</v>
      </c>
      <c r="BF22" s="464">
        <f>'ex1'!K23</f>
        <v>0</v>
      </c>
      <c r="BG22" s="464">
        <f>'ex1'!L23</f>
        <v>0</v>
      </c>
      <c r="BH22" s="464">
        <f>'ex1'!M23</f>
        <v>0</v>
      </c>
      <c r="BI22" s="407"/>
      <c r="BJ22" s="407"/>
      <c r="BK22" s="407"/>
      <c r="BL22" s="407"/>
      <c r="BM22" s="407"/>
      <c r="BN22" s="407"/>
      <c r="BO22" s="407"/>
      <c r="BP22" s="407"/>
      <c r="BQ22" s="407"/>
      <c r="BR22" s="407"/>
      <c r="BS22" s="407"/>
      <c r="BT22" s="407"/>
      <c r="BU22" s="407"/>
      <c r="BV22" s="407"/>
      <c r="BW22" s="407"/>
      <c r="BX22" s="407"/>
      <c r="BY22" s="407"/>
      <c r="BZ22" s="407"/>
      <c r="CA22" s="407"/>
      <c r="CB22" s="407"/>
      <c r="CC22" s="407"/>
      <c r="CD22" s="407"/>
      <c r="CE22" s="407"/>
      <c r="CF22" s="407"/>
      <c r="CG22" s="407"/>
      <c r="CH22" s="407"/>
      <c r="CI22" s="407"/>
      <c r="CJ22" s="407"/>
      <c r="CK22" s="407"/>
      <c r="CL22" s="407"/>
      <c r="CM22" s="407"/>
      <c r="CN22" s="407"/>
      <c r="CO22" s="407"/>
      <c r="CP22" s="407"/>
      <c r="CQ22" s="407"/>
      <c r="CR22" s="407"/>
      <c r="CS22" s="407"/>
      <c r="CT22" s="407"/>
      <c r="CU22" s="407"/>
      <c r="CV22" s="407"/>
      <c r="CW22" s="407"/>
      <c r="CX22" s="407"/>
      <c r="CY22" s="407"/>
      <c r="CZ22" s="407"/>
      <c r="DA22" s="407"/>
      <c r="DT22" s="363">
        <f>'پيش بيني عملكرد سود و زيان'!A23</f>
        <v>16</v>
      </c>
      <c r="DU22" s="361" t="str">
        <f>'پيش بيني عملكرد سود و زيان'!B23</f>
        <v>هزینه های بیمه</v>
      </c>
      <c r="DV22" s="368">
        <f t="shared" si="104"/>
        <v>0</v>
      </c>
      <c r="DW22" s="368">
        <f t="shared" si="104"/>
        <v>0</v>
      </c>
      <c r="DX22" s="368">
        <f t="shared" si="104"/>
        <v>0</v>
      </c>
      <c r="DY22" s="368">
        <f t="shared" si="104"/>
        <v>0</v>
      </c>
      <c r="DZ22" s="368">
        <f t="shared" si="104"/>
        <v>0</v>
      </c>
      <c r="EA22" s="368">
        <f t="shared" si="104"/>
        <v>0</v>
      </c>
      <c r="EB22" s="368">
        <f t="shared" si="104"/>
        <v>0</v>
      </c>
      <c r="EC22" s="368">
        <f t="shared" si="104"/>
        <v>0</v>
      </c>
      <c r="ED22" s="368">
        <f t="shared" si="104"/>
        <v>0</v>
      </c>
      <c r="EE22" s="368">
        <f t="shared" si="104"/>
        <v>0</v>
      </c>
      <c r="EF22" s="368">
        <f t="shared" si="104"/>
        <v>0</v>
      </c>
      <c r="EG22" s="359"/>
      <c r="EH22" s="359"/>
      <c r="EI22" s="432" t="str">
        <f>'ترازنامه ایجادی'!A21</f>
        <v>سود نقل به ترازنامه</v>
      </c>
      <c r="EJ22" s="374">
        <f>'ترازنامه ایجادی'!B21</f>
        <v>0</v>
      </c>
      <c r="EK22" s="374">
        <f>'ترازنامه ایجادی'!C21</f>
        <v>0</v>
      </c>
      <c r="EL22" s="374">
        <f>EK23+EK22</f>
        <v>-224409949.86070454</v>
      </c>
      <c r="EM22" s="374">
        <f t="shared" ref="EM22:EU22" si="107">EL23+EL22</f>
        <v>-298819899.72140908</v>
      </c>
      <c r="EN22" s="374">
        <f t="shared" si="107"/>
        <v>-223229849.58211362</v>
      </c>
      <c r="EO22" s="374">
        <f t="shared" si="107"/>
        <v>102360200.55718184</v>
      </c>
      <c r="EP22" s="374">
        <f t="shared" si="107"/>
        <v>-422049737.30352271</v>
      </c>
      <c r="EQ22" s="374">
        <f t="shared" si="107"/>
        <v>-485569167.92352271</v>
      </c>
      <c r="ER22" s="374">
        <f t="shared" si="107"/>
        <v>-549088598.54352272</v>
      </c>
      <c r="ES22" s="374">
        <f t="shared" si="107"/>
        <v>-612608029.16352272</v>
      </c>
      <c r="ET22" s="374">
        <f t="shared" si="107"/>
        <v>-676127459.78352273</v>
      </c>
      <c r="EU22" s="374">
        <f t="shared" si="107"/>
        <v>-739646890.40352273</v>
      </c>
      <c r="EV22" s="359"/>
      <c r="EW22" s="359"/>
      <c r="EZ22" s="438"/>
      <c r="FA22" s="438"/>
      <c r="FB22" s="438"/>
      <c r="FC22" s="438"/>
      <c r="FD22" s="438"/>
      <c r="FE22" s="438"/>
      <c r="FF22" s="438"/>
      <c r="FG22" s="438"/>
      <c r="FH22" s="438"/>
      <c r="FI22" s="438"/>
      <c r="FJ22" s="438"/>
      <c r="FK22" s="438"/>
      <c r="FL22" s="438"/>
      <c r="FM22" s="359"/>
      <c r="FN22" s="359"/>
      <c r="FO22" s="359"/>
      <c r="FP22" s="359"/>
      <c r="FQ22" s="374"/>
      <c r="FR22" s="374"/>
      <c r="FS22" s="374"/>
      <c r="FT22" s="374"/>
      <c r="FU22" s="374"/>
    </row>
    <row r="23" spans="1:177" ht="15.6" thickBot="1">
      <c r="A23" s="455" t="str">
        <f>'برآورد فروش'!A23</f>
        <v>فروش تجهیزات</v>
      </c>
      <c r="B23" s="407">
        <f>M23*B7/1000</f>
        <v>0</v>
      </c>
      <c r="C23" s="407">
        <f>M23*C7/1000</f>
        <v>0</v>
      </c>
      <c r="D23" s="407">
        <f>M23*D7/1000</f>
        <v>0</v>
      </c>
      <c r="E23" s="407">
        <f>M23*E7/1000</f>
        <v>0</v>
      </c>
      <c r="F23" s="407">
        <f>M23*F7/1000</f>
        <v>0</v>
      </c>
      <c r="G23" s="407">
        <f>M23*G7/1000</f>
        <v>0</v>
      </c>
      <c r="H23" s="407">
        <f>M23*H7/1000</f>
        <v>0</v>
      </c>
      <c r="I23" s="407">
        <f>M23*I7/1000</f>
        <v>0</v>
      </c>
      <c r="J23" s="407">
        <f>M23*J7/1000</f>
        <v>0</v>
      </c>
      <c r="K23" s="407">
        <f>M23*K7/1000</f>
        <v>0</v>
      </c>
      <c r="L23" s="407">
        <f>M23*L7/1000</f>
        <v>0</v>
      </c>
      <c r="M23" s="451">
        <f>IF('آنالیز حساسیت'!$E$4=0,ex!N23,N23*(1+'آنالیز حساسیت'!$E$4))</f>
        <v>100000000</v>
      </c>
      <c r="N23" s="451">
        <f>'برآورد فروش'!M23</f>
        <v>100000000</v>
      </c>
      <c r="O23" s="407"/>
      <c r="P23" s="407"/>
      <c r="Q23" s="407"/>
      <c r="R23" s="407"/>
      <c r="S23" s="407"/>
      <c r="T23" s="407"/>
      <c r="U23" s="407"/>
      <c r="V23" s="407"/>
      <c r="W23" s="407"/>
      <c r="X23" s="407"/>
      <c r="Y23" s="407"/>
      <c r="Z23" s="407"/>
      <c r="AA23" s="407"/>
      <c r="AB23" s="407"/>
      <c r="AC23" s="407"/>
      <c r="AD23" s="407"/>
      <c r="AE23" s="407"/>
      <c r="AF23" s="407"/>
      <c r="AG23" s="407"/>
      <c r="AH23" s="407"/>
      <c r="AI23" s="407"/>
      <c r="AJ23" s="407"/>
      <c r="AK23" s="407"/>
      <c r="AL23" s="407"/>
      <c r="AM23" s="407"/>
      <c r="AN23" s="407"/>
      <c r="AO23" s="407"/>
      <c r="AP23" s="407"/>
      <c r="AQ23" s="407"/>
      <c r="AR23" s="407"/>
      <c r="AS23" s="407"/>
      <c r="AT23" s="407"/>
      <c r="AU23" s="407"/>
      <c r="AV23" s="407"/>
      <c r="AW23" s="407" t="str">
        <f>استهلاك!B24</f>
        <v xml:space="preserve">ماشين آلات و تجهيزات </v>
      </c>
      <c r="AX23" s="464">
        <f>'ex1'!C24</f>
        <v>0</v>
      </c>
      <c r="AY23" s="464">
        <f>'ex1'!D24</f>
        <v>0</v>
      </c>
      <c r="AZ23" s="464">
        <f>'ex1'!E24</f>
        <v>0</v>
      </c>
      <c r="BA23" s="464">
        <f>'ex1'!F24</f>
        <v>0</v>
      </c>
      <c r="BB23" s="464">
        <f>'ex1'!G24</f>
        <v>0</v>
      </c>
      <c r="BC23" s="464">
        <f>'ex1'!H24</f>
        <v>0</v>
      </c>
      <c r="BD23" s="464">
        <f>'ex1'!I24</f>
        <v>0</v>
      </c>
      <c r="BE23" s="464">
        <f>'ex1'!J24</f>
        <v>0</v>
      </c>
      <c r="BF23" s="464">
        <f>'ex1'!K24</f>
        <v>0</v>
      </c>
      <c r="BG23" s="464">
        <f>'ex1'!L24</f>
        <v>0</v>
      </c>
      <c r="BH23" s="464">
        <f>'ex1'!M24</f>
        <v>0</v>
      </c>
      <c r="BI23" s="407"/>
      <c r="BJ23" s="407"/>
      <c r="BK23" s="407"/>
      <c r="BL23" s="407"/>
      <c r="BM23" s="407"/>
      <c r="BN23" s="407"/>
      <c r="BO23" s="407"/>
      <c r="BP23" s="407"/>
      <c r="BQ23" s="407"/>
      <c r="BR23" s="407"/>
      <c r="BS23" s="407"/>
      <c r="BT23" s="407"/>
      <c r="BU23" s="407"/>
      <c r="BV23" s="407"/>
      <c r="BW23" s="407"/>
      <c r="BX23" s="407"/>
      <c r="BY23" s="407"/>
      <c r="BZ23" s="407"/>
      <c r="CA23" s="407"/>
      <c r="CB23" s="407"/>
      <c r="CC23" s="407"/>
      <c r="CD23" s="407"/>
      <c r="CE23" s="407"/>
      <c r="CF23" s="407"/>
      <c r="CG23" s="407"/>
      <c r="CH23" s="407"/>
      <c r="CI23" s="407"/>
      <c r="CJ23" s="407"/>
      <c r="CK23" s="407"/>
      <c r="CL23" s="407"/>
      <c r="CM23" s="407"/>
      <c r="CN23" s="407"/>
      <c r="CO23" s="407"/>
      <c r="CP23" s="407"/>
      <c r="CQ23" s="407"/>
      <c r="CR23" s="407"/>
      <c r="CS23" s="407"/>
      <c r="CT23" s="407"/>
      <c r="CU23" s="407"/>
      <c r="CV23" s="407"/>
      <c r="CW23" s="407"/>
      <c r="CX23" s="407"/>
      <c r="CY23" s="407"/>
      <c r="CZ23" s="407"/>
      <c r="DA23" s="407"/>
      <c r="DT23" s="367">
        <f>'پيش بيني عملكرد سود و زيان'!A24</f>
        <v>17</v>
      </c>
      <c r="DU23" s="368" t="str">
        <f>'پيش بيني عملكرد سود و زيان'!B24</f>
        <v>سود تسهيلات بلند مدت</v>
      </c>
      <c r="DV23" s="368">
        <f>'پيش بيني عملكرد سود و زيان'!C24</f>
        <v>0</v>
      </c>
      <c r="DW23" s="368">
        <f>'پيش بيني عملكرد سود و زيان'!D24</f>
        <v>0</v>
      </c>
      <c r="DX23" s="368">
        <f>'پيش بيني عملكرد سود و زيان'!E24</f>
        <v>0</v>
      </c>
      <c r="DY23" s="368">
        <f>'پيش بيني عملكرد سود و زيان'!F24</f>
        <v>0</v>
      </c>
      <c r="DZ23" s="368">
        <f>'پيش بيني عملكرد سود و زيان'!G24</f>
        <v>0</v>
      </c>
      <c r="EA23" s="368">
        <f>'پيش بيني عملكرد سود و زيان'!H24</f>
        <v>0</v>
      </c>
      <c r="EB23" s="368">
        <f>'پيش بيني عملكرد سود و زيان'!I24</f>
        <v>0</v>
      </c>
      <c r="EC23" s="368">
        <f>'پيش بيني عملكرد سود و زيان'!J24</f>
        <v>0</v>
      </c>
      <c r="ED23" s="368">
        <f>'پيش بيني عملكرد سود و زيان'!K24</f>
        <v>0</v>
      </c>
      <c r="EE23" s="368">
        <f>'پيش بيني عملكرد سود و زيان'!L24</f>
        <v>0</v>
      </c>
      <c r="EF23" s="368">
        <f>'پيش بيني عملكرد سود و زيان'!M24</f>
        <v>0</v>
      </c>
      <c r="EG23" s="359"/>
      <c r="EH23" s="359"/>
      <c r="EI23" s="433" t="str">
        <f>'ترازنامه ایجادی'!A22</f>
        <v>سود سنواتی</v>
      </c>
      <c r="EJ23" s="406">
        <f>'ترازنامه ایجادی'!B22</f>
        <v>0</v>
      </c>
      <c r="EK23" s="406">
        <f>DV37+DV35</f>
        <v>-224409949.86070454</v>
      </c>
      <c r="EL23" s="406">
        <f t="shared" ref="EL23:EU23" si="108">DW37+DW35</f>
        <v>-74409949.860704541</v>
      </c>
      <c r="EM23" s="406">
        <f t="shared" si="108"/>
        <v>75590050.139295459</v>
      </c>
      <c r="EN23" s="406">
        <f t="shared" si="108"/>
        <v>325590050.13929546</v>
      </c>
      <c r="EO23" s="406">
        <f t="shared" si="108"/>
        <v>-524409937.86070454</v>
      </c>
      <c r="EP23" s="406">
        <f t="shared" si="108"/>
        <v>-63519430.620000005</v>
      </c>
      <c r="EQ23" s="406">
        <f t="shared" si="108"/>
        <v>-63519430.620000005</v>
      </c>
      <c r="ER23" s="406">
        <f t="shared" si="108"/>
        <v>-63519430.620000005</v>
      </c>
      <c r="ES23" s="406">
        <f t="shared" si="108"/>
        <v>-63519430.620000005</v>
      </c>
      <c r="ET23" s="406">
        <f t="shared" si="108"/>
        <v>-63519430.620000005</v>
      </c>
      <c r="EU23" s="406">
        <f t="shared" si="108"/>
        <v>-62469580.620000005</v>
      </c>
      <c r="EV23" s="359"/>
      <c r="EW23" s="359"/>
      <c r="EZ23" s="438"/>
      <c r="FA23" s="438"/>
      <c r="FB23" s="438"/>
      <c r="FC23" s="438"/>
      <c r="FD23" s="438"/>
      <c r="FE23" s="438"/>
      <c r="FF23" s="438"/>
      <c r="FG23" s="438"/>
      <c r="FH23" s="438"/>
      <c r="FI23" s="438"/>
      <c r="FJ23" s="438"/>
      <c r="FK23" s="438"/>
      <c r="FL23" s="438"/>
      <c r="FM23" s="359"/>
      <c r="FN23" s="359"/>
      <c r="FO23" s="359"/>
      <c r="FP23" s="359"/>
      <c r="FQ23" s="374"/>
      <c r="FR23" s="374"/>
      <c r="FS23" s="374"/>
      <c r="FT23" s="374"/>
      <c r="FU23" s="374"/>
    </row>
    <row r="24" spans="1:177">
      <c r="A24" s="455">
        <f>'برآورد فروش'!A24</f>
        <v>0</v>
      </c>
      <c r="B24" s="407">
        <f t="shared" ref="B24:B32" si="109">M24*B8/1000</f>
        <v>0</v>
      </c>
      <c r="C24" s="407">
        <f t="shared" ref="C24:C32" si="110">M24*C8/1000</f>
        <v>0</v>
      </c>
      <c r="D24" s="407">
        <f t="shared" ref="D24:D32" si="111">M24*D8/1000</f>
        <v>0</v>
      </c>
      <c r="E24" s="407">
        <f t="shared" ref="E24:E32" si="112">M24*E8/1000</f>
        <v>0</v>
      </c>
      <c r="F24" s="407">
        <f t="shared" ref="F24:F32" si="113">M24*F8/1000</f>
        <v>0</v>
      </c>
      <c r="G24" s="407">
        <f t="shared" ref="G24:G32" si="114">M24*G8/1000</f>
        <v>0</v>
      </c>
      <c r="H24" s="407">
        <f t="shared" ref="H24:H32" si="115">M24*H8/1000</f>
        <v>0</v>
      </c>
      <c r="I24" s="407">
        <f t="shared" ref="I24:I32" si="116">M24*I8/1000</f>
        <v>0</v>
      </c>
      <c r="J24" s="407">
        <f t="shared" ref="J24:J32" si="117">M24*J8/1000</f>
        <v>0</v>
      </c>
      <c r="K24" s="407">
        <f t="shared" ref="K24:K32" si="118">M24*K8/1000</f>
        <v>0</v>
      </c>
      <c r="L24" s="407">
        <f t="shared" ref="L24:L32" si="119">M24*L8/1000</f>
        <v>0</v>
      </c>
      <c r="M24" s="451">
        <f>IF('آنالیز حساسیت'!$E$4=0,ex!N24,N24*(1+'آنالیز حساسیت'!$E$4))</f>
        <v>0</v>
      </c>
      <c r="N24" s="451">
        <f>'برآورد فروش'!M24</f>
        <v>0</v>
      </c>
      <c r="O24" s="407"/>
      <c r="P24" s="407"/>
      <c r="Q24" s="407"/>
      <c r="R24" s="407"/>
      <c r="S24" s="407"/>
      <c r="T24" s="407"/>
      <c r="U24" s="407"/>
      <c r="V24" s="407"/>
      <c r="W24" s="407"/>
      <c r="X24" s="407"/>
      <c r="Y24" s="407"/>
      <c r="Z24" s="407"/>
      <c r="AA24" s="407"/>
      <c r="AB24" s="407"/>
      <c r="AC24" s="407"/>
      <c r="AD24" s="407"/>
      <c r="AE24" s="407"/>
      <c r="AF24" s="407"/>
      <c r="AG24" s="407"/>
      <c r="AH24" s="407"/>
      <c r="AI24" s="407"/>
      <c r="AJ24" s="407"/>
      <c r="AK24" s="407"/>
      <c r="AL24" s="407"/>
      <c r="AM24" s="407"/>
      <c r="AN24" s="407"/>
      <c r="AO24" s="407"/>
      <c r="AP24" s="407"/>
      <c r="AQ24" s="407"/>
      <c r="AR24" s="407"/>
      <c r="AS24" s="407"/>
      <c r="AT24" s="407"/>
      <c r="AU24" s="407"/>
      <c r="AV24" s="407"/>
      <c r="AW24" s="407" t="str">
        <f>استهلاك!B25</f>
        <v>اثاثيه و تجهيزات اداري</v>
      </c>
      <c r="AX24" s="464">
        <f>'ex1'!C25</f>
        <v>1890000</v>
      </c>
      <c r="AY24" s="464">
        <f>'ex1'!D25</f>
        <v>1890000</v>
      </c>
      <c r="AZ24" s="464">
        <f>'ex1'!E25</f>
        <v>1890000</v>
      </c>
      <c r="BA24" s="464">
        <f>'ex1'!F25</f>
        <v>1890000</v>
      </c>
      <c r="BB24" s="464">
        <f>'ex1'!G25</f>
        <v>1890000</v>
      </c>
      <c r="BC24" s="464">
        <f>'ex1'!H25</f>
        <v>0</v>
      </c>
      <c r="BD24" s="464">
        <f>'ex1'!I25</f>
        <v>0</v>
      </c>
      <c r="BE24" s="464">
        <f>'ex1'!J25</f>
        <v>0</v>
      </c>
      <c r="BF24" s="464">
        <f>'ex1'!K25</f>
        <v>0</v>
      </c>
      <c r="BG24" s="464">
        <f>'ex1'!L25</f>
        <v>0</v>
      </c>
      <c r="BH24" s="464">
        <f>'ex1'!M25</f>
        <v>0</v>
      </c>
      <c r="BI24" s="407"/>
      <c r="BJ24" s="407"/>
      <c r="BK24" s="407"/>
      <c r="BL24" s="407"/>
      <c r="BM24" s="407"/>
      <c r="BN24" s="407"/>
      <c r="BO24" s="407"/>
      <c r="BP24" s="407"/>
      <c r="BQ24" s="407"/>
      <c r="BR24" s="407"/>
      <c r="BS24" s="407"/>
      <c r="BT24" s="407"/>
      <c r="BU24" s="407"/>
      <c r="BV24" s="407"/>
      <c r="BW24" s="407"/>
      <c r="BX24" s="407"/>
      <c r="BY24" s="407"/>
      <c r="BZ24" s="407"/>
      <c r="CA24" s="407"/>
      <c r="CB24" s="407"/>
      <c r="CC24" s="407"/>
      <c r="CD24" s="407"/>
      <c r="CE24" s="407"/>
      <c r="CF24" s="407"/>
      <c r="CG24" s="407"/>
      <c r="CH24" s="407"/>
      <c r="CI24" s="407"/>
      <c r="CJ24" s="407"/>
      <c r="CK24" s="407"/>
      <c r="CL24" s="407"/>
      <c r="CM24" s="407"/>
      <c r="CN24" s="407"/>
      <c r="CO24" s="407"/>
      <c r="CP24" s="407"/>
      <c r="CQ24" s="407"/>
      <c r="CR24" s="407"/>
      <c r="CS24" s="407"/>
      <c r="CT24" s="407"/>
      <c r="CU24" s="407"/>
      <c r="CV24" s="407"/>
      <c r="CW24" s="407"/>
      <c r="CX24" s="407"/>
      <c r="CY24" s="407"/>
      <c r="CZ24" s="407"/>
      <c r="DA24" s="407"/>
      <c r="DT24" s="363">
        <f>'پيش بيني عملكرد سود و زيان'!A25</f>
        <v>18</v>
      </c>
      <c r="DU24" s="361" t="str">
        <f>'پيش بيني عملكرد سود و زيان'!B25</f>
        <v>سود تسهيلات كوتاه مدت</v>
      </c>
      <c r="DV24" s="361">
        <f>'پيش بيني عملكرد سود و زيان'!C25</f>
        <v>0</v>
      </c>
      <c r="DW24" s="361">
        <f>'پيش بيني عملكرد سود و زيان'!D25</f>
        <v>0</v>
      </c>
      <c r="DX24" s="361">
        <f>'پيش بيني عملكرد سود و زيان'!E25</f>
        <v>0</v>
      </c>
      <c r="DY24" s="361">
        <f>'پيش بيني عملكرد سود و زيان'!F25</f>
        <v>0</v>
      </c>
      <c r="DZ24" s="361">
        <f>'پيش بيني عملكرد سود و زيان'!G25</f>
        <v>0</v>
      </c>
      <c r="EA24" s="361">
        <f>'پيش بيني عملكرد سود و زيان'!H25</f>
        <v>0</v>
      </c>
      <c r="EB24" s="361">
        <f>'پيش بيني عملكرد سود و زيان'!I25</f>
        <v>0</v>
      </c>
      <c r="EC24" s="361">
        <f>'پيش بيني عملكرد سود و زيان'!J25</f>
        <v>0</v>
      </c>
      <c r="ED24" s="361">
        <f>'پيش بيني عملكرد سود و زيان'!K25</f>
        <v>0</v>
      </c>
      <c r="EE24" s="361">
        <f>'پيش بيني عملكرد سود و زيان'!L25</f>
        <v>0</v>
      </c>
      <c r="EF24" s="361">
        <f>'پيش بيني عملكرد سود و زيان'!M25</f>
        <v>0</v>
      </c>
      <c r="EG24" s="359"/>
      <c r="EH24" s="359"/>
      <c r="EI24" s="415"/>
      <c r="EJ24" s="374"/>
      <c r="EK24" s="374"/>
      <c r="EL24" s="374"/>
      <c r="EM24" s="374"/>
      <c r="EN24" s="374"/>
      <c r="EO24" s="374"/>
      <c r="EP24" s="374"/>
      <c r="EQ24" s="374"/>
      <c r="ER24" s="374"/>
      <c r="ES24" s="374"/>
      <c r="ET24" s="374"/>
      <c r="EU24" s="374"/>
      <c r="EV24" s="359"/>
      <c r="EW24" s="359"/>
      <c r="EZ24" s="438"/>
      <c r="FA24" s="438"/>
      <c r="FB24" s="438"/>
      <c r="FC24" s="438"/>
      <c r="FD24" s="438"/>
      <c r="FE24" s="438"/>
      <c r="FF24" s="438"/>
      <c r="FG24" s="438"/>
      <c r="FH24" s="438"/>
      <c r="FI24" s="438"/>
      <c r="FJ24" s="438"/>
      <c r="FK24" s="438"/>
      <c r="FL24" s="438"/>
      <c r="FM24" s="359"/>
      <c r="FN24" s="359"/>
      <c r="FO24" s="359"/>
      <c r="FP24" s="359"/>
      <c r="FQ24" s="374"/>
      <c r="FR24" s="374"/>
      <c r="FS24" s="374"/>
      <c r="FT24" s="374"/>
      <c r="FU24" s="374"/>
    </row>
    <row r="25" spans="1:177">
      <c r="A25" s="455">
        <f>'برآورد فروش'!A25</f>
        <v>0</v>
      </c>
      <c r="B25" s="407">
        <f t="shared" si="109"/>
        <v>0</v>
      </c>
      <c r="C25" s="407">
        <f t="shared" si="110"/>
        <v>0</v>
      </c>
      <c r="D25" s="407">
        <f t="shared" si="111"/>
        <v>0</v>
      </c>
      <c r="E25" s="407">
        <f t="shared" si="112"/>
        <v>0</v>
      </c>
      <c r="F25" s="407">
        <f t="shared" si="113"/>
        <v>0</v>
      </c>
      <c r="G25" s="407">
        <f t="shared" si="114"/>
        <v>0</v>
      </c>
      <c r="H25" s="407">
        <f t="shared" si="115"/>
        <v>0</v>
      </c>
      <c r="I25" s="407">
        <f t="shared" si="116"/>
        <v>0</v>
      </c>
      <c r="J25" s="407">
        <f t="shared" si="117"/>
        <v>0</v>
      </c>
      <c r="K25" s="407">
        <f t="shared" si="118"/>
        <v>0</v>
      </c>
      <c r="L25" s="407">
        <f t="shared" si="119"/>
        <v>0</v>
      </c>
      <c r="M25" s="451">
        <f>IF('آنالیز حساسیت'!$E$4=0,ex!N25,N25*(1+'آنالیز حساسیت'!$E$4))</f>
        <v>0</v>
      </c>
      <c r="N25" s="451">
        <f>'برآورد فروش'!M25</f>
        <v>0</v>
      </c>
      <c r="O25" s="407"/>
      <c r="P25" s="407"/>
      <c r="Q25" s="407"/>
      <c r="R25" s="407"/>
      <c r="S25" s="407"/>
      <c r="T25" s="407"/>
      <c r="U25" s="407"/>
      <c r="V25" s="407"/>
      <c r="W25" s="407"/>
      <c r="X25" s="407"/>
      <c r="Y25" s="407"/>
      <c r="Z25" s="407"/>
      <c r="AA25" s="407"/>
      <c r="AB25" s="407"/>
      <c r="AC25" s="407"/>
      <c r="AD25" s="407"/>
      <c r="AE25" s="407"/>
      <c r="AF25" s="407"/>
      <c r="AG25" s="407"/>
      <c r="AH25" s="407"/>
      <c r="AI25" s="407"/>
      <c r="AJ25" s="407"/>
      <c r="AK25" s="407"/>
      <c r="AL25" s="407"/>
      <c r="AM25" s="407"/>
      <c r="AN25" s="407"/>
      <c r="AO25" s="407"/>
      <c r="AP25" s="407"/>
      <c r="AQ25" s="407"/>
      <c r="AR25" s="407"/>
      <c r="AS25" s="407"/>
      <c r="AT25" s="407"/>
      <c r="AU25" s="407"/>
      <c r="AV25" s="407"/>
      <c r="AW25" s="407" t="str">
        <f>استهلاك!B26</f>
        <v>وسائط نقليه</v>
      </c>
      <c r="AX25" s="464">
        <f>'ex1'!C26</f>
        <v>1575000</v>
      </c>
      <c r="AY25" s="464">
        <f>'ex1'!D26</f>
        <v>1575000</v>
      </c>
      <c r="AZ25" s="464">
        <f>'ex1'!E26</f>
        <v>1575000</v>
      </c>
      <c r="BA25" s="464">
        <f>'ex1'!F26</f>
        <v>1575000</v>
      </c>
      <c r="BB25" s="464">
        <f>'ex1'!G26</f>
        <v>0</v>
      </c>
      <c r="BC25" s="464">
        <f>'ex1'!H26</f>
        <v>0</v>
      </c>
      <c r="BD25" s="464">
        <f>'ex1'!I26</f>
        <v>0</v>
      </c>
      <c r="BE25" s="464">
        <f>'ex1'!J26</f>
        <v>0</v>
      </c>
      <c r="BF25" s="464">
        <f>'ex1'!K26</f>
        <v>0</v>
      </c>
      <c r="BG25" s="464">
        <f>'ex1'!L26</f>
        <v>0</v>
      </c>
      <c r="BH25" s="464">
        <f>'ex1'!M26</f>
        <v>0</v>
      </c>
      <c r="BI25" s="407"/>
      <c r="BJ25" s="407"/>
      <c r="BK25" s="407"/>
      <c r="BL25" s="407"/>
      <c r="BM25" s="407"/>
      <c r="BN25" s="407"/>
      <c r="BO25" s="407"/>
      <c r="BP25" s="407"/>
      <c r="BQ25" s="407"/>
      <c r="BR25" s="407"/>
      <c r="BS25" s="407"/>
      <c r="BT25" s="407"/>
      <c r="BU25" s="407"/>
      <c r="BV25" s="407"/>
      <c r="BW25" s="407"/>
      <c r="BX25" s="407"/>
      <c r="BY25" s="407"/>
      <c r="BZ25" s="407"/>
      <c r="CA25" s="407"/>
      <c r="CB25" s="407"/>
      <c r="CC25" s="407"/>
      <c r="CD25" s="407"/>
      <c r="CE25" s="407"/>
      <c r="CF25" s="407"/>
      <c r="CG25" s="407"/>
      <c r="CH25" s="407"/>
      <c r="CI25" s="407"/>
      <c r="CJ25" s="407"/>
      <c r="CK25" s="407"/>
      <c r="CL25" s="407"/>
      <c r="CM25" s="407"/>
      <c r="CN25" s="407"/>
      <c r="CO25" s="407"/>
      <c r="CP25" s="407"/>
      <c r="CQ25" s="407"/>
      <c r="CR25" s="407"/>
      <c r="CS25" s="407"/>
      <c r="CT25" s="407"/>
      <c r="CU25" s="407"/>
      <c r="CV25" s="407"/>
      <c r="CW25" s="407"/>
      <c r="CX25" s="407"/>
      <c r="CY25" s="407"/>
      <c r="CZ25" s="407"/>
      <c r="DA25" s="407"/>
      <c r="DT25" s="367">
        <f>'پيش بيني عملكرد سود و زيان'!A26</f>
        <v>19</v>
      </c>
      <c r="DU25" s="368" t="str">
        <f>'پيش بيني عملكرد سود و زيان'!B26</f>
        <v>سود ويژه قبل از ماليات</v>
      </c>
      <c r="DV25" s="368">
        <f>DV19-(DV20+DV21+DV22+DV23+DV24)</f>
        <v>-74605642.5</v>
      </c>
      <c r="DW25" s="368">
        <f>DW19-(DW20+DW21+DW22+DW23+DW24)</f>
        <v>-74605642.5</v>
      </c>
      <c r="DX25" s="368">
        <f t="shared" ref="DX25:EF25" si="120">DX19-(DX20+DX21+DX22+DX23+DX24)</f>
        <v>-74605642.5</v>
      </c>
      <c r="DY25" s="368">
        <f t="shared" si="120"/>
        <v>-74605642.5</v>
      </c>
      <c r="DZ25" s="368">
        <f t="shared" si="120"/>
        <v>-73030642.5</v>
      </c>
      <c r="EA25" s="368">
        <f t="shared" si="120"/>
        <v>-71140642.5</v>
      </c>
      <c r="EB25" s="368">
        <f t="shared" si="120"/>
        <v>-71140642.5</v>
      </c>
      <c r="EC25" s="368">
        <f t="shared" si="120"/>
        <v>-71140642.5</v>
      </c>
      <c r="ED25" s="368">
        <f t="shared" si="120"/>
        <v>-71140642.5</v>
      </c>
      <c r="EE25" s="368">
        <f t="shared" si="120"/>
        <v>-71140642.5</v>
      </c>
      <c r="EF25" s="368">
        <f t="shared" si="120"/>
        <v>-62469592.5</v>
      </c>
      <c r="EG25" s="359"/>
      <c r="EH25" s="359"/>
      <c r="EI25" s="415"/>
      <c r="EJ25" s="374"/>
      <c r="EK25" s="374"/>
      <c r="EL25" s="374"/>
      <c r="EM25" s="374"/>
      <c r="EN25" s="374"/>
      <c r="EO25" s="374"/>
      <c r="EP25" s="374"/>
      <c r="EQ25" s="374"/>
      <c r="ER25" s="374"/>
      <c r="ES25" s="374"/>
      <c r="ET25" s="374"/>
      <c r="EU25" s="374"/>
      <c r="EV25" s="359"/>
      <c r="EW25" s="359"/>
      <c r="EZ25" s="438"/>
      <c r="FA25" s="438"/>
      <c r="FB25" s="438"/>
      <c r="FC25" s="438"/>
      <c r="FD25" s="438"/>
      <c r="FE25" s="438"/>
      <c r="FF25" s="438"/>
      <c r="FG25" s="438"/>
      <c r="FH25" s="438"/>
      <c r="FI25" s="438"/>
      <c r="FJ25" s="438"/>
      <c r="FK25" s="438"/>
      <c r="FL25" s="438"/>
      <c r="FM25" s="359"/>
      <c r="FN25" s="359"/>
      <c r="FO25" s="359"/>
      <c r="FP25" s="359"/>
      <c r="FQ25" s="374"/>
      <c r="FR25" s="374"/>
      <c r="FS25" s="374"/>
      <c r="FT25" s="374"/>
      <c r="FU25" s="374"/>
    </row>
    <row r="26" spans="1:177">
      <c r="A26" s="455">
        <f>'برآورد فروش'!A26</f>
        <v>0</v>
      </c>
      <c r="B26" s="407">
        <f t="shared" si="109"/>
        <v>0</v>
      </c>
      <c r="C26" s="407">
        <f t="shared" si="110"/>
        <v>0</v>
      </c>
      <c r="D26" s="407">
        <f t="shared" si="111"/>
        <v>0</v>
      </c>
      <c r="E26" s="407">
        <f t="shared" si="112"/>
        <v>0</v>
      </c>
      <c r="F26" s="407">
        <f t="shared" si="113"/>
        <v>0</v>
      </c>
      <c r="G26" s="407">
        <f t="shared" si="114"/>
        <v>0</v>
      </c>
      <c r="H26" s="407">
        <f t="shared" si="115"/>
        <v>0</v>
      </c>
      <c r="I26" s="407">
        <f t="shared" si="116"/>
        <v>0</v>
      </c>
      <c r="J26" s="407">
        <f t="shared" si="117"/>
        <v>0</v>
      </c>
      <c r="K26" s="407">
        <f t="shared" si="118"/>
        <v>0</v>
      </c>
      <c r="L26" s="407">
        <f t="shared" si="119"/>
        <v>0</v>
      </c>
      <c r="M26" s="451">
        <f>IF('آنالیز حساسیت'!$E$4=0,ex!N26,N26*(1+'آنالیز حساسیت'!$E$4))</f>
        <v>0</v>
      </c>
      <c r="N26" s="451">
        <f>'برآورد فروش'!M26</f>
        <v>0</v>
      </c>
      <c r="O26" s="407"/>
      <c r="P26" s="407"/>
      <c r="Q26" s="407"/>
      <c r="R26" s="407"/>
      <c r="S26" s="407"/>
      <c r="T26" s="407"/>
      <c r="U26" s="407"/>
      <c r="V26" s="407"/>
      <c r="W26" s="407"/>
      <c r="X26" s="407"/>
      <c r="Y26" s="407"/>
      <c r="Z26" s="407"/>
      <c r="AA26" s="407"/>
      <c r="AB26" s="407"/>
      <c r="AC26" s="407"/>
      <c r="AD26" s="407"/>
      <c r="AE26" s="407"/>
      <c r="AF26" s="407"/>
      <c r="AG26" s="407"/>
      <c r="AH26" s="407"/>
      <c r="AI26" s="407"/>
      <c r="AJ26" s="407"/>
      <c r="AK26" s="407"/>
      <c r="AL26" s="407"/>
      <c r="AM26" s="407"/>
      <c r="AN26" s="407"/>
      <c r="AO26" s="407"/>
      <c r="AP26" s="407"/>
      <c r="AQ26" s="407"/>
      <c r="AR26" s="407"/>
      <c r="AS26" s="407"/>
      <c r="AT26" s="407"/>
      <c r="AU26" s="407"/>
      <c r="AV26" s="407"/>
      <c r="AW26" s="407" t="str">
        <f>استهلاك!B27</f>
        <v>ساير هزينه هاي بخش ثابت</v>
      </c>
      <c r="AX26" s="464">
        <f>'ex1'!C27</f>
        <v>8251200</v>
      </c>
      <c r="AY26" s="464">
        <f>'ex1'!D27</f>
        <v>8251200</v>
      </c>
      <c r="AZ26" s="464">
        <f>'ex1'!E27</f>
        <v>8251200</v>
      </c>
      <c r="BA26" s="464">
        <f>'ex1'!F27</f>
        <v>8251200</v>
      </c>
      <c r="BB26" s="464">
        <f>'ex1'!G27</f>
        <v>8251200</v>
      </c>
      <c r="BC26" s="464">
        <f>'ex1'!H27</f>
        <v>8251200</v>
      </c>
      <c r="BD26" s="464">
        <f>'ex1'!I27</f>
        <v>8251200</v>
      </c>
      <c r="BE26" s="464">
        <f>'ex1'!J27</f>
        <v>8251200</v>
      </c>
      <c r="BF26" s="464">
        <f>'ex1'!K27</f>
        <v>8251200</v>
      </c>
      <c r="BG26" s="464">
        <f>'ex1'!L27</f>
        <v>8251200</v>
      </c>
      <c r="BH26" s="464">
        <f>'ex1'!M27</f>
        <v>0</v>
      </c>
      <c r="BI26" s="407"/>
      <c r="BJ26" s="407"/>
      <c r="BK26" s="407"/>
      <c r="BL26" s="407"/>
      <c r="BM26" s="407"/>
      <c r="BN26" s="407"/>
      <c r="BO26" s="407"/>
      <c r="BP26" s="407"/>
      <c r="BQ26" s="407"/>
      <c r="BR26" s="407"/>
      <c r="BS26" s="407"/>
      <c r="BT26" s="407"/>
      <c r="BU26" s="407"/>
      <c r="BV26" s="407"/>
      <c r="BW26" s="407"/>
      <c r="BX26" s="407"/>
      <c r="BY26" s="407"/>
      <c r="BZ26" s="407"/>
      <c r="CA26" s="407"/>
      <c r="CB26" s="407"/>
      <c r="CC26" s="407"/>
      <c r="CD26" s="407"/>
      <c r="CE26" s="407"/>
      <c r="CF26" s="407"/>
      <c r="CG26" s="407"/>
      <c r="CH26" s="407"/>
      <c r="CI26" s="407"/>
      <c r="CJ26" s="407"/>
      <c r="CK26" s="407"/>
      <c r="CL26" s="407"/>
      <c r="CM26" s="407"/>
      <c r="CN26" s="407"/>
      <c r="CO26" s="407"/>
      <c r="CP26" s="407"/>
      <c r="CQ26" s="407"/>
      <c r="CR26" s="407"/>
      <c r="CS26" s="407"/>
      <c r="CT26" s="407"/>
      <c r="CU26" s="407"/>
      <c r="CV26" s="407"/>
      <c r="CW26" s="407"/>
      <c r="CX26" s="407"/>
      <c r="CY26" s="407"/>
      <c r="CZ26" s="407"/>
      <c r="DA26" s="407"/>
      <c r="DT26" s="363">
        <f>'پيش بيني عملكرد سود و زيان'!A27</f>
        <v>20</v>
      </c>
      <c r="DU26" s="361" t="str">
        <f>'پيش بيني عملكرد سود و زيان'!B27</f>
        <v>مالیات</v>
      </c>
      <c r="DV26" s="361">
        <f>'پيش بيني عملكرد سود و زيان'!C27</f>
        <v>0</v>
      </c>
      <c r="DW26" s="361">
        <f>'پيش بيني عملكرد سود و زيان'!D27</f>
        <v>0</v>
      </c>
      <c r="DX26" s="361">
        <f>'پيش بيني عملكرد سود و زيان'!E27</f>
        <v>0</v>
      </c>
      <c r="DY26" s="361">
        <f>'پيش بيني عملكرد سود و زيان'!F27</f>
        <v>0</v>
      </c>
      <c r="DZ26" s="361">
        <f>'پيش بيني عملكرد سود و زيان'!G27</f>
        <v>0</v>
      </c>
      <c r="EA26" s="361">
        <f>'پيش بيني عملكرد سود و زيان'!H27</f>
        <v>0</v>
      </c>
      <c r="EB26" s="361">
        <f>'پيش بيني عملكرد سود و زيان'!I27</f>
        <v>0</v>
      </c>
      <c r="EC26" s="361">
        <f>'پيش بيني عملكرد سود و زيان'!J27</f>
        <v>0</v>
      </c>
      <c r="ED26" s="361">
        <f>'پيش بيني عملكرد سود و زيان'!K27</f>
        <v>0</v>
      </c>
      <c r="EE26" s="361">
        <f>'پيش بيني عملكرد سود و زيان'!L27</f>
        <v>0</v>
      </c>
      <c r="EF26" s="361">
        <f>'پيش بيني عملكرد سود و زيان'!M27</f>
        <v>0</v>
      </c>
      <c r="EG26" s="359"/>
      <c r="EH26" s="359"/>
      <c r="EI26" s="415"/>
      <c r="EJ26" s="374"/>
      <c r="EK26" s="374"/>
      <c r="EL26" s="374"/>
      <c r="EM26" s="374"/>
      <c r="EN26" s="374"/>
      <c r="EO26" s="374"/>
      <c r="EP26" s="374"/>
      <c r="EQ26" s="374"/>
      <c r="ER26" s="374"/>
      <c r="ES26" s="374"/>
      <c r="ET26" s="374"/>
      <c r="EU26" s="374"/>
      <c r="EV26" s="359"/>
      <c r="EW26" s="359"/>
      <c r="EZ26" s="438"/>
      <c r="FA26" s="438"/>
      <c r="FB26" s="438"/>
      <c r="FC26" s="438"/>
      <c r="FD26" s="438"/>
      <c r="FE26" s="438"/>
      <c r="FF26" s="438"/>
      <c r="FG26" s="438"/>
      <c r="FH26" s="438"/>
      <c r="FI26" s="438"/>
      <c r="FJ26" s="438"/>
      <c r="FK26" s="438"/>
      <c r="FL26" s="438"/>
      <c r="FM26" s="359"/>
      <c r="FN26" s="359"/>
      <c r="FO26" s="359"/>
      <c r="FP26" s="359"/>
      <c r="FQ26" s="374"/>
      <c r="FR26" s="374"/>
      <c r="FS26" s="374"/>
      <c r="FT26" s="374"/>
      <c r="FU26" s="374"/>
    </row>
    <row r="27" spans="1:177">
      <c r="A27" s="455">
        <f>'برآورد فروش'!A27</f>
        <v>0</v>
      </c>
      <c r="B27" s="407">
        <f t="shared" si="109"/>
        <v>0</v>
      </c>
      <c r="C27" s="407">
        <f t="shared" si="110"/>
        <v>0</v>
      </c>
      <c r="D27" s="407">
        <f t="shared" si="111"/>
        <v>0</v>
      </c>
      <c r="E27" s="407">
        <f t="shared" si="112"/>
        <v>0</v>
      </c>
      <c r="F27" s="407">
        <f t="shared" si="113"/>
        <v>0</v>
      </c>
      <c r="G27" s="407">
        <f t="shared" si="114"/>
        <v>0</v>
      </c>
      <c r="H27" s="407">
        <f t="shared" si="115"/>
        <v>0</v>
      </c>
      <c r="I27" s="407">
        <f t="shared" si="116"/>
        <v>0</v>
      </c>
      <c r="J27" s="407">
        <f t="shared" si="117"/>
        <v>0</v>
      </c>
      <c r="K27" s="407">
        <f t="shared" si="118"/>
        <v>0</v>
      </c>
      <c r="L27" s="407">
        <f t="shared" si="119"/>
        <v>0</v>
      </c>
      <c r="M27" s="451">
        <f>IF('آنالیز حساسیت'!$E$4=0,ex!N27,N27*(1+'آنالیز حساسیت'!$E$4))</f>
        <v>0</v>
      </c>
      <c r="N27" s="451">
        <f>'برآورد فروش'!M27</f>
        <v>0</v>
      </c>
      <c r="O27" s="407"/>
      <c r="P27" s="407"/>
      <c r="Q27" s="407"/>
      <c r="R27" s="407"/>
      <c r="S27" s="407"/>
      <c r="T27" s="407"/>
      <c r="U27" s="407"/>
      <c r="V27" s="407"/>
      <c r="W27" s="407"/>
      <c r="X27" s="407"/>
      <c r="Y27" s="407"/>
      <c r="Z27" s="407"/>
      <c r="AA27" s="407"/>
      <c r="AB27" s="407"/>
      <c r="AC27" s="407"/>
      <c r="AD27" s="407"/>
      <c r="AE27" s="407"/>
      <c r="AF27" s="407"/>
      <c r="AG27" s="407"/>
      <c r="AH27" s="407"/>
      <c r="AI27" s="407"/>
      <c r="AJ27" s="407"/>
      <c r="AK27" s="407"/>
      <c r="AL27" s="407"/>
      <c r="AM27" s="407"/>
      <c r="AN27" s="407"/>
      <c r="AO27" s="407"/>
      <c r="AP27" s="407"/>
      <c r="AQ27" s="407"/>
      <c r="AR27" s="407"/>
      <c r="AS27" s="407"/>
      <c r="AT27" s="407"/>
      <c r="AU27" s="407"/>
      <c r="AV27" s="407"/>
      <c r="AW27" s="407" t="str">
        <f>استهلاك!B28</f>
        <v>هزينه‌هاي پيش‌بيني‌نشده‌</v>
      </c>
      <c r="AX27" s="464">
        <f>'ex1'!C28</f>
        <v>419850</v>
      </c>
      <c r="AY27" s="464">
        <f>'ex1'!D28</f>
        <v>419850</v>
      </c>
      <c r="AZ27" s="464">
        <f>'ex1'!E28</f>
        <v>419850</v>
      </c>
      <c r="BA27" s="464">
        <f>'ex1'!F28</f>
        <v>419850</v>
      </c>
      <c r="BB27" s="464">
        <f>'ex1'!G28</f>
        <v>419850</v>
      </c>
      <c r="BC27" s="464">
        <f>'ex1'!H28</f>
        <v>419850</v>
      </c>
      <c r="BD27" s="464">
        <f>'ex1'!I28</f>
        <v>419850</v>
      </c>
      <c r="BE27" s="464">
        <f>'ex1'!J28</f>
        <v>419850</v>
      </c>
      <c r="BF27" s="464">
        <f>'ex1'!K28</f>
        <v>419850</v>
      </c>
      <c r="BG27" s="464">
        <f>'ex1'!L28</f>
        <v>419850</v>
      </c>
      <c r="BH27" s="464">
        <f>'ex1'!M28</f>
        <v>0</v>
      </c>
      <c r="BI27" s="407"/>
      <c r="BJ27" s="407"/>
      <c r="BK27" s="407"/>
      <c r="BL27" s="407"/>
      <c r="BM27" s="407"/>
      <c r="BN27" s="407"/>
      <c r="BO27" s="407"/>
      <c r="BP27" s="407"/>
      <c r="BQ27" s="407"/>
      <c r="BR27" s="407"/>
      <c r="BS27" s="407"/>
      <c r="BT27" s="407"/>
      <c r="BU27" s="407"/>
      <c r="BV27" s="407"/>
      <c r="BW27" s="407"/>
      <c r="BX27" s="407"/>
      <c r="BY27" s="407"/>
      <c r="BZ27" s="407"/>
      <c r="CA27" s="407"/>
      <c r="CB27" s="407"/>
      <c r="CC27" s="407"/>
      <c r="CD27" s="407"/>
      <c r="CE27" s="407"/>
      <c r="CF27" s="407"/>
      <c r="CG27" s="407"/>
      <c r="CH27" s="407"/>
      <c r="CI27" s="407"/>
      <c r="CJ27" s="407"/>
      <c r="CK27" s="407"/>
      <c r="CL27" s="407"/>
      <c r="CM27" s="407"/>
      <c r="CN27" s="407"/>
      <c r="CO27" s="407"/>
      <c r="CP27" s="407"/>
      <c r="CQ27" s="407"/>
      <c r="CR27" s="407"/>
      <c r="CS27" s="407"/>
      <c r="CT27" s="407"/>
      <c r="CU27" s="407"/>
      <c r="CV27" s="407"/>
      <c r="CW27" s="407"/>
      <c r="CX27" s="407"/>
      <c r="CY27" s="407"/>
      <c r="CZ27" s="407"/>
      <c r="DA27" s="407"/>
      <c r="DT27" s="1142" t="str">
        <f>'پيش بيني عملكرد سود و زيان'!A28</f>
        <v>سود ويژه پس از ماليات</v>
      </c>
      <c r="DU27" s="1143"/>
      <c r="DV27" s="368">
        <f>DV25-DV26</f>
        <v>-74605642.5</v>
      </c>
      <c r="DW27" s="368">
        <f t="shared" ref="DW27:EF27" si="121">DW25-DW26</f>
        <v>-74605642.5</v>
      </c>
      <c r="DX27" s="368">
        <f t="shared" si="121"/>
        <v>-74605642.5</v>
      </c>
      <c r="DY27" s="368">
        <f t="shared" si="121"/>
        <v>-74605642.5</v>
      </c>
      <c r="DZ27" s="368">
        <f t="shared" si="121"/>
        <v>-73030642.5</v>
      </c>
      <c r="EA27" s="368">
        <f t="shared" si="121"/>
        <v>-71140642.5</v>
      </c>
      <c r="EB27" s="368">
        <f t="shared" si="121"/>
        <v>-71140642.5</v>
      </c>
      <c r="EC27" s="368">
        <f t="shared" si="121"/>
        <v>-71140642.5</v>
      </c>
      <c r="ED27" s="368">
        <f t="shared" si="121"/>
        <v>-71140642.5</v>
      </c>
      <c r="EE27" s="368">
        <f t="shared" si="121"/>
        <v>-71140642.5</v>
      </c>
      <c r="EF27" s="368">
        <f t="shared" si="121"/>
        <v>-62469592.5</v>
      </c>
      <c r="EG27" s="359"/>
      <c r="EH27" s="359"/>
      <c r="EI27" s="415"/>
      <c r="EJ27" s="374"/>
      <c r="EK27" s="374"/>
      <c r="EL27" s="374"/>
      <c r="EM27" s="374"/>
      <c r="EN27" s="374"/>
      <c r="EO27" s="374"/>
      <c r="EP27" s="374"/>
      <c r="EQ27" s="374"/>
      <c r="ER27" s="374"/>
      <c r="ES27" s="374"/>
      <c r="ET27" s="374"/>
      <c r="EU27" s="374"/>
      <c r="EV27" s="359"/>
      <c r="EW27" s="359"/>
      <c r="EZ27" s="438"/>
      <c r="FA27" s="438"/>
      <c r="FB27" s="438"/>
      <c r="FC27" s="438"/>
      <c r="FD27" s="438"/>
      <c r="FE27" s="438"/>
      <c r="FF27" s="438"/>
      <c r="FG27" s="438"/>
      <c r="FH27" s="438"/>
      <c r="FI27" s="438"/>
      <c r="FJ27" s="438"/>
      <c r="FK27" s="438"/>
      <c r="FL27" s="438"/>
      <c r="FM27" s="359"/>
      <c r="FN27" s="359"/>
      <c r="FO27" s="359"/>
      <c r="FP27" s="359"/>
      <c r="FQ27" s="374"/>
      <c r="FR27" s="374"/>
      <c r="FS27" s="374"/>
      <c r="FT27" s="374"/>
      <c r="FU27" s="374"/>
    </row>
    <row r="28" spans="1:177">
      <c r="A28" s="455">
        <f>'برآورد فروش'!A28</f>
        <v>0</v>
      </c>
      <c r="B28" s="407">
        <f t="shared" si="109"/>
        <v>0</v>
      </c>
      <c r="C28" s="407">
        <f t="shared" si="110"/>
        <v>0</v>
      </c>
      <c r="D28" s="407">
        <f t="shared" si="111"/>
        <v>0</v>
      </c>
      <c r="E28" s="407">
        <f t="shared" si="112"/>
        <v>0</v>
      </c>
      <c r="F28" s="407">
        <f t="shared" si="113"/>
        <v>0</v>
      </c>
      <c r="G28" s="407">
        <f t="shared" si="114"/>
        <v>0</v>
      </c>
      <c r="H28" s="407">
        <f t="shared" si="115"/>
        <v>0</v>
      </c>
      <c r="I28" s="407">
        <f t="shared" si="116"/>
        <v>0</v>
      </c>
      <c r="J28" s="407">
        <f t="shared" si="117"/>
        <v>0</v>
      </c>
      <c r="K28" s="407">
        <f t="shared" si="118"/>
        <v>0</v>
      </c>
      <c r="L28" s="407">
        <f t="shared" si="119"/>
        <v>0</v>
      </c>
      <c r="M28" s="451">
        <f>IF('آنالیز حساسیت'!$E$4=0,ex!N28,N28*(1+'آنالیز حساسیت'!$E$4))</f>
        <v>0</v>
      </c>
      <c r="N28" s="451">
        <f>'برآورد فروش'!M28</f>
        <v>0</v>
      </c>
      <c r="O28" s="407"/>
      <c r="P28" s="407"/>
      <c r="Q28" s="407"/>
      <c r="R28" s="407"/>
      <c r="S28" s="407"/>
      <c r="T28" s="407"/>
      <c r="U28" s="407"/>
      <c r="V28" s="407"/>
      <c r="W28" s="407"/>
      <c r="X28" s="407"/>
      <c r="Y28" s="407"/>
      <c r="Z28" s="407"/>
      <c r="AA28" s="407"/>
      <c r="AB28" s="407"/>
      <c r="AC28" s="407"/>
      <c r="AD28" s="407"/>
      <c r="AE28" s="407"/>
      <c r="AF28" s="407"/>
      <c r="AG28" s="407"/>
      <c r="AH28" s="407"/>
      <c r="AI28" s="407"/>
      <c r="AJ28" s="407"/>
      <c r="AK28" s="407"/>
      <c r="AL28" s="407"/>
      <c r="AM28" s="407"/>
      <c r="AN28" s="407"/>
      <c r="AO28" s="407"/>
      <c r="AP28" s="407"/>
      <c r="AQ28" s="407"/>
      <c r="AR28" s="407"/>
      <c r="AS28" s="407"/>
      <c r="AT28" s="407"/>
      <c r="AU28" s="407"/>
      <c r="AV28" s="407"/>
      <c r="AW28" s="407" t="str">
        <f>استهلاك!B29</f>
        <v>هزينه هاي قبل از بهره برداري</v>
      </c>
      <c r="AX28" s="464">
        <f>'ex1'!C29</f>
        <v>229500253.62035227</v>
      </c>
      <c r="AY28" s="464">
        <f>'ex1'!D29</f>
        <v>229500253.62035227</v>
      </c>
      <c r="AZ28" s="464">
        <f>'ex1'!E29</f>
        <v>229500253.62035227</v>
      </c>
      <c r="BA28" s="464">
        <f>'ex1'!F29</f>
        <v>229500253.62035227</v>
      </c>
      <c r="BB28" s="464">
        <f>'ex1'!G29</f>
        <v>229500253.62035227</v>
      </c>
      <c r="BC28" s="464">
        <f>'ex1'!H29</f>
        <v>0</v>
      </c>
      <c r="BD28" s="464">
        <f>'ex1'!I29</f>
        <v>0</v>
      </c>
      <c r="BE28" s="464">
        <f>'ex1'!J29</f>
        <v>0</v>
      </c>
      <c r="BF28" s="464">
        <f>'ex1'!K29</f>
        <v>0</v>
      </c>
      <c r="BG28" s="464">
        <f>'ex1'!L29</f>
        <v>0</v>
      </c>
      <c r="BH28" s="464">
        <f>'ex1'!M29</f>
        <v>0</v>
      </c>
      <c r="BI28" s="407"/>
      <c r="BJ28" s="407"/>
      <c r="BK28" s="407"/>
      <c r="BL28" s="407"/>
      <c r="BM28" s="407"/>
      <c r="BN28" s="407"/>
      <c r="BO28" s="407"/>
      <c r="BP28" s="407"/>
      <c r="BQ28" s="407"/>
      <c r="BR28" s="407"/>
      <c r="BS28" s="407"/>
      <c r="BT28" s="407"/>
      <c r="BU28" s="407"/>
      <c r="BV28" s="407"/>
      <c r="BW28" s="407"/>
      <c r="BX28" s="407"/>
      <c r="BY28" s="407"/>
      <c r="BZ28" s="407"/>
      <c r="CA28" s="407"/>
      <c r="CB28" s="407"/>
      <c r="CC28" s="407"/>
      <c r="CD28" s="407"/>
      <c r="CE28" s="407"/>
      <c r="CF28" s="407"/>
      <c r="CG28" s="407"/>
      <c r="CH28" s="407"/>
      <c r="CI28" s="407"/>
      <c r="CJ28" s="407"/>
      <c r="CK28" s="407"/>
      <c r="CL28" s="407"/>
      <c r="CM28" s="407"/>
      <c r="CN28" s="407"/>
      <c r="CO28" s="407"/>
      <c r="CP28" s="407"/>
      <c r="CQ28" s="407"/>
      <c r="CR28" s="407"/>
      <c r="CS28" s="407"/>
      <c r="CT28" s="407"/>
      <c r="CU28" s="407"/>
      <c r="CV28" s="407"/>
      <c r="CW28" s="407"/>
      <c r="CX28" s="407"/>
      <c r="CY28" s="407"/>
      <c r="CZ28" s="407"/>
      <c r="DA28" s="407"/>
      <c r="DT28" s="367" t="str">
        <f>'پيش بيني عملكرد سود و زيان'!A29</f>
        <v>اضافه مي شود:</v>
      </c>
      <c r="DU28" s="368"/>
      <c r="DV28" s="368"/>
      <c r="DW28" s="368"/>
      <c r="DX28" s="368"/>
      <c r="DY28" s="368"/>
      <c r="DZ28" s="368"/>
      <c r="EA28" s="368"/>
      <c r="EB28" s="368"/>
      <c r="EC28" s="368"/>
      <c r="ED28" s="368"/>
      <c r="EE28" s="368"/>
      <c r="EF28" s="369"/>
      <c r="EG28" s="359"/>
      <c r="EH28" s="359"/>
      <c r="EI28" s="415"/>
      <c r="EJ28" s="374"/>
      <c r="EK28" s="374"/>
      <c r="EL28" s="374"/>
      <c r="EM28" s="374"/>
      <c r="EN28" s="374"/>
      <c r="EO28" s="374"/>
      <c r="EP28" s="374"/>
      <c r="EQ28" s="374"/>
      <c r="ER28" s="374"/>
      <c r="ES28" s="374"/>
      <c r="ET28" s="374"/>
      <c r="EU28" s="374"/>
      <c r="EV28" s="359"/>
      <c r="EW28" s="359"/>
      <c r="EZ28" s="438"/>
      <c r="FA28" s="438"/>
      <c r="FB28" s="438"/>
      <c r="FC28" s="438"/>
      <c r="FD28" s="438"/>
      <c r="FE28" s="438"/>
      <c r="FF28" s="438"/>
      <c r="FG28" s="438"/>
      <c r="FH28" s="438"/>
      <c r="FI28" s="438"/>
      <c r="FJ28" s="438"/>
      <c r="FK28" s="438"/>
      <c r="FL28" s="438"/>
      <c r="FM28" s="359"/>
      <c r="FN28" s="359"/>
      <c r="FO28" s="359"/>
      <c r="FP28" s="359"/>
      <c r="FQ28" s="374"/>
      <c r="FR28" s="374"/>
      <c r="FS28" s="374"/>
      <c r="FT28" s="374"/>
      <c r="FU28" s="374"/>
    </row>
    <row r="29" spans="1:177">
      <c r="A29" s="455">
        <f>'برآورد فروش'!A29</f>
        <v>0</v>
      </c>
      <c r="B29" s="407">
        <f t="shared" si="109"/>
        <v>0</v>
      </c>
      <c r="C29" s="407">
        <f t="shared" si="110"/>
        <v>0</v>
      </c>
      <c r="D29" s="407">
        <f t="shared" si="111"/>
        <v>0</v>
      </c>
      <c r="E29" s="407">
        <f t="shared" si="112"/>
        <v>0</v>
      </c>
      <c r="F29" s="407">
        <f t="shared" si="113"/>
        <v>0</v>
      </c>
      <c r="G29" s="407">
        <f t="shared" si="114"/>
        <v>0</v>
      </c>
      <c r="H29" s="407">
        <f t="shared" si="115"/>
        <v>0</v>
      </c>
      <c r="I29" s="407">
        <f t="shared" si="116"/>
        <v>0</v>
      </c>
      <c r="J29" s="407">
        <f t="shared" si="117"/>
        <v>0</v>
      </c>
      <c r="K29" s="407">
        <f t="shared" si="118"/>
        <v>0</v>
      </c>
      <c r="L29" s="407">
        <f t="shared" si="119"/>
        <v>0</v>
      </c>
      <c r="M29" s="451">
        <f>IF('آنالیز حساسیت'!$E$4=0,ex!N29,N29*(1+'آنالیز حساسیت'!$E$4))</f>
        <v>0</v>
      </c>
      <c r="N29" s="451">
        <f>'برآورد فروش'!M29</f>
        <v>0</v>
      </c>
      <c r="O29" s="407"/>
      <c r="P29" s="407"/>
      <c r="Q29" s="407"/>
      <c r="R29" s="407"/>
      <c r="S29" s="407"/>
      <c r="T29" s="407"/>
      <c r="U29" s="407"/>
      <c r="V29" s="407"/>
      <c r="W29" s="407"/>
      <c r="X29" s="407"/>
      <c r="Y29" s="407"/>
      <c r="Z29" s="407"/>
      <c r="AA29" s="407"/>
      <c r="AB29" s="407"/>
      <c r="AC29" s="407"/>
      <c r="AD29" s="407"/>
      <c r="AE29" s="407"/>
      <c r="AF29" s="407"/>
      <c r="AG29" s="407"/>
      <c r="AH29" s="407"/>
      <c r="AI29" s="407"/>
      <c r="AJ29" s="407"/>
      <c r="AK29" s="407"/>
      <c r="AL29" s="407"/>
      <c r="AM29" s="407"/>
      <c r="AN29" s="407"/>
      <c r="AO29" s="407"/>
      <c r="AP29" s="407"/>
      <c r="AQ29" s="407"/>
      <c r="AR29" s="407"/>
      <c r="AS29" s="407"/>
      <c r="AT29" s="407"/>
      <c r="AU29" s="407"/>
      <c r="AV29" s="407"/>
      <c r="AW29" s="407" t="str">
        <f>استهلاك!B30</f>
        <v>جمع</v>
      </c>
      <c r="AX29" s="464">
        <f>SUM(AX20:AX27)</f>
        <v>17302050</v>
      </c>
      <c r="AY29" s="407">
        <f t="shared" ref="AY29:BH29" si="122">SUM(AY20:AY27)</f>
        <v>17302050</v>
      </c>
      <c r="AZ29" s="407">
        <f t="shared" si="122"/>
        <v>17302050</v>
      </c>
      <c r="BA29" s="407">
        <f t="shared" si="122"/>
        <v>17302050</v>
      </c>
      <c r="BB29" s="407">
        <f t="shared" si="122"/>
        <v>15727050</v>
      </c>
      <c r="BC29" s="407">
        <f t="shared" si="122"/>
        <v>13837050</v>
      </c>
      <c r="BD29" s="407">
        <f t="shared" si="122"/>
        <v>13837050</v>
      </c>
      <c r="BE29" s="407">
        <f t="shared" si="122"/>
        <v>13837050</v>
      </c>
      <c r="BF29" s="407">
        <f t="shared" si="122"/>
        <v>13837050</v>
      </c>
      <c r="BG29" s="407">
        <f t="shared" si="122"/>
        <v>13837050</v>
      </c>
      <c r="BH29" s="407">
        <f t="shared" si="122"/>
        <v>5166000.0000000009</v>
      </c>
      <c r="BI29" s="407"/>
      <c r="BJ29" s="407"/>
      <c r="BK29" s="407"/>
      <c r="BL29" s="407"/>
      <c r="BM29" s="407"/>
      <c r="BN29" s="407"/>
      <c r="BO29" s="407"/>
      <c r="BP29" s="407"/>
      <c r="BQ29" s="407"/>
      <c r="BR29" s="407"/>
      <c r="BS29" s="407"/>
      <c r="BT29" s="407"/>
      <c r="BU29" s="407"/>
      <c r="BV29" s="407"/>
      <c r="BW29" s="407"/>
      <c r="BX29" s="407"/>
      <c r="BY29" s="407"/>
      <c r="BZ29" s="407"/>
      <c r="CA29" s="407"/>
      <c r="CB29" s="407"/>
      <c r="CC29" s="407"/>
      <c r="CD29" s="407"/>
      <c r="CE29" s="407"/>
      <c r="CF29" s="407"/>
      <c r="CG29" s="407"/>
      <c r="CH29" s="407"/>
      <c r="CI29" s="407"/>
      <c r="CJ29" s="407"/>
      <c r="CK29" s="407"/>
      <c r="CL29" s="407"/>
      <c r="CM29" s="407"/>
      <c r="CN29" s="407"/>
      <c r="CO29" s="407"/>
      <c r="CP29" s="407"/>
      <c r="CQ29" s="407"/>
      <c r="CR29" s="407"/>
      <c r="CS29" s="407"/>
      <c r="CT29" s="407"/>
      <c r="CU29" s="407"/>
      <c r="CV29" s="407"/>
      <c r="CW29" s="407"/>
      <c r="CX29" s="407"/>
      <c r="CY29" s="407"/>
      <c r="CZ29" s="407"/>
      <c r="DA29" s="407"/>
      <c r="DT29" s="363">
        <f>'پيش بيني عملكرد سود و زيان'!A30</f>
        <v>21</v>
      </c>
      <c r="DU29" s="361" t="str">
        <f>'پيش بيني عملكرد سود و زيان'!B30</f>
        <v>استهلاك</v>
      </c>
      <c r="DV29" s="361">
        <f t="shared" ref="DV29:EF29" si="123">DV10+DV20</f>
        <v>17302050</v>
      </c>
      <c r="DW29" s="361">
        <f t="shared" si="123"/>
        <v>17302050</v>
      </c>
      <c r="DX29" s="361">
        <f t="shared" si="123"/>
        <v>17302050</v>
      </c>
      <c r="DY29" s="361">
        <f t="shared" si="123"/>
        <v>17302050</v>
      </c>
      <c r="DZ29" s="361">
        <f t="shared" si="123"/>
        <v>15727050</v>
      </c>
      <c r="EA29" s="361">
        <f t="shared" si="123"/>
        <v>13837050</v>
      </c>
      <c r="EB29" s="361">
        <f t="shared" si="123"/>
        <v>13837050</v>
      </c>
      <c r="EC29" s="361">
        <f t="shared" si="123"/>
        <v>13837050</v>
      </c>
      <c r="ED29" s="361">
        <f t="shared" si="123"/>
        <v>13837050</v>
      </c>
      <c r="EE29" s="361">
        <f t="shared" si="123"/>
        <v>13837050</v>
      </c>
      <c r="EF29" s="361">
        <f t="shared" si="123"/>
        <v>5166000.0000000009</v>
      </c>
      <c r="EG29" s="359"/>
      <c r="EH29" s="359"/>
      <c r="EI29" s="415"/>
      <c r="EJ29" s="374"/>
      <c r="EK29" s="374"/>
      <c r="EL29" s="374"/>
      <c r="EM29" s="374"/>
      <c r="EN29" s="374"/>
      <c r="EO29" s="374"/>
      <c r="EP29" s="374"/>
      <c r="EQ29" s="374"/>
      <c r="ER29" s="374"/>
      <c r="ES29" s="374"/>
      <c r="ET29" s="374"/>
      <c r="EU29" s="374"/>
      <c r="EV29" s="359"/>
      <c r="EW29" s="359"/>
      <c r="EZ29" s="438"/>
      <c r="FA29" s="438"/>
      <c r="FB29" s="438"/>
      <c r="FC29" s="438"/>
      <c r="FD29" s="438"/>
      <c r="FE29" s="438"/>
      <c r="FF29" s="438"/>
      <c r="FG29" s="438"/>
      <c r="FH29" s="438"/>
      <c r="FI29" s="438"/>
      <c r="FJ29" s="438"/>
      <c r="FK29" s="438"/>
      <c r="FL29" s="438"/>
      <c r="FM29" s="359"/>
      <c r="FN29" s="359"/>
      <c r="FO29" s="359"/>
      <c r="FP29" s="359"/>
      <c r="FQ29" s="374"/>
      <c r="FR29" s="374"/>
      <c r="FS29" s="374"/>
      <c r="FT29" s="374"/>
      <c r="FU29" s="374"/>
    </row>
    <row r="30" spans="1:177">
      <c r="A30" s="455">
        <f>'برآورد فروش'!A30</f>
        <v>0</v>
      </c>
      <c r="B30" s="407">
        <f t="shared" si="109"/>
        <v>0</v>
      </c>
      <c r="C30" s="407">
        <f t="shared" si="110"/>
        <v>0</v>
      </c>
      <c r="D30" s="407">
        <f t="shared" si="111"/>
        <v>0</v>
      </c>
      <c r="E30" s="407">
        <f t="shared" si="112"/>
        <v>0</v>
      </c>
      <c r="F30" s="407">
        <f t="shared" si="113"/>
        <v>0</v>
      </c>
      <c r="G30" s="407">
        <f t="shared" si="114"/>
        <v>0</v>
      </c>
      <c r="H30" s="407">
        <f t="shared" si="115"/>
        <v>0</v>
      </c>
      <c r="I30" s="407">
        <f t="shared" si="116"/>
        <v>0</v>
      </c>
      <c r="J30" s="407">
        <f t="shared" si="117"/>
        <v>0</v>
      </c>
      <c r="K30" s="407">
        <f t="shared" si="118"/>
        <v>0</v>
      </c>
      <c r="L30" s="407">
        <f t="shared" si="119"/>
        <v>0</v>
      </c>
      <c r="M30" s="451">
        <f>IF('آنالیز حساسیت'!$E$4=0,ex!N30,N30*(1+'آنالیز حساسیت'!$E$4))</f>
        <v>0</v>
      </c>
      <c r="N30" s="451">
        <f>'برآورد فروش'!M30</f>
        <v>0</v>
      </c>
      <c r="O30" s="407"/>
      <c r="P30" s="407"/>
      <c r="Q30" s="407"/>
      <c r="R30" s="407"/>
      <c r="S30" s="407"/>
      <c r="T30" s="407"/>
      <c r="U30" s="407"/>
      <c r="V30" s="407"/>
      <c r="W30" s="407"/>
      <c r="X30" s="407"/>
      <c r="Y30" s="407"/>
      <c r="Z30" s="407"/>
      <c r="AA30" s="407"/>
      <c r="AB30" s="407"/>
      <c r="AC30" s="407"/>
      <c r="AD30" s="407"/>
      <c r="AE30" s="407"/>
      <c r="AF30" s="407"/>
      <c r="AG30" s="407"/>
      <c r="AH30" s="407"/>
      <c r="AI30" s="407"/>
      <c r="AJ30" s="407"/>
      <c r="AK30" s="407"/>
      <c r="AL30" s="407"/>
      <c r="AM30" s="407"/>
      <c r="AN30" s="407"/>
      <c r="AO30" s="407"/>
      <c r="AP30" s="407"/>
      <c r="AQ30" s="407"/>
      <c r="AR30" s="407"/>
      <c r="AS30" s="407"/>
      <c r="AT30" s="407"/>
      <c r="AU30" s="407"/>
      <c r="AV30" s="407"/>
      <c r="AW30" s="407"/>
      <c r="AX30" s="407"/>
      <c r="AY30" s="407"/>
      <c r="AZ30" s="407"/>
      <c r="BA30" s="407"/>
      <c r="BB30" s="407"/>
      <c r="BC30" s="407"/>
      <c r="BD30" s="407"/>
      <c r="BE30" s="407"/>
      <c r="BF30" s="407"/>
      <c r="BG30" s="407"/>
      <c r="BH30" s="407"/>
      <c r="BI30" s="407"/>
      <c r="BJ30" s="407"/>
      <c r="BK30" s="407"/>
      <c r="BL30" s="407"/>
      <c r="BM30" s="407"/>
      <c r="BN30" s="407"/>
      <c r="BO30" s="407"/>
      <c r="BP30" s="407"/>
      <c r="BQ30" s="407"/>
      <c r="BR30" s="407"/>
      <c r="BS30" s="407"/>
      <c r="BT30" s="407"/>
      <c r="BU30" s="407"/>
      <c r="BV30" s="407"/>
      <c r="BW30" s="407"/>
      <c r="BX30" s="407"/>
      <c r="BY30" s="407"/>
      <c r="BZ30" s="407"/>
      <c r="CA30" s="407"/>
      <c r="CB30" s="407"/>
      <c r="CC30" s="407"/>
      <c r="CD30" s="407"/>
      <c r="CE30" s="407"/>
      <c r="CF30" s="407"/>
      <c r="CG30" s="407"/>
      <c r="CH30" s="407"/>
      <c r="CI30" s="407"/>
      <c r="CJ30" s="407"/>
      <c r="CK30" s="407"/>
      <c r="CL30" s="407"/>
      <c r="CM30" s="407"/>
      <c r="CN30" s="407"/>
      <c r="CO30" s="407"/>
      <c r="CP30" s="407"/>
      <c r="CQ30" s="407"/>
      <c r="CR30" s="407"/>
      <c r="CS30" s="407"/>
      <c r="CT30" s="407"/>
      <c r="CU30" s="407"/>
      <c r="CV30" s="407"/>
      <c r="CW30" s="407"/>
      <c r="CX30" s="407"/>
      <c r="CY30" s="407"/>
      <c r="CZ30" s="407"/>
      <c r="DA30" s="407"/>
      <c r="DT30" s="367" t="str">
        <f>'پيش بيني عملكرد سود و زيان'!A31</f>
        <v>كسر مي شود:</v>
      </c>
      <c r="DU30" s="368"/>
      <c r="DV30" s="368"/>
      <c r="DW30" s="368"/>
      <c r="DX30" s="368"/>
      <c r="DY30" s="368"/>
      <c r="DZ30" s="368"/>
      <c r="EA30" s="368"/>
      <c r="EB30" s="368"/>
      <c r="EC30" s="368"/>
      <c r="ED30" s="368"/>
      <c r="EE30" s="368"/>
      <c r="EF30" s="369"/>
      <c r="EG30" s="359"/>
      <c r="EH30" s="359"/>
      <c r="EI30" s="415"/>
      <c r="EJ30" s="374"/>
      <c r="EK30" s="374"/>
      <c r="EL30" s="374"/>
      <c r="EM30" s="374"/>
      <c r="EN30" s="374"/>
      <c r="EO30" s="374"/>
      <c r="EP30" s="374"/>
      <c r="EQ30" s="374"/>
      <c r="ER30" s="374"/>
      <c r="ES30" s="374"/>
      <c r="ET30" s="374"/>
      <c r="EU30" s="374"/>
      <c r="EV30" s="359"/>
      <c r="EW30" s="359"/>
      <c r="EZ30" s="438"/>
      <c r="FA30" s="438"/>
      <c r="FB30" s="438"/>
      <c r="FC30" s="438"/>
      <c r="FD30" s="438"/>
      <c r="FE30" s="438"/>
      <c r="FF30" s="438"/>
      <c r="FG30" s="438"/>
      <c r="FH30" s="438"/>
      <c r="FI30" s="438"/>
      <c r="FJ30" s="438"/>
      <c r="FK30" s="438"/>
      <c r="FL30" s="438"/>
      <c r="FM30" s="359"/>
      <c r="FN30" s="359"/>
      <c r="FO30" s="359"/>
      <c r="FP30" s="359"/>
      <c r="FQ30" s="374"/>
      <c r="FR30" s="374"/>
      <c r="FS30" s="374"/>
      <c r="FT30" s="374"/>
      <c r="FU30" s="374"/>
    </row>
    <row r="31" spans="1:177">
      <c r="A31" s="455">
        <f>'برآورد فروش'!A31</f>
        <v>0</v>
      </c>
      <c r="B31" s="407">
        <f t="shared" si="109"/>
        <v>0</v>
      </c>
      <c r="C31" s="407">
        <f t="shared" si="110"/>
        <v>0</v>
      </c>
      <c r="D31" s="407">
        <f t="shared" si="111"/>
        <v>0</v>
      </c>
      <c r="E31" s="407">
        <f t="shared" si="112"/>
        <v>0</v>
      </c>
      <c r="F31" s="407">
        <f t="shared" si="113"/>
        <v>0</v>
      </c>
      <c r="G31" s="407">
        <f t="shared" si="114"/>
        <v>0</v>
      </c>
      <c r="H31" s="407">
        <f t="shared" si="115"/>
        <v>0</v>
      </c>
      <c r="I31" s="407">
        <f t="shared" si="116"/>
        <v>0</v>
      </c>
      <c r="J31" s="407">
        <f t="shared" si="117"/>
        <v>0</v>
      </c>
      <c r="K31" s="407">
        <f t="shared" si="118"/>
        <v>0</v>
      </c>
      <c r="L31" s="407">
        <f t="shared" si="119"/>
        <v>0</v>
      </c>
      <c r="M31" s="451">
        <f>IF('آنالیز حساسیت'!$E$4=0,ex!N31,N31*(1+'آنالیز حساسیت'!$E$4))</f>
        <v>0</v>
      </c>
      <c r="N31" s="451">
        <f>'برآورد فروش'!M31</f>
        <v>0</v>
      </c>
      <c r="O31" s="407"/>
      <c r="P31" s="407"/>
      <c r="Q31" s="407"/>
      <c r="R31" s="407"/>
      <c r="S31" s="407"/>
      <c r="T31" s="407"/>
      <c r="U31" s="407"/>
      <c r="V31" s="407"/>
      <c r="W31" s="407"/>
      <c r="X31" s="407"/>
      <c r="Y31" s="407"/>
      <c r="Z31" s="407"/>
      <c r="AA31" s="407"/>
      <c r="AB31" s="407"/>
      <c r="AC31" s="407"/>
      <c r="AD31" s="407"/>
      <c r="AE31" s="407"/>
      <c r="AF31" s="407"/>
      <c r="AG31" s="407"/>
      <c r="AH31" s="407"/>
      <c r="AI31" s="407"/>
      <c r="AJ31" s="407"/>
      <c r="AK31" s="407"/>
      <c r="AL31" s="407"/>
      <c r="AM31" s="407"/>
      <c r="AN31" s="407"/>
      <c r="AO31" s="407"/>
      <c r="AP31" s="407"/>
      <c r="AQ31" s="407"/>
      <c r="AR31" s="407"/>
      <c r="AS31" s="407"/>
      <c r="AT31" s="407"/>
      <c r="AU31" s="407"/>
      <c r="AV31" s="407"/>
      <c r="AW31" s="407"/>
      <c r="AX31" s="407"/>
      <c r="AY31" s="407"/>
      <c r="AZ31" s="407"/>
      <c r="BA31" s="407"/>
      <c r="BB31" s="407"/>
      <c r="BC31" s="407"/>
      <c r="BD31" s="407"/>
      <c r="BE31" s="407"/>
      <c r="BF31" s="407"/>
      <c r="BG31" s="407"/>
      <c r="BH31" s="407"/>
      <c r="BI31" s="407"/>
      <c r="BJ31" s="407"/>
      <c r="BK31" s="407"/>
      <c r="BL31" s="407"/>
      <c r="BM31" s="407"/>
      <c r="BN31" s="407"/>
      <c r="BO31" s="407"/>
      <c r="BP31" s="407"/>
      <c r="BQ31" s="407"/>
      <c r="BR31" s="407"/>
      <c r="BS31" s="407"/>
      <c r="BT31" s="407"/>
      <c r="BU31" s="407"/>
      <c r="BV31" s="407"/>
      <c r="BW31" s="407"/>
      <c r="BX31" s="407"/>
      <c r="BY31" s="407"/>
      <c r="BZ31" s="407"/>
      <c r="CA31" s="407"/>
      <c r="CB31" s="407"/>
      <c r="CC31" s="407"/>
      <c r="CD31" s="407"/>
      <c r="CE31" s="407"/>
      <c r="CF31" s="407"/>
      <c r="CG31" s="407"/>
      <c r="CH31" s="407"/>
      <c r="CI31" s="407"/>
      <c r="CJ31" s="407"/>
      <c r="CK31" s="407"/>
      <c r="CL31" s="407"/>
      <c r="CM31" s="407"/>
      <c r="CN31" s="407"/>
      <c r="CO31" s="407"/>
      <c r="CP31" s="407"/>
      <c r="CQ31" s="407"/>
      <c r="CR31" s="407"/>
      <c r="CS31" s="407"/>
      <c r="CT31" s="407"/>
      <c r="CU31" s="407"/>
      <c r="CV31" s="407"/>
      <c r="CW31" s="407"/>
      <c r="CX31" s="407"/>
      <c r="CY31" s="407"/>
      <c r="CZ31" s="407"/>
      <c r="DA31" s="407"/>
      <c r="DT31" s="363">
        <f>'پيش بيني عملكرد سود و زيان'!A33</f>
        <v>22</v>
      </c>
      <c r="DU31" s="361" t="str">
        <f>'پيش بيني عملكرد سود و زيان'!B33</f>
        <v>اصل تسهيلات بلند مدت</v>
      </c>
      <c r="DV31" s="361">
        <f>'پيش بيني عملكرد سود و زيان'!C33</f>
        <v>0</v>
      </c>
      <c r="DW31" s="361">
        <f>'پيش بيني عملكرد سود و زيان'!D33</f>
        <v>0</v>
      </c>
      <c r="DX31" s="361">
        <f>'پيش بيني عملكرد سود و زيان'!E33</f>
        <v>0</v>
      </c>
      <c r="DY31" s="361">
        <f>'پيش بيني عملكرد سود و زيان'!F33</f>
        <v>0</v>
      </c>
      <c r="DZ31" s="361">
        <f>'پيش بيني عملكرد سود و زيان'!G33</f>
        <v>0</v>
      </c>
      <c r="EA31" s="361">
        <f>'پيش بيني عملكرد سود و زيان'!H33</f>
        <v>0</v>
      </c>
      <c r="EB31" s="361">
        <f>'پيش بيني عملكرد سود و زيان'!I33</f>
        <v>0</v>
      </c>
      <c r="EC31" s="361">
        <f>'پيش بيني عملكرد سود و زيان'!J33</f>
        <v>0</v>
      </c>
      <c r="ED31" s="361">
        <f>'پيش بيني عملكرد سود و زيان'!K33</f>
        <v>0</v>
      </c>
      <c r="EE31" s="361">
        <f>'پيش بيني عملكرد سود و زيان'!L33</f>
        <v>0</v>
      </c>
      <c r="EF31" s="361">
        <f>'پيش بيني عملكرد سود و زيان'!M33</f>
        <v>0</v>
      </c>
      <c r="EG31" s="359"/>
      <c r="EH31" s="359"/>
      <c r="EI31" s="415"/>
      <c r="EJ31" s="374"/>
      <c r="EK31" s="374"/>
      <c r="EL31" s="374"/>
      <c r="EM31" s="374"/>
      <c r="EN31" s="374"/>
      <c r="EO31" s="374"/>
      <c r="EP31" s="374"/>
      <c r="EQ31" s="374"/>
      <c r="ER31" s="374"/>
      <c r="ES31" s="374"/>
      <c r="ET31" s="374"/>
      <c r="EU31" s="374"/>
      <c r="EV31" s="359"/>
      <c r="EW31" s="359"/>
      <c r="EZ31" s="438"/>
      <c r="FA31" s="438"/>
      <c r="FB31" s="438"/>
      <c r="FC31" s="438"/>
      <c r="FD31" s="438"/>
      <c r="FE31" s="438"/>
      <c r="FF31" s="438"/>
      <c r="FG31" s="438"/>
      <c r="FH31" s="438"/>
      <c r="FI31" s="438"/>
      <c r="FJ31" s="438"/>
      <c r="FK31" s="438"/>
      <c r="FL31" s="438"/>
      <c r="FM31" s="359"/>
      <c r="FN31" s="359"/>
      <c r="FO31" s="359"/>
      <c r="FP31" s="359"/>
      <c r="FQ31" s="374"/>
      <c r="FR31" s="374"/>
      <c r="FS31" s="374"/>
      <c r="FT31" s="374"/>
      <c r="FU31" s="374"/>
    </row>
    <row r="32" spans="1:177">
      <c r="A32" s="455">
        <f>'برآورد فروش'!A32</f>
        <v>0</v>
      </c>
      <c r="B32" s="407">
        <f t="shared" si="109"/>
        <v>0</v>
      </c>
      <c r="C32" s="407">
        <f t="shared" si="110"/>
        <v>0</v>
      </c>
      <c r="D32" s="407">
        <f t="shared" si="111"/>
        <v>0</v>
      </c>
      <c r="E32" s="407">
        <f t="shared" si="112"/>
        <v>0</v>
      </c>
      <c r="F32" s="407">
        <f t="shared" si="113"/>
        <v>0</v>
      </c>
      <c r="G32" s="407">
        <f t="shared" si="114"/>
        <v>0</v>
      </c>
      <c r="H32" s="407">
        <f t="shared" si="115"/>
        <v>0</v>
      </c>
      <c r="I32" s="407">
        <f t="shared" si="116"/>
        <v>0</v>
      </c>
      <c r="J32" s="407">
        <f t="shared" si="117"/>
        <v>0</v>
      </c>
      <c r="K32" s="407">
        <f t="shared" si="118"/>
        <v>0</v>
      </c>
      <c r="L32" s="407">
        <f t="shared" si="119"/>
        <v>0</v>
      </c>
      <c r="M32" s="451">
        <f>IF('آنالیز حساسیت'!$E$4=0,ex!N32,N32*(1+'آنالیز حساسیت'!$E$4))</f>
        <v>0</v>
      </c>
      <c r="N32" s="451">
        <v>0</v>
      </c>
      <c r="O32" s="407"/>
      <c r="P32" s="407"/>
      <c r="Q32" s="407"/>
      <c r="R32" s="407"/>
      <c r="S32" s="407"/>
      <c r="T32" s="407"/>
      <c r="U32" s="407"/>
      <c r="V32" s="407"/>
      <c r="W32" s="407"/>
      <c r="X32" s="407"/>
      <c r="Y32" s="407"/>
      <c r="Z32" s="407"/>
      <c r="AA32" s="407"/>
      <c r="AB32" s="407"/>
      <c r="AC32" s="407"/>
      <c r="AD32" s="407"/>
      <c r="AE32" s="407"/>
      <c r="AF32" s="407"/>
      <c r="AG32" s="407"/>
      <c r="AH32" s="407"/>
      <c r="AI32" s="407"/>
      <c r="AJ32" s="407"/>
      <c r="AK32" s="407"/>
      <c r="AL32" s="407"/>
      <c r="AM32" s="407"/>
      <c r="AN32" s="407"/>
      <c r="AO32" s="407"/>
      <c r="AP32" s="407"/>
      <c r="AQ32" s="407"/>
      <c r="AR32" s="407"/>
      <c r="AS32" s="407"/>
      <c r="AT32" s="407"/>
      <c r="AU32" s="407"/>
      <c r="AV32" s="407"/>
      <c r="AW32" s="407"/>
      <c r="AX32" s="407"/>
      <c r="AY32" s="407"/>
      <c r="AZ32" s="407"/>
      <c r="BA32" s="407"/>
      <c r="BB32" s="407"/>
      <c r="BC32" s="407"/>
      <c r="BD32" s="407"/>
      <c r="BE32" s="407"/>
      <c r="BF32" s="407"/>
      <c r="BG32" s="407"/>
      <c r="BH32" s="407"/>
      <c r="BI32" s="407"/>
      <c r="BJ32" s="407"/>
      <c r="BK32" s="407"/>
      <c r="BL32" s="407"/>
      <c r="BM32" s="407"/>
      <c r="BN32" s="407"/>
      <c r="BO32" s="407"/>
      <c r="BP32" s="407"/>
      <c r="BQ32" s="407"/>
      <c r="BR32" s="407"/>
      <c r="BS32" s="407"/>
      <c r="BT32" s="407"/>
      <c r="BU32" s="407"/>
      <c r="BV32" s="407"/>
      <c r="BW32" s="407"/>
      <c r="BX32" s="407"/>
      <c r="BY32" s="407"/>
      <c r="BZ32" s="407"/>
      <c r="CA32" s="407"/>
      <c r="CB32" s="407"/>
      <c r="CC32" s="407"/>
      <c r="CD32" s="407"/>
      <c r="CE32" s="407"/>
      <c r="CF32" s="407"/>
      <c r="CG32" s="407"/>
      <c r="CH32" s="407"/>
      <c r="CI32" s="407"/>
      <c r="CJ32" s="407"/>
      <c r="CK32" s="407"/>
      <c r="CL32" s="407"/>
      <c r="CM32" s="407"/>
      <c r="CN32" s="407"/>
      <c r="CO32" s="407"/>
      <c r="CP32" s="407"/>
      <c r="CQ32" s="407"/>
      <c r="CR32" s="407"/>
      <c r="CS32" s="407"/>
      <c r="CT32" s="407"/>
      <c r="CU32" s="407"/>
      <c r="CV32" s="407"/>
      <c r="CW32" s="407"/>
      <c r="CX32" s="407"/>
      <c r="CY32" s="407"/>
      <c r="CZ32" s="407"/>
      <c r="DA32" s="407"/>
      <c r="DT32" s="367">
        <f>'پيش بيني عملكرد سود و زيان'!A34</f>
        <v>24</v>
      </c>
      <c r="DU32" s="368" t="str">
        <f>'پيش بيني عملكرد سود و زيان'!B34</f>
        <v>اصل تسهيلات كوتاه مدت</v>
      </c>
      <c r="DV32" s="368">
        <f>'پيش بيني عملكرد سود و زيان'!C34</f>
        <v>1345262.9729751665</v>
      </c>
      <c r="DW32" s="368">
        <f>'پيش بيني عملكرد سود و زيان'!D34</f>
        <v>0</v>
      </c>
      <c r="DX32" s="368">
        <f>'پيش بيني عملكرد سود و زيان'!E34</f>
        <v>0</v>
      </c>
      <c r="DY32" s="368">
        <f>'پيش بيني عملكرد سود و زيان'!F34</f>
        <v>0</v>
      </c>
      <c r="DZ32" s="368">
        <f>'پيش بيني عملكرد سود و زيان'!G34</f>
        <v>0</v>
      </c>
      <c r="EA32" s="368">
        <f>'پيش بيني عملكرد سود و زيان'!H34</f>
        <v>0</v>
      </c>
      <c r="EB32" s="368">
        <f>'پيش بيني عملكرد سود و زيان'!I34</f>
        <v>0</v>
      </c>
      <c r="EC32" s="368">
        <f>'پيش بيني عملكرد سود و زيان'!J34</f>
        <v>0</v>
      </c>
      <c r="ED32" s="368">
        <f>'پيش بيني عملكرد سود و زيان'!K34</f>
        <v>0</v>
      </c>
      <c r="EE32" s="368">
        <f>'پيش بيني عملكرد سود و زيان'!L34</f>
        <v>0</v>
      </c>
      <c r="EF32" s="368">
        <f>'پيش بيني عملكرد سود و زيان'!M34</f>
        <v>0</v>
      </c>
      <c r="EG32" s="359"/>
      <c r="EH32" s="359"/>
      <c r="EI32" s="415"/>
      <c r="EJ32" s="374"/>
      <c r="EK32" s="374"/>
      <c r="EL32" s="374"/>
      <c r="EM32" s="374"/>
      <c r="EN32" s="374"/>
      <c r="EO32" s="374"/>
      <c r="EP32" s="374"/>
      <c r="EQ32" s="374"/>
      <c r="ER32" s="374"/>
      <c r="ES32" s="374"/>
      <c r="ET32" s="374"/>
      <c r="EU32" s="374"/>
      <c r="EV32" s="359"/>
      <c r="EW32" s="359"/>
    </row>
    <row r="33" spans="1:200">
      <c r="A33" s="455" t="str">
        <f>'برآورد فروش'!A33</f>
        <v xml:space="preserve">ضايعات قابل فروش </v>
      </c>
      <c r="B33" s="407">
        <f>'برآورد فروش'!B33</f>
        <v>0</v>
      </c>
      <c r="C33" s="407">
        <f>'برآورد فروش'!C33</f>
        <v>0</v>
      </c>
      <c r="D33" s="407">
        <f>'برآورد فروش'!D33</f>
        <v>0</v>
      </c>
      <c r="E33" s="407">
        <f>'برآورد فروش'!E33</f>
        <v>0</v>
      </c>
      <c r="F33" s="407">
        <f>'برآورد فروش'!F33</f>
        <v>0</v>
      </c>
      <c r="G33" s="407">
        <f>'برآورد فروش'!G33</f>
        <v>0</v>
      </c>
      <c r="H33" s="407">
        <f>'برآورد فروش'!H33</f>
        <v>0</v>
      </c>
      <c r="I33" s="407">
        <f>'برآورد فروش'!I33</f>
        <v>0</v>
      </c>
      <c r="J33" s="407">
        <f>'برآورد فروش'!J33</f>
        <v>0</v>
      </c>
      <c r="K33" s="407">
        <f>'برآورد فروش'!K33</f>
        <v>0</v>
      </c>
      <c r="L33" s="407">
        <f>'برآورد فروش'!L33</f>
        <v>0</v>
      </c>
      <c r="M33" s="451">
        <f>IF('آنالیز حساسیت'!$E$4=0,ex!N33,N33*(1+'آنالیز حساسیت'!$E$4))</f>
        <v>0</v>
      </c>
      <c r="N33" s="407"/>
      <c r="O33" s="407"/>
      <c r="P33" s="407"/>
      <c r="Q33" s="407"/>
      <c r="R33" s="407"/>
      <c r="S33" s="407"/>
      <c r="T33" s="407"/>
      <c r="U33" s="407"/>
      <c r="V33" s="407"/>
      <c r="W33" s="407"/>
      <c r="X33" s="407"/>
      <c r="Y33" s="407"/>
      <c r="Z33" s="407"/>
      <c r="AA33" s="407"/>
      <c r="AB33" s="407"/>
      <c r="AC33" s="407"/>
      <c r="AD33" s="407"/>
      <c r="AE33" s="407"/>
      <c r="AF33" s="407"/>
      <c r="AG33" s="407"/>
      <c r="AH33" s="407"/>
      <c r="AI33" s="407"/>
      <c r="AJ33" s="407"/>
      <c r="AK33" s="407"/>
      <c r="AL33" s="407"/>
      <c r="AM33" s="407"/>
      <c r="AN33" s="407"/>
      <c r="AO33" s="407"/>
      <c r="AP33" s="407"/>
      <c r="AQ33" s="407"/>
      <c r="AR33" s="407"/>
      <c r="AS33" s="407"/>
      <c r="AT33" s="407"/>
      <c r="AU33" s="407"/>
      <c r="AV33" s="407"/>
      <c r="AW33" s="407"/>
      <c r="AX33" s="407"/>
      <c r="AY33" s="407"/>
      <c r="AZ33" s="407"/>
      <c r="BA33" s="407"/>
      <c r="BB33" s="407"/>
      <c r="BC33" s="407"/>
      <c r="BD33" s="407"/>
      <c r="BE33" s="407"/>
      <c r="BF33" s="407"/>
      <c r="BG33" s="407"/>
      <c r="BH33" s="407"/>
      <c r="BI33" s="407"/>
      <c r="BJ33" s="407"/>
      <c r="BK33" s="407"/>
      <c r="BL33" s="407"/>
      <c r="BM33" s="407"/>
      <c r="BN33" s="407"/>
      <c r="BO33" s="407"/>
      <c r="BP33" s="407"/>
      <c r="BQ33" s="407"/>
      <c r="BR33" s="407"/>
      <c r="BS33" s="407"/>
      <c r="BT33" s="407"/>
      <c r="BU33" s="407"/>
      <c r="BV33" s="407"/>
      <c r="BW33" s="407"/>
      <c r="BX33" s="407"/>
      <c r="BY33" s="407"/>
      <c r="BZ33" s="407"/>
      <c r="CA33" s="407"/>
      <c r="CB33" s="407"/>
      <c r="CC33" s="407"/>
      <c r="CD33" s="407"/>
      <c r="CE33" s="407"/>
      <c r="CF33" s="407"/>
      <c r="CG33" s="407"/>
      <c r="CH33" s="407"/>
      <c r="CI33" s="407"/>
      <c r="CJ33" s="407"/>
      <c r="CK33" s="407"/>
      <c r="CL33" s="407"/>
      <c r="CM33" s="407"/>
      <c r="CN33" s="407"/>
      <c r="CO33" s="407"/>
      <c r="CP33" s="407"/>
      <c r="CQ33" s="407"/>
      <c r="CR33" s="407"/>
      <c r="CS33" s="407"/>
      <c r="CT33" s="407"/>
      <c r="CU33" s="407"/>
      <c r="CV33" s="407"/>
      <c r="CW33" s="407"/>
      <c r="CX33" s="407"/>
      <c r="CY33" s="407"/>
      <c r="CZ33" s="407"/>
      <c r="DA33" s="407"/>
      <c r="DT33" s="367" t="str">
        <f>'پيش بيني عملكرد سود و زيان'!A46</f>
        <v>مازاد/كمبود نقدي</v>
      </c>
      <c r="DU33" s="368"/>
      <c r="DV33" s="368">
        <f>DV27+DV29-(DV31+DV32)</f>
        <v>-58648855.472975165</v>
      </c>
      <c r="DW33" s="368">
        <f t="shared" ref="DW33:EF33" si="124">DW27+DW29-(DW31+DW32)</f>
        <v>-57303592.5</v>
      </c>
      <c r="DX33" s="368">
        <f t="shared" si="124"/>
        <v>-57303592.5</v>
      </c>
      <c r="DY33" s="368">
        <f t="shared" si="124"/>
        <v>-57303592.5</v>
      </c>
      <c r="DZ33" s="368">
        <f t="shared" si="124"/>
        <v>-57303592.5</v>
      </c>
      <c r="EA33" s="368">
        <f t="shared" si="124"/>
        <v>-57303592.5</v>
      </c>
      <c r="EB33" s="368">
        <f t="shared" si="124"/>
        <v>-57303592.5</v>
      </c>
      <c r="EC33" s="368">
        <f t="shared" si="124"/>
        <v>-57303592.5</v>
      </c>
      <c r="ED33" s="368">
        <f t="shared" si="124"/>
        <v>-57303592.5</v>
      </c>
      <c r="EE33" s="368">
        <f t="shared" si="124"/>
        <v>-57303592.5</v>
      </c>
      <c r="EF33" s="368">
        <f t="shared" si="124"/>
        <v>-57303592.5</v>
      </c>
      <c r="EG33" s="359"/>
      <c r="EH33" s="359"/>
      <c r="EI33" s="415"/>
      <c r="EJ33" s="374"/>
      <c r="EK33" s="374"/>
      <c r="EL33" s="374"/>
      <c r="EM33" s="374"/>
      <c r="EN33" s="374"/>
      <c r="EO33" s="374"/>
      <c r="EP33" s="374"/>
      <c r="EQ33" s="374"/>
      <c r="ER33" s="374"/>
      <c r="ES33" s="374"/>
      <c r="ET33" s="374"/>
      <c r="EU33" s="374"/>
      <c r="EV33" s="359"/>
      <c r="EW33" s="359"/>
    </row>
    <row r="34" spans="1:200" ht="15.6" thickBot="1">
      <c r="A34" s="456" t="str">
        <f>'برآورد فروش'!A34</f>
        <v>جمع كل فروش (هزار ريال)</v>
      </c>
      <c r="B34" s="452">
        <f t="shared" ref="B34:K34" si="125">B22+B33</f>
        <v>0</v>
      </c>
      <c r="C34" s="452">
        <f t="shared" si="125"/>
        <v>0</v>
      </c>
      <c r="D34" s="452">
        <f t="shared" si="125"/>
        <v>0</v>
      </c>
      <c r="E34" s="452">
        <f t="shared" si="125"/>
        <v>0</v>
      </c>
      <c r="F34" s="452">
        <f t="shared" si="125"/>
        <v>0</v>
      </c>
      <c r="G34" s="452">
        <f t="shared" si="125"/>
        <v>0</v>
      </c>
      <c r="H34" s="452">
        <f t="shared" si="125"/>
        <v>0</v>
      </c>
      <c r="I34" s="452">
        <f t="shared" si="125"/>
        <v>0</v>
      </c>
      <c r="J34" s="452">
        <f t="shared" si="125"/>
        <v>0</v>
      </c>
      <c r="K34" s="452">
        <f t="shared" si="125"/>
        <v>0</v>
      </c>
      <c r="L34" s="452">
        <f>L22+L33</f>
        <v>0</v>
      </c>
      <c r="M34" s="453">
        <f>'برآورد فروش'!M34</f>
        <v>0</v>
      </c>
      <c r="N34" s="407"/>
      <c r="O34" s="407"/>
      <c r="P34" s="407"/>
      <c r="Q34" s="407"/>
      <c r="R34" s="407"/>
      <c r="S34" s="407"/>
      <c r="T34" s="407"/>
      <c r="U34" s="407"/>
      <c r="V34" s="407"/>
      <c r="W34" s="407"/>
      <c r="X34" s="407"/>
      <c r="Y34" s="407"/>
      <c r="Z34" s="407"/>
      <c r="AA34" s="407"/>
      <c r="AB34" s="407"/>
      <c r="AC34" s="407"/>
      <c r="AD34" s="407"/>
      <c r="AE34" s="407"/>
      <c r="AF34" s="407"/>
      <c r="AG34" s="407"/>
      <c r="AH34" s="407"/>
      <c r="AI34" s="407"/>
      <c r="AJ34" s="407"/>
      <c r="AK34" s="407"/>
      <c r="AL34" s="407"/>
      <c r="AM34" s="407"/>
      <c r="AN34" s="407"/>
      <c r="AO34" s="407"/>
      <c r="AP34" s="407"/>
      <c r="AQ34" s="407"/>
      <c r="AR34" s="407"/>
      <c r="AS34" s="407"/>
      <c r="AT34" s="407"/>
      <c r="AU34" s="407"/>
      <c r="AV34" s="407"/>
      <c r="AW34" s="407"/>
      <c r="AX34" s="407"/>
      <c r="AY34" s="407"/>
      <c r="AZ34" s="407"/>
      <c r="BA34" s="407"/>
      <c r="BB34" s="407"/>
      <c r="BC34" s="407"/>
      <c r="BD34" s="407"/>
      <c r="BE34" s="407"/>
      <c r="BF34" s="407"/>
      <c r="BG34" s="407"/>
      <c r="BH34" s="407"/>
      <c r="BI34" s="407"/>
      <c r="BJ34" s="407"/>
      <c r="BK34" s="407"/>
      <c r="BL34" s="407"/>
      <c r="BM34" s="407"/>
      <c r="BN34" s="407"/>
      <c r="BO34" s="407"/>
      <c r="BP34" s="407"/>
      <c r="BQ34" s="407"/>
      <c r="BR34" s="407"/>
      <c r="BS34" s="407"/>
      <c r="BT34" s="407"/>
      <c r="BU34" s="407"/>
      <c r="BV34" s="407"/>
      <c r="BW34" s="407"/>
      <c r="BX34" s="407"/>
      <c r="BY34" s="407"/>
      <c r="BZ34" s="407"/>
      <c r="CA34" s="407"/>
      <c r="CB34" s="407"/>
      <c r="CC34" s="407"/>
      <c r="CD34" s="407"/>
      <c r="CE34" s="407"/>
      <c r="CF34" s="407"/>
      <c r="CG34" s="407"/>
      <c r="CH34" s="407"/>
      <c r="CI34" s="407"/>
      <c r="CJ34" s="407"/>
      <c r="CK34" s="407"/>
      <c r="CL34" s="407"/>
      <c r="CM34" s="407"/>
      <c r="CN34" s="407"/>
      <c r="CO34" s="407"/>
      <c r="CP34" s="407"/>
      <c r="CQ34" s="407"/>
      <c r="CR34" s="407"/>
      <c r="CS34" s="407"/>
      <c r="CT34" s="407"/>
      <c r="CU34" s="407"/>
      <c r="CV34" s="407"/>
      <c r="CW34" s="407"/>
      <c r="CX34" s="407"/>
      <c r="CY34" s="407"/>
      <c r="CZ34" s="407"/>
      <c r="DA34" s="407"/>
      <c r="DT34" s="363"/>
      <c r="DU34" s="361"/>
      <c r="DV34" s="361"/>
      <c r="DW34" s="361"/>
      <c r="DX34" s="361"/>
      <c r="DY34" s="361"/>
      <c r="DZ34" s="361"/>
      <c r="EA34" s="361"/>
      <c r="EB34" s="361"/>
      <c r="EC34" s="361"/>
      <c r="ED34" s="361"/>
      <c r="EE34" s="361"/>
      <c r="EF34" s="362"/>
      <c r="EG34" s="359"/>
      <c r="EH34" s="359"/>
      <c r="EI34" s="415"/>
      <c r="EJ34" s="374"/>
      <c r="EK34" s="374"/>
      <c r="EL34" s="374"/>
      <c r="EM34" s="374"/>
      <c r="EN34" s="374"/>
      <c r="EO34" s="374"/>
      <c r="EP34" s="374"/>
      <c r="EQ34" s="374"/>
      <c r="ER34" s="374"/>
      <c r="ES34" s="374"/>
      <c r="ET34" s="374"/>
      <c r="EU34" s="374"/>
      <c r="EV34" s="359"/>
      <c r="EW34" s="359"/>
    </row>
    <row r="35" spans="1:200">
      <c r="A35" s="455" t="str">
        <f>'برآورد فروش'!A35</f>
        <v>تعدیل فروش</v>
      </c>
      <c r="B35" s="407">
        <f>B34*مفروضات!$B$22/(30*B3)</f>
        <v>0</v>
      </c>
      <c r="C35" s="407">
        <f>C34*مفروضات!$B$22/(30*C3)-B35</f>
        <v>0</v>
      </c>
      <c r="D35" s="407">
        <f>D34*مفروضات!$B$22/(30*D3)-C35-B35</f>
        <v>0</v>
      </c>
      <c r="E35" s="407">
        <f>E34*مفروضات!$B$22/(30*E3)-D35-C35-B35</f>
        <v>0</v>
      </c>
      <c r="F35" s="407">
        <f>F34*مفروضات!$B$22/(30*F3)-E35-D35-C35-B35</f>
        <v>0</v>
      </c>
      <c r="G35" s="407">
        <f>G34*مفروضات!$B$22/(30*G3)-F35-E35-D35-C35-B35</f>
        <v>0</v>
      </c>
      <c r="H35" s="407">
        <f>H34*مفروضات!$B$22/(30*H3)-G35-F35-E35-D35-C35-B35</f>
        <v>0</v>
      </c>
      <c r="I35" s="407">
        <f>I34*مفروضات!$B$22/(30*I3)-H35-G35-F35-E35-D35-C35-B35</f>
        <v>0</v>
      </c>
      <c r="J35" s="407">
        <f>J34*مفروضات!$B$22/(30*J3)-I35-H35-G35-F35-E35-D35-C35-B35</f>
        <v>0</v>
      </c>
      <c r="K35" s="407">
        <f>K34*مفروضات!$B$22/(30*K3)-J35-I35-H35-G35-F35-E35-D35-C35-B35</f>
        <v>0</v>
      </c>
      <c r="L35" s="407">
        <f>L34*مفروضات!$B$22/(30*L3)-K35-J35-I35-H35-G35-F35-E35-D35-C35-B35</f>
        <v>0</v>
      </c>
      <c r="M35" s="451"/>
      <c r="N35" s="407"/>
      <c r="O35" s="407"/>
      <c r="P35" s="407"/>
      <c r="Q35" s="407"/>
      <c r="R35" s="407"/>
      <c r="S35" s="407"/>
      <c r="T35" s="407"/>
      <c r="U35" s="407"/>
      <c r="V35" s="407"/>
      <c r="W35" s="407"/>
      <c r="X35" s="407"/>
      <c r="Y35" s="407"/>
      <c r="Z35" s="407"/>
      <c r="AA35" s="407"/>
      <c r="AB35" s="407"/>
      <c r="AC35" s="407"/>
      <c r="AD35" s="407"/>
      <c r="AE35" s="407"/>
      <c r="AF35" s="407"/>
      <c r="AG35" s="407"/>
      <c r="AH35" s="407"/>
      <c r="AI35" s="407"/>
      <c r="AJ35" s="407"/>
      <c r="AK35" s="407"/>
      <c r="AL35" s="407"/>
      <c r="AM35" s="407"/>
      <c r="AN35" s="407"/>
      <c r="AO35" s="407"/>
      <c r="AP35" s="407"/>
      <c r="AQ35" s="407"/>
      <c r="AR35" s="407"/>
      <c r="AS35" s="407"/>
      <c r="AT35" s="407"/>
      <c r="AU35" s="407"/>
      <c r="AV35" s="407"/>
      <c r="AW35" s="407"/>
      <c r="AX35" s="407"/>
      <c r="AY35" s="407"/>
      <c r="AZ35" s="407"/>
      <c r="BA35" s="407"/>
      <c r="BB35" s="407"/>
      <c r="BC35" s="407"/>
      <c r="BD35" s="407"/>
      <c r="BE35" s="407"/>
      <c r="BF35" s="407"/>
      <c r="BG35" s="407"/>
      <c r="BH35" s="407"/>
      <c r="BI35" s="407"/>
      <c r="BJ35" s="407"/>
      <c r="BK35" s="407"/>
      <c r="BL35" s="407"/>
      <c r="BM35" s="407"/>
      <c r="BN35" s="407"/>
      <c r="BO35" s="407"/>
      <c r="BP35" s="407"/>
      <c r="BQ35" s="407"/>
      <c r="BR35" s="407"/>
      <c r="BS35" s="407"/>
      <c r="BT35" s="407"/>
      <c r="BU35" s="407"/>
      <c r="BV35" s="407"/>
      <c r="BW35" s="407"/>
      <c r="BX35" s="407"/>
      <c r="BY35" s="407"/>
      <c r="BZ35" s="407"/>
      <c r="CA35" s="407"/>
      <c r="CB35" s="407"/>
      <c r="CC35" s="407"/>
      <c r="CD35" s="407"/>
      <c r="CE35" s="407"/>
      <c r="CF35" s="407"/>
      <c r="CG35" s="407"/>
      <c r="CH35" s="407"/>
      <c r="CI35" s="407"/>
      <c r="CJ35" s="407"/>
      <c r="CK35" s="407"/>
      <c r="CL35" s="407"/>
      <c r="CM35" s="407"/>
      <c r="CN35" s="407"/>
      <c r="CO35" s="407"/>
      <c r="CP35" s="407"/>
      <c r="CQ35" s="407"/>
      <c r="CR35" s="407"/>
      <c r="CS35" s="407"/>
      <c r="CT35" s="407"/>
      <c r="CU35" s="407"/>
      <c r="CV35" s="407"/>
      <c r="CW35" s="407"/>
      <c r="CX35" s="407"/>
      <c r="CY35" s="407"/>
      <c r="CZ35" s="407"/>
      <c r="DA35" s="407"/>
      <c r="DT35" s="367">
        <f>'پيش بيني عملكرد سود و زيان'!A48</f>
        <v>24</v>
      </c>
      <c r="DU35" s="368" t="str">
        <f>'پيش بيني عملكرد سود و زيان'!B48</f>
        <v xml:space="preserve">اندوخته قانوني </v>
      </c>
      <c r="DV35" s="368">
        <f>'پيش بيني عملكرد سود و زيان'!C48</f>
        <v>0</v>
      </c>
      <c r="DW35" s="368">
        <f>'پيش بيني عملكرد سود و زيان'!D48</f>
        <v>0</v>
      </c>
      <c r="DX35" s="368">
        <f>'پيش بيني عملكرد سود و زيان'!E48</f>
        <v>3779502.5069647729</v>
      </c>
      <c r="DY35" s="368">
        <f>'پيش بيني عملكرد سود و زيان'!F48</f>
        <v>16279502.506964773</v>
      </c>
      <c r="DZ35" s="368">
        <f>'پيش بيني عملكرد سود و زيان'!G48</f>
        <v>0</v>
      </c>
      <c r="EA35" s="368">
        <f>'پيش بيني عملكرد سود و زيان'!H48</f>
        <v>0</v>
      </c>
      <c r="EB35" s="368">
        <f>'پيش بيني عملكرد سود و زيان'!I48</f>
        <v>0</v>
      </c>
      <c r="EC35" s="368">
        <f>'پيش بيني عملكرد سود و زيان'!J48</f>
        <v>0</v>
      </c>
      <c r="ED35" s="368">
        <f>'پيش بيني عملكرد سود و زيان'!K48</f>
        <v>0</v>
      </c>
      <c r="EE35" s="368">
        <f>'پيش بيني عملكرد سود و زيان'!L48</f>
        <v>0</v>
      </c>
      <c r="EF35" s="369">
        <f>'پيش بيني عملكرد سود و زيان'!M48</f>
        <v>0</v>
      </c>
      <c r="EG35" s="359"/>
      <c r="EH35" s="359"/>
      <c r="EI35" s="415"/>
      <c r="EJ35" s="374"/>
      <c r="EK35" s="374"/>
      <c r="EL35" s="374"/>
      <c r="EM35" s="374"/>
      <c r="EN35" s="374"/>
      <c r="EO35" s="374"/>
      <c r="EP35" s="374"/>
      <c r="EQ35" s="374"/>
      <c r="ER35" s="374"/>
      <c r="ES35" s="374"/>
      <c r="ET35" s="374"/>
      <c r="EU35" s="374"/>
      <c r="EV35" s="359"/>
      <c r="EW35" s="359"/>
    </row>
    <row r="36" spans="1:200" ht="15.6">
      <c r="A36" s="455" t="str">
        <f>'برآورد فروش'!A38</f>
        <v>فروش كل</v>
      </c>
      <c r="B36" s="565">
        <f>B34-B35</f>
        <v>0</v>
      </c>
      <c r="C36" s="565">
        <f t="shared" ref="C36:L36" si="126">C34-C35</f>
        <v>0</v>
      </c>
      <c r="D36" s="565">
        <f t="shared" si="126"/>
        <v>0</v>
      </c>
      <c r="E36" s="565">
        <f t="shared" si="126"/>
        <v>0</v>
      </c>
      <c r="F36" s="565">
        <f t="shared" si="126"/>
        <v>0</v>
      </c>
      <c r="G36" s="565">
        <f t="shared" si="126"/>
        <v>0</v>
      </c>
      <c r="H36" s="565">
        <f t="shared" si="126"/>
        <v>0</v>
      </c>
      <c r="I36" s="565">
        <f t="shared" si="126"/>
        <v>0</v>
      </c>
      <c r="J36" s="565">
        <f t="shared" si="126"/>
        <v>0</v>
      </c>
      <c r="K36" s="565">
        <f t="shared" si="126"/>
        <v>0</v>
      </c>
      <c r="L36" s="565">
        <f t="shared" si="126"/>
        <v>0</v>
      </c>
      <c r="M36" s="451"/>
      <c r="N36" s="407"/>
      <c r="O36" s="407"/>
      <c r="P36" s="407"/>
      <c r="Q36" s="407"/>
      <c r="R36" s="407"/>
      <c r="S36" s="407"/>
      <c r="T36" s="407"/>
      <c r="U36" s="407"/>
      <c r="V36" s="407"/>
      <c r="W36" s="407"/>
      <c r="X36" s="407"/>
      <c r="Y36" s="407"/>
      <c r="Z36" s="407"/>
      <c r="AA36" s="407"/>
      <c r="AB36" s="407"/>
      <c r="AC36" s="407"/>
      <c r="AD36" s="407"/>
      <c r="AE36" s="407"/>
      <c r="AF36" s="407"/>
      <c r="AG36" s="407"/>
      <c r="AH36" s="407"/>
      <c r="AI36" s="407"/>
      <c r="AJ36" s="407"/>
      <c r="AK36" s="407"/>
      <c r="AL36" s="407"/>
      <c r="AM36" s="407"/>
      <c r="AN36" s="407"/>
      <c r="AO36" s="407"/>
      <c r="AP36" s="407"/>
      <c r="AQ36" s="407"/>
      <c r="AR36" s="407"/>
      <c r="AS36" s="407"/>
      <c r="AT36" s="407"/>
      <c r="AU36" s="407"/>
      <c r="AV36" s="407"/>
      <c r="AW36" s="407"/>
      <c r="AX36" s="407"/>
      <c r="AY36" s="407"/>
      <c r="AZ36" s="407"/>
      <c r="BA36" s="407"/>
      <c r="BB36" s="407"/>
      <c r="BC36" s="407"/>
      <c r="BD36" s="407"/>
      <c r="BE36" s="407"/>
      <c r="BF36" s="407"/>
      <c r="BG36" s="407"/>
      <c r="BH36" s="407"/>
      <c r="BI36" s="407"/>
      <c r="BJ36" s="407"/>
      <c r="BK36" s="407"/>
      <c r="BL36" s="407"/>
      <c r="BM36" s="407"/>
      <c r="BN36" s="407"/>
      <c r="BO36" s="407"/>
      <c r="BP36" s="407"/>
      <c r="BQ36" s="407"/>
      <c r="BR36" s="407"/>
      <c r="BS36" s="407"/>
      <c r="BT36" s="407"/>
      <c r="BU36" s="407"/>
      <c r="BV36" s="407"/>
      <c r="BW36" s="407"/>
      <c r="BX36" s="407"/>
      <c r="BY36" s="407"/>
      <c r="BZ36" s="407"/>
      <c r="CA36" s="407"/>
      <c r="CB36" s="407"/>
      <c r="CC36" s="407"/>
      <c r="CD36" s="407"/>
      <c r="CE36" s="407"/>
      <c r="CF36" s="407"/>
      <c r="CG36" s="407"/>
      <c r="CH36" s="407"/>
      <c r="CI36" s="407"/>
      <c r="CJ36" s="407"/>
      <c r="CK36" s="407"/>
      <c r="CL36" s="407"/>
      <c r="CM36" s="407"/>
      <c r="CN36" s="407"/>
      <c r="CO36" s="407"/>
      <c r="CP36" s="407"/>
      <c r="CQ36" s="407"/>
      <c r="CR36" s="407"/>
      <c r="CS36" s="407"/>
      <c r="CT36" s="407"/>
      <c r="CU36" s="407"/>
      <c r="CV36" s="407"/>
      <c r="CW36" s="407"/>
      <c r="CX36" s="407"/>
      <c r="CY36" s="407"/>
      <c r="CZ36" s="407"/>
      <c r="DA36" s="407"/>
      <c r="DT36" s="363">
        <f>'پيش بيني عملكرد سود و زيان'!A49</f>
        <v>25</v>
      </c>
      <c r="DU36" s="361" t="str">
        <f>'پيش بيني عملكرد سود و زيان'!B49</f>
        <v>سود سهام</v>
      </c>
      <c r="DV36" s="361">
        <f>'پيش بيني عملكرد سود و زيان'!C49</f>
        <v>0</v>
      </c>
      <c r="DW36" s="361">
        <f>'پيش بيني عملكرد سود و زيان'!D49</f>
        <v>0</v>
      </c>
      <c r="DX36" s="361">
        <f>'پيش بيني عملكرد سود و زيان'!E49</f>
        <v>0</v>
      </c>
      <c r="DY36" s="361">
        <f>'پيش بيني عملكرد سود و زيان'!F49</f>
        <v>0</v>
      </c>
      <c r="DZ36" s="361">
        <f>'پيش بيني عملكرد سود و زيان'!G49</f>
        <v>0</v>
      </c>
      <c r="EA36" s="361">
        <f>'پيش بيني عملكرد سود و زيان'!H49</f>
        <v>0</v>
      </c>
      <c r="EB36" s="361">
        <f>'پيش بيني عملكرد سود و زيان'!I49</f>
        <v>0</v>
      </c>
      <c r="EC36" s="361">
        <f>'پيش بيني عملكرد سود و زيان'!J49</f>
        <v>0</v>
      </c>
      <c r="ED36" s="361">
        <f>'پيش بيني عملكرد سود و زيان'!K49</f>
        <v>0</v>
      </c>
      <c r="EE36" s="361">
        <f>'پيش بيني عملكرد سود و زيان'!L49</f>
        <v>0</v>
      </c>
      <c r="EF36" s="362">
        <f>'پيش بيني عملكرد سود و زيان'!M49</f>
        <v>0</v>
      </c>
      <c r="EG36" s="359"/>
      <c r="EH36" s="359"/>
      <c r="EI36" s="415"/>
      <c r="EJ36" s="374"/>
      <c r="EK36" s="374"/>
      <c r="EL36" s="374"/>
      <c r="EM36" s="374"/>
      <c r="EN36" s="374"/>
      <c r="EO36" s="374"/>
      <c r="EP36" s="374"/>
      <c r="EQ36" s="374"/>
      <c r="ER36" s="374"/>
      <c r="ES36" s="374"/>
      <c r="ET36" s="374"/>
      <c r="EU36" s="374"/>
      <c r="EV36" s="359"/>
      <c r="EW36" s="359"/>
    </row>
    <row r="37" spans="1:200" ht="15.6" thickBot="1">
      <c r="A37" s="456">
        <f>'برآورد فروش'!A39</f>
        <v>12</v>
      </c>
      <c r="B37" s="452"/>
      <c r="C37" s="452"/>
      <c r="D37" s="452"/>
      <c r="E37" s="452"/>
      <c r="F37" s="452"/>
      <c r="G37" s="452"/>
      <c r="H37" s="452"/>
      <c r="I37" s="452"/>
      <c r="J37" s="452"/>
      <c r="K37" s="452"/>
      <c r="L37" s="452"/>
      <c r="M37" s="453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7"/>
      <c r="AZ37" s="407"/>
      <c r="BA37" s="407"/>
      <c r="BB37" s="407"/>
      <c r="BC37" s="407"/>
      <c r="BD37" s="407"/>
      <c r="BE37" s="407"/>
      <c r="BF37" s="407"/>
      <c r="BG37" s="407"/>
      <c r="BH37" s="407"/>
      <c r="BI37" s="407"/>
      <c r="BJ37" s="407"/>
      <c r="BK37" s="407"/>
      <c r="BL37" s="407"/>
      <c r="BM37" s="407"/>
      <c r="BN37" s="407"/>
      <c r="BO37" s="407"/>
      <c r="BP37" s="407"/>
      <c r="BQ37" s="407"/>
      <c r="BR37" s="407"/>
      <c r="BS37" s="407"/>
      <c r="BT37" s="407"/>
      <c r="BU37" s="407"/>
      <c r="BV37" s="407"/>
      <c r="BW37" s="407"/>
      <c r="BX37" s="407"/>
      <c r="BY37" s="407"/>
      <c r="BZ37" s="407"/>
      <c r="CA37" s="407"/>
      <c r="CB37" s="407"/>
      <c r="CC37" s="407"/>
      <c r="CD37" s="407"/>
      <c r="CE37" s="407"/>
      <c r="CF37" s="407"/>
      <c r="CG37" s="407"/>
      <c r="CH37" s="407"/>
      <c r="CI37" s="407"/>
      <c r="CJ37" s="407"/>
      <c r="CK37" s="407"/>
      <c r="CL37" s="407"/>
      <c r="CM37" s="407"/>
      <c r="CN37" s="407"/>
      <c r="CO37" s="407"/>
      <c r="CP37" s="407"/>
      <c r="CQ37" s="407"/>
      <c r="CR37" s="407"/>
      <c r="CS37" s="407"/>
      <c r="CT37" s="407"/>
      <c r="CU37" s="407"/>
      <c r="CV37" s="407"/>
      <c r="CW37" s="407"/>
      <c r="CX37" s="407"/>
      <c r="CY37" s="407"/>
      <c r="CZ37" s="407"/>
      <c r="DA37" s="407"/>
      <c r="DT37" s="367">
        <f>'پيش بيني عملكرد سود و زيان'!A50</f>
        <v>26</v>
      </c>
      <c r="DU37" s="368" t="str">
        <f>'پيش بيني عملكرد سود و زيان'!B50</f>
        <v>سود (زيان) سنواتي</v>
      </c>
      <c r="DV37" s="368">
        <f>'پيش بيني عملكرد سود و زيان'!C50</f>
        <v>-224409949.86070454</v>
      </c>
      <c r="DW37" s="368">
        <f>'پيش بيني عملكرد سود و زيان'!D50</f>
        <v>-74409949.860704541</v>
      </c>
      <c r="DX37" s="368">
        <f>'پيش بيني عملكرد سود و زيان'!E50</f>
        <v>71810547.632330686</v>
      </c>
      <c r="DY37" s="368">
        <f>'پيش بيني عملكرد سود و زيان'!F50</f>
        <v>309310547.63233066</v>
      </c>
      <c r="DZ37" s="368">
        <f>'پيش بيني عملكرد سود و زيان'!G50</f>
        <v>-524409937.86070454</v>
      </c>
      <c r="EA37" s="368">
        <f>'پيش بيني عملكرد سود و زيان'!H50</f>
        <v>-63519430.620000005</v>
      </c>
      <c r="EB37" s="368">
        <f>'پيش بيني عملكرد سود و زيان'!I50</f>
        <v>-63519430.620000005</v>
      </c>
      <c r="EC37" s="368">
        <f>'پيش بيني عملكرد سود و زيان'!J50</f>
        <v>-63519430.620000005</v>
      </c>
      <c r="ED37" s="368">
        <f>'پيش بيني عملكرد سود و زيان'!K50</f>
        <v>-63519430.620000005</v>
      </c>
      <c r="EE37" s="368">
        <f>'پيش بيني عملكرد سود و زيان'!L50</f>
        <v>-63519430.620000005</v>
      </c>
      <c r="EF37" s="369">
        <f>'پيش بيني عملكرد سود و زيان'!M50</f>
        <v>-62469580.620000005</v>
      </c>
      <c r="EG37" s="359"/>
      <c r="EH37" s="359"/>
      <c r="EI37" s="415"/>
      <c r="EJ37" s="374"/>
      <c r="EK37" s="374"/>
      <c r="EL37" s="374"/>
      <c r="EM37" s="374"/>
      <c r="EN37" s="374"/>
      <c r="EO37" s="374"/>
      <c r="EP37" s="374"/>
      <c r="EQ37" s="374"/>
      <c r="ER37" s="374"/>
      <c r="ES37" s="374"/>
      <c r="ET37" s="374"/>
      <c r="EU37" s="374"/>
      <c r="EV37" s="359"/>
      <c r="EW37" s="359"/>
    </row>
    <row r="38" spans="1:200">
      <c r="A38" s="360">
        <f>'برآورد فروش'!A40</f>
        <v>0</v>
      </c>
      <c r="DT38" s="363">
        <f>'پيش بيني عملكرد سود و زيان'!A51</f>
        <v>27</v>
      </c>
      <c r="DU38" s="361" t="str">
        <f>'پيش بيني عملكرد سود و زيان'!B51</f>
        <v>سود (زيان) انباشته</v>
      </c>
      <c r="DV38" s="361">
        <f>'پيش بيني عملكرد سود و زيان'!C51</f>
        <v>0</v>
      </c>
      <c r="DW38" s="361">
        <f>'پيش بيني عملكرد سود و زيان'!D51</f>
        <v>-224409949.86070454</v>
      </c>
      <c r="DX38" s="361">
        <f>'پيش بيني عملكرد سود و زيان'!E51</f>
        <v>-298819899.72140908</v>
      </c>
      <c r="DY38" s="361">
        <f>'پيش بيني عملكرد سود و زيان'!F51</f>
        <v>-227009352.0890784</v>
      </c>
      <c r="DZ38" s="361">
        <f>'پيش بيني عملكرد سود و زيان'!G51</f>
        <v>82301195.543252259</v>
      </c>
      <c r="EA38" s="361">
        <f>'پيش بيني عملكرد سود و زيان'!H51</f>
        <v>-442108742.31745231</v>
      </c>
      <c r="EB38" s="361">
        <f>'پيش بيني عملكرد سود و زيان'!I51</f>
        <v>-505628172.93745232</v>
      </c>
      <c r="EC38" s="361">
        <f>'پيش بيني عملكرد سود و زيان'!J51</f>
        <v>-569147603.55745232</v>
      </c>
      <c r="ED38" s="361">
        <f>'پيش بيني عملكرد سود و زيان'!K51</f>
        <v>-632667034.17745233</v>
      </c>
      <c r="EE38" s="361">
        <f>'پيش بيني عملكرد سود و زيان'!L51</f>
        <v>-696186464.79745233</v>
      </c>
      <c r="EF38" s="362">
        <f>'پيش بيني عملكرد سود و زيان'!M51</f>
        <v>-759705895.41745234</v>
      </c>
    </row>
    <row r="39" spans="1:200" ht="15.6" thickBot="1">
      <c r="DT39" s="370">
        <f>'پيش بيني عملكرد سود و زيان'!A52</f>
        <v>28</v>
      </c>
      <c r="DU39" s="371" t="str">
        <f>'پيش بيني عملكرد سود و زيان'!B52</f>
        <v>سود (زيان) نقل به ترازنامه</v>
      </c>
      <c r="DV39" s="371">
        <f>'پيش بيني عملكرد سود و زيان'!C52</f>
        <v>-224409949.86070454</v>
      </c>
      <c r="DW39" s="371">
        <f>'پيش بيني عملكرد سود و زيان'!D52</f>
        <v>-298819899.72140908</v>
      </c>
      <c r="DX39" s="371">
        <f>'پيش بيني عملكرد سود و زيان'!E52</f>
        <v>-227009352.0890784</v>
      </c>
      <c r="DY39" s="371">
        <f>'پيش بيني عملكرد سود و زيان'!F52</f>
        <v>82301195.543252259</v>
      </c>
      <c r="DZ39" s="371">
        <f>'پيش بيني عملكرد سود و زيان'!G52</f>
        <v>-442108742.31745231</v>
      </c>
      <c r="EA39" s="371">
        <f>'پيش بيني عملكرد سود و زيان'!H52</f>
        <v>-505628172.93745232</v>
      </c>
      <c r="EB39" s="371">
        <f>'پيش بيني عملكرد سود و زيان'!I52</f>
        <v>-569147603.55745232</v>
      </c>
      <c r="EC39" s="371">
        <f>'پيش بيني عملكرد سود و زيان'!J52</f>
        <v>-632667034.17745233</v>
      </c>
      <c r="ED39" s="371">
        <f>'پيش بيني عملكرد سود و زيان'!K52</f>
        <v>-696186464.79745233</v>
      </c>
      <c r="EE39" s="371">
        <f>'پيش بيني عملكرد سود و زيان'!L52</f>
        <v>-759705895.41745234</v>
      </c>
      <c r="EF39" s="372">
        <f>'پيش بيني عملكرد سود و زيان'!M52</f>
        <v>-822175476.03745234</v>
      </c>
    </row>
    <row r="41" spans="1:200" ht="21.6" thickBot="1">
      <c r="A41" s="1144" t="s">
        <v>297</v>
      </c>
      <c r="B41" s="1144"/>
      <c r="C41" s="1144"/>
      <c r="D41" s="1144"/>
      <c r="E41" s="1144"/>
      <c r="F41" s="1144"/>
      <c r="G41" s="1144"/>
      <c r="H41" s="1144"/>
      <c r="I41" s="1144"/>
      <c r="J41" s="1144"/>
      <c r="K41" s="1144"/>
      <c r="L41" s="1144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461"/>
      <c r="X41" s="461"/>
      <c r="Y41" s="461"/>
      <c r="Z41" s="461"/>
      <c r="AA41" s="461"/>
      <c r="AB41" s="461"/>
      <c r="AC41" s="461"/>
      <c r="AD41" s="461"/>
      <c r="AE41" s="461"/>
      <c r="AF41" s="461"/>
      <c r="AG41" s="461"/>
      <c r="AH41" s="461"/>
      <c r="AI41" s="461"/>
      <c r="AJ41" s="461"/>
      <c r="AK41" s="461"/>
      <c r="AL41" s="461"/>
      <c r="AM41" s="461"/>
      <c r="AN41" s="461"/>
      <c r="AO41" s="461"/>
      <c r="AP41" s="461"/>
      <c r="AQ41" s="461"/>
      <c r="AR41" s="461"/>
      <c r="AS41" s="461"/>
      <c r="AT41" s="461"/>
      <c r="AU41" s="461"/>
      <c r="AV41" s="461"/>
      <c r="AW41" s="461"/>
      <c r="AX41" s="461"/>
      <c r="AY41" s="461"/>
      <c r="AZ41" s="461"/>
      <c r="BA41" s="461"/>
      <c r="BB41" s="461"/>
      <c r="BC41" s="461"/>
      <c r="BD41" s="461"/>
      <c r="BE41" s="461"/>
      <c r="BF41" s="461"/>
      <c r="BG41" s="461"/>
      <c r="BH41" s="461"/>
      <c r="BI41" s="461"/>
      <c r="BJ41" s="461"/>
      <c r="BK41" s="461"/>
      <c r="BL41" s="461"/>
      <c r="BM41" s="461"/>
      <c r="BN41" s="461"/>
      <c r="BO41" s="461"/>
      <c r="BP41" s="461"/>
      <c r="BQ41" s="461"/>
      <c r="BR41" s="461"/>
      <c r="BS41" s="461"/>
      <c r="BT41" s="461"/>
      <c r="BU41" s="461"/>
      <c r="BV41" s="461"/>
      <c r="BW41" s="461"/>
      <c r="BX41" s="461"/>
      <c r="BY41" s="461"/>
      <c r="BZ41" s="461"/>
      <c r="CA41" s="461"/>
      <c r="CB41" s="461"/>
      <c r="CC41" s="461"/>
      <c r="CD41" s="461"/>
      <c r="CE41" s="461"/>
      <c r="CF41" s="461"/>
      <c r="CG41" s="461"/>
      <c r="CH41" s="461"/>
      <c r="CI41" s="461"/>
      <c r="CJ41" s="461"/>
      <c r="CK41" s="461"/>
      <c r="CL41" s="461"/>
      <c r="CM41" s="461"/>
      <c r="CN41" s="461"/>
      <c r="CO41" s="461"/>
      <c r="CP41" s="461"/>
      <c r="CQ41" s="461"/>
      <c r="CR41" s="461"/>
      <c r="CS41" s="461"/>
      <c r="CT41" s="461"/>
      <c r="CU41" s="461"/>
      <c r="CV41" s="461"/>
      <c r="CW41" s="461"/>
      <c r="CX41" s="461"/>
      <c r="CY41" s="461"/>
      <c r="CZ41" s="461"/>
      <c r="DA41" s="461"/>
      <c r="DT41" s="359"/>
      <c r="DU41" s="359"/>
      <c r="DV41" s="438"/>
      <c r="DW41" s="438"/>
      <c r="DX41" s="438"/>
      <c r="DY41" s="438"/>
      <c r="DZ41" s="438"/>
      <c r="EA41" s="438"/>
      <c r="EB41" s="438"/>
      <c r="EC41" s="438"/>
      <c r="ED41" s="438"/>
      <c r="EE41" s="438"/>
      <c r="EF41" s="438"/>
      <c r="EG41" s="359"/>
      <c r="EH41" s="359"/>
      <c r="EI41" s="346"/>
      <c r="EJ41" s="342"/>
      <c r="EK41" s="342"/>
      <c r="EL41" s="342"/>
      <c r="EM41" s="342"/>
      <c r="EN41" s="342"/>
      <c r="EO41" s="342"/>
      <c r="EP41" s="342"/>
      <c r="EQ41" s="342"/>
      <c r="ER41" s="342"/>
      <c r="ES41" s="342"/>
      <c r="ET41" s="342"/>
      <c r="EU41" s="342"/>
      <c r="EV41" s="346"/>
      <c r="EW41" s="346"/>
      <c r="EX41" s="346"/>
      <c r="EY41" s="346"/>
      <c r="EZ41" s="342"/>
      <c r="FA41" s="342"/>
      <c r="FB41" s="342"/>
      <c r="FC41" s="342"/>
      <c r="FD41" s="342"/>
      <c r="FE41" s="342"/>
      <c r="FF41" s="342"/>
      <c r="FG41" s="342"/>
      <c r="FH41" s="342"/>
      <c r="FI41" s="342"/>
      <c r="FJ41" s="342"/>
      <c r="FK41" s="342"/>
      <c r="FL41" s="342"/>
      <c r="FQ41" s="407"/>
      <c r="FR41" s="407"/>
      <c r="FS41" s="407"/>
      <c r="FT41" s="407"/>
      <c r="FU41" s="407"/>
      <c r="FV41" s="407"/>
      <c r="FW41" s="407"/>
      <c r="FX41" s="407"/>
      <c r="FY41" s="407"/>
      <c r="FZ41" s="407"/>
      <c r="GA41" s="407"/>
      <c r="GB41" s="407"/>
      <c r="GC41" s="360"/>
      <c r="GD41" s="360"/>
      <c r="GE41" s="360"/>
      <c r="GG41" s="373"/>
      <c r="GH41" s="373"/>
      <c r="GI41" s="373"/>
      <c r="GJ41" s="373"/>
      <c r="GK41" s="373"/>
      <c r="GL41" s="373"/>
      <c r="GM41" s="373"/>
      <c r="GN41" s="373"/>
      <c r="GO41" s="373"/>
      <c r="GP41" s="373"/>
      <c r="GQ41" s="373"/>
      <c r="GR41" s="373"/>
    </row>
    <row r="42" spans="1:200" ht="21">
      <c r="A42" s="181" t="s">
        <v>139</v>
      </c>
      <c r="B42" s="183" t="str">
        <f>B21</f>
        <v>سال بهره برداری</v>
      </c>
      <c r="C42" s="183" t="str">
        <f t="shared" ref="C42:L42" si="127">C21</f>
        <v xml:space="preserve">سال اول </v>
      </c>
      <c r="D42" s="183" t="str">
        <f t="shared" si="127"/>
        <v>سال دوم</v>
      </c>
      <c r="E42" s="183" t="str">
        <f t="shared" si="127"/>
        <v>سال سوم</v>
      </c>
      <c r="F42" s="183" t="str">
        <f t="shared" si="127"/>
        <v>سال چهارم</v>
      </c>
      <c r="G42" s="183" t="str">
        <f t="shared" si="127"/>
        <v>سال پنجم</v>
      </c>
      <c r="H42" s="183" t="str">
        <f t="shared" si="127"/>
        <v>سال ششم</v>
      </c>
      <c r="I42" s="183" t="str">
        <f t="shared" si="127"/>
        <v>سال هفتم</v>
      </c>
      <c r="J42" s="183" t="str">
        <f t="shared" si="127"/>
        <v>سال هشتم</v>
      </c>
      <c r="K42" s="183" t="str">
        <f t="shared" si="127"/>
        <v>سال نهم</v>
      </c>
      <c r="L42" s="184" t="str">
        <f t="shared" si="127"/>
        <v>سال دهم</v>
      </c>
      <c r="DT42" s="359"/>
      <c r="DU42" s="359"/>
      <c r="DV42" s="438"/>
      <c r="DW42" s="438"/>
      <c r="DX42" s="438"/>
      <c r="DY42" s="438"/>
      <c r="DZ42" s="438"/>
      <c r="EA42" s="438"/>
      <c r="EB42" s="438"/>
      <c r="EC42" s="438"/>
      <c r="ED42" s="438"/>
      <c r="EE42" s="438"/>
      <c r="EF42" s="438"/>
      <c r="EG42" s="359"/>
      <c r="EH42" s="359"/>
      <c r="EI42" s="346"/>
      <c r="EJ42" s="342"/>
      <c r="EK42" s="342"/>
      <c r="EL42" s="342"/>
      <c r="EM42" s="342"/>
      <c r="EN42" s="342"/>
      <c r="EO42" s="342"/>
      <c r="EP42" s="342"/>
      <c r="EQ42" s="342"/>
      <c r="ER42" s="342"/>
      <c r="ES42" s="342"/>
      <c r="ET42" s="342"/>
      <c r="EU42" s="342"/>
      <c r="EV42" s="346"/>
      <c r="EW42" s="346"/>
      <c r="EX42" s="346"/>
      <c r="EY42" s="346"/>
      <c r="EZ42" s="342"/>
      <c r="FA42" s="342"/>
      <c r="FB42" s="342"/>
      <c r="FC42" s="342"/>
      <c r="FD42" s="342"/>
      <c r="FE42" s="342"/>
      <c r="FF42" s="342"/>
      <c r="FG42" s="342"/>
      <c r="FH42" s="342"/>
      <c r="FI42" s="342"/>
      <c r="FJ42" s="342"/>
      <c r="FK42" s="342"/>
      <c r="FL42" s="342"/>
      <c r="FQ42" s="407"/>
      <c r="FR42" s="407"/>
      <c r="FS42" s="407"/>
      <c r="FT42" s="407"/>
      <c r="FU42" s="407"/>
      <c r="FV42" s="407"/>
      <c r="FW42" s="407"/>
      <c r="FX42" s="407"/>
      <c r="FY42" s="407"/>
      <c r="FZ42" s="407"/>
      <c r="GA42" s="407"/>
      <c r="GB42" s="407"/>
      <c r="GG42" s="373"/>
      <c r="GH42" s="373"/>
      <c r="GI42" s="373"/>
      <c r="GJ42" s="373"/>
      <c r="GK42" s="373"/>
      <c r="GL42" s="373"/>
      <c r="GM42" s="373"/>
      <c r="GN42" s="373"/>
      <c r="GO42" s="373"/>
      <c r="GP42" s="373"/>
      <c r="GQ42" s="373"/>
      <c r="GR42" s="373"/>
    </row>
    <row r="43" spans="1:200" ht="21">
      <c r="A43" s="185" t="s">
        <v>293</v>
      </c>
      <c r="B43" s="187">
        <f t="shared" ref="B43:L43" si="128">CC18/(B34-CP18)</f>
        <v>-5.0815617589994551</v>
      </c>
      <c r="C43" s="187">
        <f t="shared" si="128"/>
        <v>-5.0815617589994551</v>
      </c>
      <c r="D43" s="187">
        <f t="shared" si="128"/>
        <v>-5.0815617589994551</v>
      </c>
      <c r="E43" s="187">
        <f t="shared" si="128"/>
        <v>-5.0815617589994551</v>
      </c>
      <c r="F43" s="187">
        <f t="shared" si="128"/>
        <v>-4.9531738857843139</v>
      </c>
      <c r="G43" s="187">
        <f t="shared" si="128"/>
        <v>-4.7991084379261446</v>
      </c>
      <c r="H43" s="187">
        <f t="shared" si="128"/>
        <v>-4.7991084379261446</v>
      </c>
      <c r="I43" s="187">
        <f t="shared" si="128"/>
        <v>-4.7991084379261446</v>
      </c>
      <c r="J43" s="187">
        <f t="shared" si="128"/>
        <v>-4.7991084379261446</v>
      </c>
      <c r="K43" s="187">
        <f t="shared" si="128"/>
        <v>-4.7991084379261446</v>
      </c>
      <c r="L43" s="188">
        <f t="shared" si="128"/>
        <v>-4.0922781725025574</v>
      </c>
      <c r="DT43" s="1145"/>
      <c r="DU43" s="1145"/>
      <c r="DV43" s="438"/>
      <c r="DW43" s="438"/>
      <c r="DX43" s="438"/>
      <c r="DY43" s="438"/>
      <c r="DZ43" s="438"/>
      <c r="EA43" s="438"/>
      <c r="EB43" s="438"/>
      <c r="EC43" s="438"/>
      <c r="ED43" s="438"/>
      <c r="EE43" s="438"/>
      <c r="EF43" s="438"/>
      <c r="EG43" s="359"/>
      <c r="EH43" s="359"/>
      <c r="EI43" s="346"/>
      <c r="EJ43" s="342"/>
      <c r="EK43" s="342"/>
      <c r="EL43" s="342"/>
      <c r="EM43" s="342"/>
      <c r="EN43" s="342"/>
      <c r="EO43" s="342"/>
      <c r="EP43" s="342"/>
      <c r="EQ43" s="342"/>
      <c r="ER43" s="342"/>
      <c r="ES43" s="342"/>
      <c r="ET43" s="342"/>
      <c r="EU43" s="342"/>
      <c r="EV43" s="346"/>
      <c r="EW43" s="346"/>
      <c r="EX43" s="346"/>
      <c r="EY43" s="346"/>
      <c r="EZ43" s="342"/>
      <c r="FA43" s="342"/>
      <c r="FB43" s="342"/>
      <c r="FC43" s="342"/>
      <c r="FD43" s="342"/>
      <c r="FE43" s="342"/>
      <c r="FF43" s="342"/>
      <c r="FG43" s="342"/>
      <c r="FH43" s="342"/>
      <c r="FI43" s="342"/>
      <c r="FJ43" s="342"/>
      <c r="FK43" s="342"/>
      <c r="FL43" s="342"/>
      <c r="FQ43" s="407"/>
      <c r="FR43" s="407"/>
      <c r="FS43" s="407"/>
      <c r="FT43" s="407"/>
      <c r="FU43" s="407"/>
      <c r="FV43" s="407"/>
      <c r="FW43" s="407"/>
      <c r="FX43" s="407"/>
      <c r="FY43" s="407"/>
      <c r="FZ43" s="407"/>
      <c r="GA43" s="407"/>
      <c r="GB43" s="407"/>
      <c r="GG43" s="373"/>
      <c r="GH43" s="373"/>
      <c r="GI43" s="373"/>
      <c r="GJ43" s="373"/>
      <c r="GK43" s="373"/>
      <c r="GL43" s="373"/>
      <c r="GM43" s="373"/>
      <c r="GN43" s="373"/>
      <c r="GO43" s="373"/>
      <c r="GP43" s="373"/>
      <c r="GQ43" s="373"/>
      <c r="GR43" s="373"/>
    </row>
    <row r="44" spans="1:200" ht="21">
      <c r="A44" s="185" t="s">
        <v>312</v>
      </c>
      <c r="B44" s="133">
        <f>B43*B34</f>
        <v>0</v>
      </c>
      <c r="C44" s="133">
        <f t="shared" ref="C44:L44" si="129">C43*C34</f>
        <v>0</v>
      </c>
      <c r="D44" s="133">
        <f t="shared" si="129"/>
        <v>0</v>
      </c>
      <c r="E44" s="133">
        <f t="shared" si="129"/>
        <v>0</v>
      </c>
      <c r="F44" s="133">
        <f t="shared" si="129"/>
        <v>0</v>
      </c>
      <c r="G44" s="133">
        <f t="shared" si="129"/>
        <v>0</v>
      </c>
      <c r="H44" s="133">
        <f t="shared" si="129"/>
        <v>0</v>
      </c>
      <c r="I44" s="133">
        <f t="shared" si="129"/>
        <v>0</v>
      </c>
      <c r="J44" s="133">
        <f t="shared" si="129"/>
        <v>0</v>
      </c>
      <c r="K44" s="133">
        <f t="shared" si="129"/>
        <v>0</v>
      </c>
      <c r="L44" s="134">
        <f t="shared" si="129"/>
        <v>0</v>
      </c>
      <c r="DT44" s="359"/>
      <c r="DU44" s="359"/>
      <c r="DV44" s="438"/>
      <c r="DW44" s="438"/>
      <c r="DX44" s="438"/>
      <c r="DY44" s="438"/>
      <c r="DZ44" s="438"/>
      <c r="EA44" s="438"/>
      <c r="EB44" s="438"/>
      <c r="EC44" s="438"/>
      <c r="ED44" s="438"/>
      <c r="EE44" s="438"/>
      <c r="EF44" s="438"/>
      <c r="EG44" s="359"/>
      <c r="EH44" s="359"/>
      <c r="EI44" s="346"/>
      <c r="EJ44" s="342"/>
      <c r="EK44" s="342"/>
      <c r="EL44" s="342"/>
      <c r="EM44" s="342"/>
      <c r="EN44" s="342"/>
      <c r="EO44" s="342"/>
      <c r="EP44" s="342"/>
      <c r="EQ44" s="342"/>
      <c r="ER44" s="342"/>
      <c r="ES44" s="342"/>
      <c r="ET44" s="342"/>
      <c r="EU44" s="342"/>
      <c r="EV44" s="346"/>
      <c r="EW44" s="346"/>
      <c r="EX44" s="346"/>
      <c r="EY44" s="346"/>
      <c r="EZ44" s="342"/>
      <c r="FA44" s="342"/>
      <c r="FB44" s="342"/>
      <c r="FC44" s="342"/>
      <c r="FD44" s="342"/>
      <c r="FE44" s="342"/>
      <c r="FF44" s="342"/>
      <c r="FG44" s="342"/>
      <c r="FH44" s="342"/>
      <c r="FI44" s="342"/>
      <c r="FJ44" s="342"/>
      <c r="FK44" s="342"/>
      <c r="FL44" s="342"/>
      <c r="FQ44" s="407"/>
      <c r="FR44" s="407"/>
      <c r="FS44" s="407"/>
      <c r="FT44" s="407"/>
      <c r="FU44" s="407"/>
      <c r="FV44" s="407"/>
      <c r="FW44" s="407"/>
      <c r="FX44" s="407"/>
      <c r="FY44" s="407"/>
      <c r="FZ44" s="407"/>
      <c r="GA44" s="407"/>
      <c r="GB44" s="407"/>
      <c r="GG44" s="373"/>
      <c r="GH44" s="373"/>
      <c r="GI44" s="373"/>
      <c r="GJ44" s="373"/>
      <c r="GK44" s="373"/>
      <c r="GL44" s="373"/>
      <c r="GM44" s="373"/>
      <c r="GN44" s="373"/>
      <c r="GO44" s="373"/>
      <c r="GP44" s="373"/>
      <c r="GQ44" s="373"/>
      <c r="GR44" s="373"/>
    </row>
    <row r="45" spans="1:200" ht="21.6" thickBot="1">
      <c r="A45" s="185" t="s">
        <v>313</v>
      </c>
      <c r="B45" s="133">
        <f>B43*B6</f>
        <v>0</v>
      </c>
      <c r="C45" s="189">
        <f t="shared" ref="C45:L45" si="130">C43*C6</f>
        <v>0</v>
      </c>
      <c r="D45" s="189">
        <f t="shared" si="130"/>
        <v>0</v>
      </c>
      <c r="E45" s="189">
        <f t="shared" si="130"/>
        <v>0</v>
      </c>
      <c r="F45" s="189">
        <f t="shared" si="130"/>
        <v>0</v>
      </c>
      <c r="G45" s="189">
        <f t="shared" si="130"/>
        <v>0</v>
      </c>
      <c r="H45" s="189">
        <f t="shared" si="130"/>
        <v>0</v>
      </c>
      <c r="I45" s="189">
        <f t="shared" si="130"/>
        <v>0</v>
      </c>
      <c r="J45" s="189">
        <f t="shared" si="130"/>
        <v>0</v>
      </c>
      <c r="K45" s="189">
        <f t="shared" si="130"/>
        <v>0</v>
      </c>
      <c r="L45" s="190">
        <f t="shared" si="130"/>
        <v>0</v>
      </c>
      <c r="DT45" s="359"/>
      <c r="DU45" s="359"/>
      <c r="DV45" s="438"/>
      <c r="DW45" s="438"/>
      <c r="DX45" s="438"/>
      <c r="DY45" s="438"/>
      <c r="DZ45" s="438"/>
      <c r="EA45" s="438"/>
      <c r="EB45" s="438"/>
      <c r="EC45" s="438"/>
      <c r="ED45" s="438"/>
      <c r="EE45" s="438"/>
      <c r="EF45" s="438"/>
      <c r="EG45" s="359"/>
      <c r="EH45" s="359"/>
      <c r="EI45" s="346"/>
      <c r="EJ45" s="342"/>
      <c r="EK45" s="342"/>
      <c r="EL45" s="342"/>
      <c r="EM45" s="342"/>
      <c r="EN45" s="342"/>
      <c r="EO45" s="342"/>
      <c r="EP45" s="342"/>
      <c r="EQ45" s="342"/>
      <c r="ER45" s="342"/>
      <c r="ES45" s="342"/>
      <c r="ET45" s="342"/>
      <c r="EU45" s="342"/>
      <c r="EV45" s="346"/>
      <c r="EW45" s="346"/>
      <c r="EX45" s="346"/>
      <c r="EY45" s="346"/>
      <c r="EZ45" s="342"/>
      <c r="FA45" s="342"/>
      <c r="FB45" s="342"/>
      <c r="FC45" s="342"/>
      <c r="FD45" s="342"/>
      <c r="FE45" s="342"/>
      <c r="FF45" s="342"/>
      <c r="FG45" s="342"/>
      <c r="FH45" s="342"/>
      <c r="FI45" s="342"/>
      <c r="FJ45" s="342"/>
      <c r="FK45" s="342"/>
      <c r="FL45" s="342"/>
      <c r="FQ45" s="407"/>
      <c r="FR45" s="407"/>
      <c r="FS45" s="407"/>
      <c r="FT45" s="407"/>
      <c r="FU45" s="407"/>
      <c r="FV45" s="407"/>
      <c r="FW45" s="407"/>
      <c r="FX45" s="407"/>
      <c r="FY45" s="407"/>
      <c r="FZ45" s="407"/>
      <c r="GA45" s="407"/>
      <c r="GB45" s="407"/>
      <c r="GG45" s="373"/>
      <c r="GH45" s="373"/>
      <c r="GI45" s="373"/>
      <c r="GJ45" s="373"/>
      <c r="GK45" s="373"/>
      <c r="GL45" s="373"/>
      <c r="GM45" s="373"/>
      <c r="GN45" s="373"/>
      <c r="GO45" s="373"/>
      <c r="GP45" s="373"/>
      <c r="GQ45" s="373"/>
      <c r="GR45" s="373"/>
    </row>
    <row r="46" spans="1:200" ht="21">
      <c r="A46" s="468" t="s">
        <v>294</v>
      </c>
      <c r="B46" s="191" t="e">
        <f>IRR(FQ7:GB7)</f>
        <v>#NUM!</v>
      </c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DT46" s="359"/>
      <c r="DU46" s="359"/>
      <c r="DV46" s="438"/>
      <c r="DW46" s="438"/>
      <c r="DX46" s="438"/>
      <c r="DY46" s="438"/>
      <c r="DZ46" s="438"/>
      <c r="EA46" s="438"/>
      <c r="EB46" s="438"/>
      <c r="EC46" s="438"/>
      <c r="ED46" s="438"/>
      <c r="EE46" s="438"/>
      <c r="EF46" s="438"/>
      <c r="EG46" s="359"/>
      <c r="EH46" s="359"/>
      <c r="EI46" s="346"/>
      <c r="EJ46" s="342"/>
      <c r="EK46" s="342"/>
      <c r="EL46" s="342"/>
      <c r="EM46" s="342"/>
      <c r="EN46" s="342"/>
      <c r="EO46" s="342"/>
      <c r="EP46" s="342"/>
      <c r="EQ46" s="342"/>
      <c r="ER46" s="342"/>
      <c r="ES46" s="342"/>
      <c r="ET46" s="342"/>
      <c r="EU46" s="342"/>
      <c r="EV46" s="346"/>
      <c r="EW46" s="346"/>
      <c r="EX46" s="346"/>
      <c r="EY46" s="346"/>
      <c r="EZ46" s="342"/>
      <c r="FA46" s="342"/>
      <c r="FB46" s="342"/>
      <c r="FC46" s="342"/>
      <c r="FD46" s="342"/>
      <c r="FE46" s="342"/>
      <c r="FF46" s="342"/>
      <c r="FG46" s="342"/>
      <c r="FH46" s="342"/>
      <c r="FI46" s="342"/>
      <c r="FJ46" s="342"/>
      <c r="FK46" s="342"/>
      <c r="FL46" s="342"/>
      <c r="FQ46" s="407"/>
      <c r="FR46" s="407"/>
      <c r="FS46" s="407"/>
      <c r="FT46" s="407"/>
      <c r="FU46" s="407"/>
      <c r="FV46" s="407"/>
      <c r="FW46" s="407"/>
      <c r="FX46" s="407"/>
      <c r="FY46" s="407"/>
      <c r="FZ46" s="407"/>
      <c r="GA46" s="407"/>
      <c r="GB46" s="407"/>
      <c r="GG46" s="373"/>
      <c r="GH46" s="373"/>
      <c r="GI46" s="373"/>
      <c r="GJ46" s="373"/>
      <c r="GK46" s="373"/>
      <c r="GL46" s="373"/>
      <c r="GM46" s="373"/>
      <c r="GN46" s="373"/>
      <c r="GO46" s="373"/>
      <c r="GP46" s="373"/>
      <c r="GQ46" s="373"/>
      <c r="GR46" s="373"/>
    </row>
    <row r="47" spans="1:200" ht="21">
      <c r="A47" s="185" t="s">
        <v>309</v>
      </c>
      <c r="B47" s="193" t="e">
        <f>IRR(GG6:GR6)</f>
        <v>#NUM!</v>
      </c>
      <c r="C47" s="192"/>
      <c r="D47" s="192"/>
      <c r="E47" s="561"/>
      <c r="F47" s="192"/>
      <c r="G47" s="192"/>
      <c r="H47" s="192"/>
      <c r="I47" s="192"/>
      <c r="J47" s="192"/>
      <c r="K47" s="192"/>
      <c r="L47" s="192"/>
      <c r="DT47" s="359"/>
      <c r="DU47" s="359"/>
      <c r="DV47" s="438"/>
      <c r="DW47" s="438"/>
      <c r="DX47" s="438"/>
      <c r="DY47" s="438"/>
      <c r="DZ47" s="438"/>
      <c r="EA47" s="438"/>
      <c r="EB47" s="438"/>
      <c r="EC47" s="438"/>
      <c r="ED47" s="438"/>
      <c r="EE47" s="438"/>
      <c r="EF47" s="438"/>
      <c r="EG47" s="359"/>
      <c r="EH47" s="359"/>
      <c r="EI47" s="346"/>
      <c r="EJ47" s="342"/>
      <c r="EK47" s="342"/>
      <c r="EL47" s="342"/>
      <c r="EM47" s="342"/>
      <c r="EN47" s="342"/>
      <c r="EO47" s="342"/>
      <c r="EP47" s="342"/>
      <c r="EQ47" s="342"/>
      <c r="ER47" s="342"/>
      <c r="ES47" s="342"/>
      <c r="ET47" s="342"/>
      <c r="EU47" s="342"/>
      <c r="EV47" s="346"/>
      <c r="EW47" s="346"/>
      <c r="EX47" s="346"/>
      <c r="EY47" s="346"/>
      <c r="EZ47" s="342"/>
      <c r="FA47" s="342"/>
      <c r="FB47" s="342"/>
      <c r="FC47" s="342"/>
      <c r="FD47" s="342"/>
      <c r="FE47" s="342"/>
      <c r="FF47" s="342"/>
      <c r="FG47" s="342"/>
      <c r="FH47" s="342"/>
      <c r="FI47" s="342"/>
      <c r="FJ47" s="342"/>
      <c r="FK47" s="342"/>
      <c r="FL47" s="342"/>
      <c r="FQ47" s="407"/>
      <c r="FR47" s="407"/>
      <c r="FS47" s="407"/>
      <c r="FT47" s="407"/>
      <c r="FU47" s="407"/>
      <c r="FV47" s="407"/>
      <c r="FW47" s="407"/>
      <c r="FX47" s="407"/>
      <c r="FY47" s="407"/>
      <c r="FZ47" s="407"/>
      <c r="GA47" s="407"/>
      <c r="GB47" s="407"/>
      <c r="GG47" s="373"/>
      <c r="GH47" s="373"/>
      <c r="GI47" s="373"/>
      <c r="GJ47" s="373"/>
      <c r="GK47" s="373"/>
      <c r="GL47" s="373"/>
      <c r="GM47" s="373"/>
      <c r="GN47" s="373"/>
      <c r="GO47" s="373"/>
      <c r="GP47" s="373"/>
      <c r="GQ47" s="373"/>
      <c r="GR47" s="373"/>
    </row>
    <row r="48" spans="1:200" ht="21">
      <c r="A48" s="185" t="s">
        <v>311</v>
      </c>
      <c r="B48" s="194">
        <f>IF(FR8&gt;=0,FR9,IF(FS8&gt;=0,FS9,IF(FT8&gt;=0,FT9,IF(FU8&gt;=0,FU9,IF(FV8&gt;=0,FV9,IF(FW8&gt;=0,FW9,IF(FX8&gt;=0,FX9,IF(FY8&gt;=0,FY9,C48))))))))</f>
        <v>12</v>
      </c>
      <c r="C48" s="195">
        <f>IF(FZ8&gt;=0,FZ9,IF(GA8&gt;=0,GA9,IF(GB8&gt;=0,GB9,12)))</f>
        <v>12</v>
      </c>
      <c r="D48" s="192"/>
      <c r="E48" s="192"/>
      <c r="F48" s="192"/>
      <c r="G48" s="192"/>
      <c r="H48" s="192"/>
      <c r="I48" s="192"/>
      <c r="J48" s="192"/>
      <c r="K48" s="192"/>
      <c r="L48" s="192"/>
      <c r="DT48" s="359"/>
      <c r="DU48" s="359"/>
      <c r="DV48" s="438"/>
      <c r="DW48" s="438"/>
      <c r="DX48" s="438"/>
      <c r="DY48" s="438"/>
      <c r="DZ48" s="438"/>
      <c r="EA48" s="438"/>
      <c r="EB48" s="438"/>
      <c r="EC48" s="438"/>
      <c r="ED48" s="438"/>
      <c r="EE48" s="438"/>
      <c r="EF48" s="438"/>
      <c r="EG48" s="359"/>
      <c r="EH48" s="359"/>
      <c r="EI48" s="346"/>
      <c r="EJ48" s="342"/>
      <c r="EK48" s="342"/>
      <c r="EL48" s="342"/>
      <c r="EM48" s="342"/>
      <c r="EN48" s="342"/>
      <c r="EO48" s="342"/>
      <c r="EP48" s="342"/>
      <c r="EQ48" s="342"/>
      <c r="ER48" s="342"/>
      <c r="ES48" s="342"/>
      <c r="ET48" s="342"/>
      <c r="EU48" s="342"/>
      <c r="EV48" s="346"/>
      <c r="EW48" s="346"/>
      <c r="EX48" s="346"/>
      <c r="EY48" s="346"/>
      <c r="EZ48" s="342"/>
      <c r="FA48" s="342"/>
      <c r="FB48" s="342"/>
      <c r="FC48" s="342"/>
      <c r="FD48" s="342"/>
      <c r="FE48" s="342"/>
      <c r="FF48" s="342"/>
      <c r="FG48" s="342"/>
      <c r="FH48" s="342"/>
      <c r="FI48" s="342"/>
      <c r="FJ48" s="342"/>
      <c r="FK48" s="342"/>
      <c r="FL48" s="342"/>
      <c r="FQ48" s="407"/>
      <c r="FR48" s="407"/>
      <c r="FS48" s="407"/>
      <c r="FT48" s="407"/>
      <c r="FU48" s="407"/>
      <c r="FV48" s="407"/>
      <c r="FW48" s="407"/>
      <c r="FX48" s="407"/>
      <c r="FY48" s="407"/>
      <c r="FZ48" s="407"/>
      <c r="GA48" s="407"/>
      <c r="GB48" s="407"/>
      <c r="GG48" s="373"/>
      <c r="GH48" s="373"/>
      <c r="GI48" s="373"/>
      <c r="GJ48" s="373"/>
      <c r="GK48" s="373"/>
      <c r="GL48" s="373"/>
      <c r="GM48" s="373"/>
      <c r="GN48" s="373"/>
      <c r="GO48" s="373"/>
      <c r="GP48" s="373"/>
      <c r="GQ48" s="373"/>
      <c r="GR48" s="373"/>
    </row>
    <row r="49" spans="1:200" ht="21">
      <c r="A49" s="185" t="s">
        <v>310</v>
      </c>
      <c r="B49" s="194">
        <f>IF(GH7&gt;=0,GH8,IF(GI7&gt;=0,GI8,IF(GJ7&gt;=0,GJ8,IF(GK7&gt;=0,GK8,IF(GL7&gt;=0,GL8,IF(GM7&gt;=0,GM8,IF(GN7&gt;=0,GN8,IF(GO7&gt;=0,GO8,C49))))))))</f>
        <v>12</v>
      </c>
      <c r="C49" s="195">
        <f>IF(GP7&gt;=0,GP8,IF(GQ7&gt;=0,GQ8,IF(GR7&gt;=0,GR8,12)))</f>
        <v>12</v>
      </c>
      <c r="D49" s="192"/>
      <c r="E49" s="192"/>
      <c r="F49" s="192"/>
      <c r="G49" s="192"/>
      <c r="H49" s="192"/>
      <c r="I49" s="192"/>
      <c r="J49" s="192"/>
      <c r="K49" s="192"/>
      <c r="L49" s="192"/>
      <c r="DT49" s="359"/>
      <c r="DU49" s="359"/>
      <c r="DV49" s="438"/>
      <c r="DW49" s="438"/>
      <c r="DX49" s="438"/>
      <c r="DY49" s="438"/>
      <c r="DZ49" s="438"/>
      <c r="EA49" s="438"/>
      <c r="EB49" s="438"/>
      <c r="EC49" s="438"/>
      <c r="ED49" s="438"/>
      <c r="EE49" s="438"/>
      <c r="EF49" s="438"/>
      <c r="EG49" s="359"/>
      <c r="EH49" s="359"/>
      <c r="EI49" s="346"/>
      <c r="EJ49" s="342"/>
      <c r="EK49" s="342"/>
      <c r="EL49" s="342"/>
      <c r="EM49" s="342"/>
      <c r="EN49" s="342"/>
      <c r="EO49" s="342"/>
      <c r="EP49" s="342"/>
      <c r="EQ49" s="342"/>
      <c r="ER49" s="342"/>
      <c r="ES49" s="342"/>
      <c r="ET49" s="342"/>
      <c r="EU49" s="342"/>
      <c r="EV49" s="346"/>
      <c r="EW49" s="346"/>
      <c r="EX49" s="346"/>
      <c r="EY49" s="346"/>
      <c r="EZ49" s="342"/>
      <c r="FA49" s="342"/>
      <c r="FB49" s="342"/>
      <c r="FC49" s="342"/>
      <c r="FD49" s="342"/>
      <c r="FE49" s="342"/>
      <c r="FF49" s="342"/>
      <c r="FG49" s="342"/>
      <c r="FH49" s="342"/>
      <c r="FI49" s="342"/>
      <c r="FJ49" s="342"/>
      <c r="FK49" s="342"/>
      <c r="FL49" s="342"/>
      <c r="FQ49" s="407"/>
      <c r="FR49" s="407"/>
      <c r="FS49" s="407"/>
      <c r="FT49" s="407"/>
      <c r="FU49" s="407"/>
      <c r="FV49" s="407"/>
      <c r="FW49" s="407"/>
      <c r="FX49" s="407"/>
      <c r="FY49" s="407"/>
      <c r="FZ49" s="407"/>
      <c r="GA49" s="407"/>
      <c r="GB49" s="407"/>
      <c r="GG49" s="373"/>
      <c r="GH49" s="373"/>
      <c r="GI49" s="373"/>
      <c r="GJ49" s="373"/>
      <c r="GK49" s="373"/>
      <c r="GL49" s="373"/>
      <c r="GM49" s="373"/>
      <c r="GN49" s="373"/>
      <c r="GO49" s="373"/>
      <c r="GP49" s="373"/>
      <c r="GQ49" s="373"/>
      <c r="GR49" s="373"/>
    </row>
    <row r="50" spans="1:200" ht="21.6" thickBot="1">
      <c r="A50" s="196" t="s">
        <v>296</v>
      </c>
      <c r="B50" s="197">
        <f>FQ12</f>
        <v>-1730015272.3425415</v>
      </c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DT50" s="359"/>
      <c r="DU50" s="359"/>
      <c r="DV50" s="438"/>
      <c r="DW50" s="438"/>
      <c r="DX50" s="438"/>
      <c r="DY50" s="438"/>
      <c r="DZ50" s="438"/>
      <c r="EA50" s="438"/>
      <c r="EB50" s="438"/>
      <c r="EC50" s="438"/>
      <c r="ED50" s="438"/>
      <c r="EE50" s="438"/>
      <c r="EF50" s="438"/>
      <c r="EG50" s="359"/>
      <c r="EH50" s="359"/>
      <c r="EI50" s="346"/>
      <c r="EJ50" s="342"/>
      <c r="EK50" s="342"/>
      <c r="EL50" s="342"/>
      <c r="EM50" s="342"/>
      <c r="EN50" s="342"/>
      <c r="EO50" s="342"/>
      <c r="EP50" s="342"/>
      <c r="EQ50" s="342"/>
      <c r="ER50" s="342"/>
      <c r="ES50" s="342"/>
      <c r="ET50" s="342"/>
      <c r="EU50" s="342"/>
      <c r="EV50" s="346"/>
      <c r="EW50" s="346"/>
      <c r="EX50" s="346"/>
      <c r="EY50" s="346"/>
      <c r="EZ50" s="342"/>
      <c r="FA50" s="342"/>
      <c r="FB50" s="342"/>
      <c r="FC50" s="342"/>
      <c r="FD50" s="342"/>
      <c r="FE50" s="342"/>
      <c r="FF50" s="342"/>
      <c r="FG50" s="342"/>
      <c r="FH50" s="342"/>
      <c r="FI50" s="342"/>
      <c r="FJ50" s="342"/>
      <c r="FK50" s="342"/>
      <c r="FL50" s="342"/>
      <c r="FQ50" s="407"/>
      <c r="FR50" s="407"/>
      <c r="FS50" s="407"/>
      <c r="FT50" s="407"/>
      <c r="FU50" s="407"/>
      <c r="FV50" s="407"/>
      <c r="FW50" s="407"/>
      <c r="FX50" s="407"/>
      <c r="FY50" s="407"/>
      <c r="FZ50" s="407"/>
      <c r="GA50" s="407"/>
      <c r="GB50" s="407"/>
      <c r="GG50" s="373"/>
      <c r="GH50" s="373"/>
      <c r="GI50" s="373"/>
      <c r="GJ50" s="373"/>
      <c r="GK50" s="373"/>
      <c r="GL50" s="373"/>
      <c r="GM50" s="373"/>
      <c r="GN50" s="373"/>
      <c r="GO50" s="373"/>
      <c r="GP50" s="373"/>
      <c r="GQ50" s="373"/>
      <c r="GR50" s="373"/>
    </row>
    <row r="51" spans="1:200">
      <c r="DT51" s="359"/>
      <c r="DU51" s="359"/>
      <c r="DV51" s="438"/>
      <c r="DW51" s="438"/>
      <c r="DX51" s="438"/>
      <c r="DY51" s="438"/>
      <c r="DZ51" s="438"/>
      <c r="EA51" s="438"/>
      <c r="EB51" s="438"/>
      <c r="EC51" s="438"/>
      <c r="ED51" s="438"/>
      <c r="EE51" s="438"/>
      <c r="EF51" s="438"/>
      <c r="EG51" s="359"/>
      <c r="EH51" s="359"/>
      <c r="EI51" s="346"/>
      <c r="EJ51" s="342"/>
      <c r="EK51" s="342"/>
      <c r="EL51" s="342"/>
      <c r="EM51" s="342"/>
      <c r="EN51" s="342"/>
      <c r="EO51" s="342"/>
      <c r="EP51" s="342"/>
      <c r="EQ51" s="342"/>
      <c r="ER51" s="342"/>
      <c r="ES51" s="342"/>
      <c r="ET51" s="342"/>
      <c r="EU51" s="342"/>
      <c r="EV51" s="346"/>
      <c r="EW51" s="346"/>
      <c r="EX51" s="346"/>
      <c r="EY51" s="346"/>
      <c r="EZ51" s="342"/>
      <c r="FA51" s="342"/>
      <c r="FB51" s="342"/>
      <c r="FC51" s="342"/>
      <c r="FD51" s="342"/>
      <c r="FE51" s="342"/>
      <c r="FF51" s="342"/>
      <c r="FG51" s="342"/>
      <c r="FH51" s="342"/>
      <c r="FI51" s="342"/>
      <c r="FJ51" s="342"/>
      <c r="FK51" s="342"/>
      <c r="FL51" s="342"/>
      <c r="FQ51" s="407"/>
      <c r="FR51" s="407"/>
      <c r="FS51" s="407"/>
      <c r="FT51" s="407"/>
      <c r="FU51" s="407"/>
      <c r="FV51" s="407"/>
      <c r="FW51" s="407"/>
      <c r="FX51" s="407"/>
      <c r="FY51" s="407"/>
      <c r="FZ51" s="407"/>
      <c r="GA51" s="407"/>
      <c r="GB51" s="407"/>
      <c r="GG51" s="373"/>
      <c r="GH51" s="373"/>
      <c r="GI51" s="373"/>
      <c r="GJ51" s="373"/>
      <c r="GK51" s="373"/>
      <c r="GL51" s="373"/>
      <c r="GM51" s="373"/>
      <c r="GN51" s="373"/>
      <c r="GO51" s="373"/>
      <c r="GP51" s="373"/>
      <c r="GQ51" s="373"/>
      <c r="GR51" s="373"/>
    </row>
    <row r="52" spans="1:200">
      <c r="DT52" s="1145"/>
      <c r="DU52" s="1145"/>
      <c r="DV52" s="438"/>
      <c r="DW52" s="438"/>
      <c r="DX52" s="438"/>
      <c r="DY52" s="438"/>
      <c r="DZ52" s="438"/>
      <c r="EA52" s="438"/>
      <c r="EB52" s="438"/>
      <c r="EC52" s="438"/>
      <c r="ED52" s="438"/>
      <c r="EE52" s="438"/>
      <c r="EF52" s="438"/>
      <c r="EG52" s="359"/>
      <c r="EH52" s="359"/>
      <c r="EI52" s="346"/>
      <c r="EJ52" s="342"/>
      <c r="EK52" s="342"/>
      <c r="EL52" s="342"/>
      <c r="EM52" s="342"/>
      <c r="EN52" s="342"/>
      <c r="EO52" s="342"/>
      <c r="EP52" s="342"/>
      <c r="EQ52" s="342"/>
      <c r="ER52" s="342"/>
      <c r="ES52" s="342"/>
      <c r="ET52" s="342"/>
      <c r="EU52" s="342"/>
      <c r="EV52" s="346"/>
      <c r="EW52" s="346"/>
      <c r="EX52" s="346"/>
      <c r="EY52" s="346"/>
      <c r="EZ52" s="342"/>
      <c r="FA52" s="342"/>
      <c r="FB52" s="342"/>
      <c r="FC52" s="342"/>
      <c r="FD52" s="342"/>
      <c r="FE52" s="342"/>
      <c r="FF52" s="342"/>
      <c r="FG52" s="342"/>
      <c r="FH52" s="342"/>
      <c r="FI52" s="342"/>
      <c r="FJ52" s="342"/>
      <c r="FK52" s="342"/>
      <c r="FL52" s="342"/>
      <c r="FQ52" s="407"/>
      <c r="FR52" s="407"/>
      <c r="FS52" s="407"/>
      <c r="FT52" s="407"/>
      <c r="FU52" s="407"/>
      <c r="FV52" s="407"/>
      <c r="FW52" s="407"/>
      <c r="FX52" s="407"/>
      <c r="FY52" s="407"/>
      <c r="FZ52" s="407"/>
      <c r="GA52" s="407"/>
      <c r="GB52" s="407"/>
      <c r="GG52" s="373"/>
      <c r="GH52" s="373"/>
      <c r="GI52" s="373"/>
      <c r="GJ52" s="373"/>
      <c r="GK52" s="373"/>
      <c r="GL52" s="373"/>
      <c r="GM52" s="373"/>
      <c r="GN52" s="373"/>
      <c r="GO52" s="373"/>
      <c r="GP52" s="373"/>
      <c r="GQ52" s="373"/>
      <c r="GR52" s="373"/>
    </row>
    <row r="53" spans="1:200">
      <c r="DT53" s="359"/>
      <c r="DU53" s="359"/>
      <c r="DV53" s="438"/>
      <c r="DW53" s="438"/>
      <c r="DX53" s="438"/>
      <c r="DY53" s="438"/>
      <c r="DZ53" s="438"/>
      <c r="EA53" s="438"/>
      <c r="EB53" s="438"/>
      <c r="EC53" s="438"/>
      <c r="ED53" s="438"/>
      <c r="EE53" s="438"/>
      <c r="EF53" s="438"/>
      <c r="EG53" s="359"/>
      <c r="EH53" s="359"/>
      <c r="EI53" s="346"/>
      <c r="EJ53" s="342"/>
      <c r="EK53" s="342"/>
      <c r="EL53" s="342"/>
      <c r="EM53" s="342"/>
      <c r="EN53" s="342"/>
      <c r="EO53" s="342"/>
      <c r="EP53" s="342"/>
      <c r="EQ53" s="342"/>
      <c r="ER53" s="342"/>
      <c r="ES53" s="342"/>
      <c r="ET53" s="342"/>
      <c r="EU53" s="342"/>
      <c r="EV53" s="346"/>
      <c r="EW53" s="346"/>
      <c r="EX53" s="346"/>
      <c r="EY53" s="346"/>
      <c r="EZ53" s="342"/>
      <c r="FA53" s="342"/>
      <c r="FB53" s="342"/>
      <c r="FC53" s="342"/>
      <c r="FD53" s="342"/>
      <c r="FE53" s="342"/>
      <c r="FF53" s="342"/>
      <c r="FG53" s="342"/>
      <c r="FH53" s="342"/>
      <c r="FI53" s="342"/>
      <c r="FJ53" s="342"/>
      <c r="FK53" s="342"/>
      <c r="FL53" s="342"/>
      <c r="FQ53" s="407"/>
      <c r="FR53" s="407"/>
      <c r="FS53" s="407"/>
      <c r="FT53" s="407"/>
      <c r="FU53" s="407"/>
      <c r="FV53" s="407"/>
      <c r="FW53" s="407"/>
      <c r="FX53" s="407"/>
      <c r="FY53" s="407"/>
      <c r="FZ53" s="407"/>
      <c r="GA53" s="407"/>
      <c r="GB53" s="407"/>
      <c r="GG53" s="373"/>
      <c r="GH53" s="373"/>
      <c r="GI53" s="373"/>
      <c r="GJ53" s="373"/>
      <c r="GK53" s="373"/>
      <c r="GL53" s="373"/>
      <c r="GM53" s="373"/>
      <c r="GN53" s="373"/>
      <c r="GO53" s="373"/>
      <c r="GP53" s="373"/>
      <c r="GQ53" s="373"/>
      <c r="GR53" s="373"/>
    </row>
    <row r="54" spans="1:200">
      <c r="DT54" s="359"/>
      <c r="DU54" s="359"/>
      <c r="DV54" s="438"/>
      <c r="DW54" s="438"/>
      <c r="DX54" s="438"/>
      <c r="DY54" s="438"/>
      <c r="DZ54" s="438"/>
      <c r="EA54" s="438"/>
      <c r="EB54" s="438"/>
      <c r="EC54" s="438"/>
      <c r="ED54" s="438"/>
      <c r="EE54" s="438"/>
      <c r="EF54" s="438"/>
      <c r="EG54" s="359"/>
      <c r="EH54" s="359"/>
      <c r="EI54" s="346"/>
      <c r="EJ54" s="342"/>
      <c r="EK54" s="342"/>
      <c r="EL54" s="342"/>
      <c r="EM54" s="342"/>
      <c r="EN54" s="342"/>
      <c r="EO54" s="342"/>
      <c r="EP54" s="342"/>
      <c r="EQ54" s="342"/>
      <c r="ER54" s="342"/>
      <c r="ES54" s="342"/>
      <c r="ET54" s="342"/>
      <c r="EU54" s="342"/>
      <c r="EV54" s="346"/>
      <c r="EW54" s="346"/>
      <c r="EX54" s="346"/>
      <c r="EY54" s="346"/>
      <c r="EZ54" s="342"/>
      <c r="FA54" s="342"/>
      <c r="FB54" s="342"/>
      <c r="FC54" s="342"/>
      <c r="FD54" s="342"/>
      <c r="FE54" s="342"/>
      <c r="FF54" s="342"/>
      <c r="FG54" s="342"/>
      <c r="FH54" s="342"/>
      <c r="FI54" s="342"/>
      <c r="FJ54" s="342"/>
      <c r="FK54" s="342"/>
      <c r="FL54" s="342"/>
      <c r="FQ54" s="407"/>
      <c r="FR54" s="407"/>
      <c r="FS54" s="407"/>
      <c r="FT54" s="407"/>
      <c r="FU54" s="407"/>
      <c r="FV54" s="407"/>
      <c r="FW54" s="407"/>
      <c r="FX54" s="407"/>
      <c r="FY54" s="407"/>
      <c r="FZ54" s="407"/>
      <c r="GA54" s="407"/>
      <c r="GB54" s="407"/>
      <c r="GG54" s="373"/>
      <c r="GH54" s="373"/>
      <c r="GI54" s="373"/>
      <c r="GJ54" s="373"/>
      <c r="GK54" s="373"/>
      <c r="GL54" s="373"/>
      <c r="GM54" s="373"/>
      <c r="GN54" s="373"/>
      <c r="GO54" s="373"/>
      <c r="GP54" s="373"/>
      <c r="GQ54" s="373"/>
      <c r="GR54" s="373"/>
    </row>
    <row r="55" spans="1:200">
      <c r="DT55" s="359"/>
      <c r="DU55" s="359"/>
      <c r="DV55" s="438"/>
      <c r="DW55" s="438"/>
      <c r="DX55" s="438"/>
      <c r="DY55" s="438"/>
      <c r="DZ55" s="438"/>
      <c r="EA55" s="438"/>
      <c r="EB55" s="438"/>
      <c r="EC55" s="438"/>
      <c r="ED55" s="438"/>
      <c r="EE55" s="438"/>
      <c r="EF55" s="438"/>
      <c r="EG55" s="359"/>
      <c r="EH55" s="359"/>
      <c r="EI55" s="346"/>
      <c r="EJ55" s="342"/>
      <c r="EK55" s="342"/>
      <c r="EL55" s="342"/>
      <c r="EM55" s="342"/>
      <c r="EN55" s="342"/>
      <c r="EO55" s="342"/>
      <c r="EP55" s="342"/>
      <c r="EQ55" s="342"/>
      <c r="ER55" s="342"/>
      <c r="ES55" s="342"/>
      <c r="ET55" s="342"/>
      <c r="EU55" s="342"/>
      <c r="EV55" s="346"/>
      <c r="EW55" s="346"/>
      <c r="EX55" s="346"/>
      <c r="EY55" s="346"/>
      <c r="EZ55" s="342"/>
      <c r="FA55" s="342"/>
      <c r="FB55" s="342"/>
      <c r="FC55" s="342"/>
      <c r="FD55" s="342"/>
      <c r="FE55" s="342"/>
      <c r="FF55" s="342"/>
      <c r="FG55" s="342"/>
      <c r="FH55" s="342"/>
      <c r="FI55" s="342"/>
      <c r="FJ55" s="342"/>
      <c r="FK55" s="342"/>
      <c r="FL55" s="342"/>
      <c r="FQ55" s="407"/>
      <c r="FR55" s="407"/>
      <c r="FS55" s="407"/>
      <c r="FT55" s="407"/>
      <c r="FU55" s="407"/>
      <c r="FV55" s="407"/>
      <c r="FW55" s="407"/>
      <c r="FX55" s="407"/>
      <c r="FY55" s="407"/>
      <c r="FZ55" s="407"/>
      <c r="GA55" s="407"/>
      <c r="GB55" s="407"/>
      <c r="GG55" s="373"/>
      <c r="GH55" s="373"/>
      <c r="GI55" s="373"/>
      <c r="GJ55" s="373"/>
      <c r="GK55" s="373"/>
      <c r="GL55" s="373"/>
      <c r="GM55" s="373"/>
      <c r="GN55" s="373"/>
      <c r="GO55" s="373"/>
      <c r="GP55" s="373"/>
      <c r="GQ55" s="373"/>
      <c r="GR55" s="373"/>
    </row>
    <row r="56" spans="1:200">
      <c r="DT56" s="359"/>
      <c r="DU56" s="359"/>
      <c r="DV56" s="438"/>
      <c r="DW56" s="438"/>
      <c r="DX56" s="438"/>
      <c r="DY56" s="438"/>
      <c r="DZ56" s="438"/>
      <c r="EA56" s="438"/>
      <c r="EB56" s="438"/>
      <c r="EC56" s="438"/>
      <c r="ED56" s="438"/>
      <c r="EE56" s="438"/>
      <c r="EF56" s="438"/>
      <c r="EG56" s="359"/>
      <c r="EH56" s="359"/>
      <c r="EI56" s="346"/>
      <c r="EJ56" s="342"/>
      <c r="EK56" s="342"/>
      <c r="EL56" s="342"/>
      <c r="EM56" s="342"/>
      <c r="EN56" s="342"/>
      <c r="EO56" s="342"/>
      <c r="EP56" s="342"/>
      <c r="EQ56" s="342"/>
      <c r="ER56" s="342"/>
      <c r="ES56" s="342"/>
      <c r="ET56" s="342"/>
      <c r="EU56" s="342"/>
      <c r="EV56" s="346"/>
      <c r="EW56" s="346"/>
      <c r="EX56" s="346"/>
      <c r="EY56" s="346"/>
      <c r="EZ56" s="342"/>
      <c r="FA56" s="342"/>
      <c r="FB56" s="342"/>
      <c r="FC56" s="342"/>
      <c r="FD56" s="342"/>
      <c r="FE56" s="342"/>
      <c r="FF56" s="342"/>
      <c r="FG56" s="342"/>
      <c r="FH56" s="342"/>
      <c r="FI56" s="342"/>
      <c r="FJ56" s="342"/>
      <c r="FK56" s="342"/>
      <c r="FL56" s="342"/>
      <c r="FQ56" s="407"/>
      <c r="FR56" s="407"/>
      <c r="FS56" s="407"/>
      <c r="FT56" s="407"/>
      <c r="FU56" s="407"/>
      <c r="FV56" s="407"/>
      <c r="FW56" s="407"/>
      <c r="FX56" s="407"/>
      <c r="FY56" s="407"/>
      <c r="FZ56" s="407"/>
      <c r="GA56" s="407"/>
      <c r="GB56" s="407"/>
      <c r="GG56" s="373"/>
      <c r="GH56" s="373"/>
      <c r="GI56" s="373"/>
      <c r="GJ56" s="373"/>
      <c r="GK56" s="373"/>
      <c r="GL56" s="373"/>
      <c r="GM56" s="373"/>
      <c r="GN56" s="373"/>
      <c r="GO56" s="373"/>
      <c r="GP56" s="373"/>
      <c r="GQ56" s="373"/>
      <c r="GR56" s="373"/>
    </row>
    <row r="57" spans="1:200">
      <c r="DT57" s="359"/>
      <c r="DU57" s="359"/>
      <c r="DV57" s="438"/>
      <c r="DW57" s="438"/>
      <c r="DX57" s="438"/>
      <c r="DY57" s="438"/>
      <c r="DZ57" s="438"/>
      <c r="EA57" s="438"/>
      <c r="EB57" s="438"/>
      <c r="EC57" s="438"/>
      <c r="ED57" s="438"/>
      <c r="EE57" s="438"/>
      <c r="EF57" s="438"/>
      <c r="EG57" s="359"/>
      <c r="EH57" s="359"/>
      <c r="EI57" s="346"/>
      <c r="EJ57" s="342"/>
      <c r="EK57" s="342"/>
      <c r="EL57" s="342"/>
      <c r="EM57" s="342"/>
      <c r="EN57" s="342"/>
      <c r="EO57" s="342"/>
      <c r="EP57" s="342"/>
      <c r="EQ57" s="342"/>
      <c r="ER57" s="342"/>
      <c r="ES57" s="342"/>
      <c r="ET57" s="342"/>
      <c r="EU57" s="342"/>
      <c r="EV57" s="346"/>
      <c r="EW57" s="346"/>
      <c r="EX57" s="346"/>
      <c r="EY57" s="346"/>
      <c r="EZ57" s="342"/>
      <c r="FA57" s="342"/>
      <c r="FB57" s="342"/>
      <c r="FC57" s="342"/>
      <c r="FD57" s="342"/>
      <c r="FE57" s="342"/>
      <c r="FF57" s="342"/>
      <c r="FG57" s="342"/>
      <c r="FH57" s="342"/>
      <c r="FI57" s="342"/>
      <c r="FJ57" s="342"/>
      <c r="FK57" s="342"/>
      <c r="FL57" s="342"/>
      <c r="FQ57" s="407"/>
      <c r="FR57" s="407"/>
      <c r="FS57" s="407"/>
      <c r="FT57" s="407"/>
      <c r="FU57" s="407"/>
      <c r="FV57" s="407"/>
      <c r="FW57" s="407"/>
      <c r="FX57" s="407"/>
      <c r="FY57" s="407"/>
      <c r="FZ57" s="407"/>
      <c r="GA57" s="407"/>
      <c r="GB57" s="407"/>
      <c r="GG57" s="373"/>
      <c r="GH57" s="373"/>
      <c r="GI57" s="373"/>
      <c r="GJ57" s="373"/>
      <c r="GK57" s="373"/>
      <c r="GL57" s="373"/>
      <c r="GM57" s="373"/>
      <c r="GN57" s="373"/>
      <c r="GO57" s="373"/>
      <c r="GP57" s="373"/>
      <c r="GQ57" s="373"/>
      <c r="GR57" s="373"/>
    </row>
    <row r="58" spans="1:200">
      <c r="DT58" s="359"/>
      <c r="DU58" s="359"/>
      <c r="DV58" s="438"/>
      <c r="DW58" s="438"/>
      <c r="DX58" s="438"/>
      <c r="DY58" s="438"/>
      <c r="DZ58" s="438"/>
      <c r="EA58" s="438"/>
      <c r="EB58" s="438"/>
      <c r="EC58" s="438"/>
      <c r="ED58" s="438"/>
      <c r="EE58" s="438"/>
      <c r="EF58" s="438"/>
      <c r="EG58" s="359"/>
      <c r="EH58" s="359"/>
      <c r="EI58" s="346"/>
      <c r="EJ58" s="342"/>
      <c r="EK58" s="342"/>
      <c r="EL58" s="342"/>
      <c r="EM58" s="342"/>
      <c r="EN58" s="342"/>
      <c r="EO58" s="342"/>
      <c r="EP58" s="342"/>
      <c r="EQ58" s="342"/>
      <c r="ER58" s="342"/>
      <c r="ES58" s="342"/>
      <c r="ET58" s="342"/>
      <c r="EU58" s="342"/>
      <c r="EV58" s="346"/>
      <c r="EW58" s="346"/>
      <c r="EX58" s="346"/>
      <c r="EY58" s="346"/>
      <c r="EZ58" s="342"/>
      <c r="FA58" s="342"/>
      <c r="FB58" s="342"/>
      <c r="FC58" s="342"/>
      <c r="FD58" s="342"/>
      <c r="FE58" s="342"/>
      <c r="FF58" s="342"/>
      <c r="FG58" s="342"/>
      <c r="FH58" s="342"/>
      <c r="FI58" s="342"/>
      <c r="FJ58" s="342"/>
      <c r="FK58" s="342"/>
      <c r="FL58" s="342"/>
      <c r="GG58" s="373"/>
      <c r="GH58" s="373"/>
      <c r="GI58" s="373"/>
      <c r="GJ58" s="373"/>
      <c r="GK58" s="373"/>
      <c r="GL58" s="373"/>
      <c r="GM58" s="373"/>
      <c r="GN58" s="373"/>
      <c r="GO58" s="373"/>
      <c r="GP58" s="373"/>
      <c r="GQ58" s="373"/>
      <c r="GR58" s="373"/>
    </row>
    <row r="59" spans="1:200">
      <c r="DT59" s="359"/>
      <c r="DU59" s="359"/>
      <c r="DV59" s="438"/>
      <c r="DW59" s="438"/>
      <c r="DX59" s="438"/>
      <c r="DY59" s="438"/>
      <c r="DZ59" s="438"/>
      <c r="EA59" s="438"/>
      <c r="EB59" s="438"/>
      <c r="EC59" s="438"/>
      <c r="ED59" s="438"/>
      <c r="EE59" s="438"/>
      <c r="EF59" s="438"/>
      <c r="EG59" s="359"/>
      <c r="EH59" s="359"/>
      <c r="EI59" s="346"/>
      <c r="EJ59" s="342"/>
      <c r="EK59" s="342"/>
      <c r="EL59" s="342"/>
      <c r="EM59" s="342"/>
      <c r="EN59" s="342"/>
      <c r="EO59" s="342"/>
      <c r="EP59" s="342"/>
      <c r="EQ59" s="342"/>
      <c r="ER59" s="342"/>
      <c r="ES59" s="342"/>
      <c r="ET59" s="342"/>
      <c r="EU59" s="342"/>
      <c r="EV59" s="346"/>
      <c r="EW59" s="346"/>
      <c r="EX59" s="346"/>
      <c r="EY59" s="346"/>
      <c r="EZ59" s="342"/>
      <c r="FA59" s="342"/>
      <c r="FB59" s="342"/>
      <c r="FC59" s="342"/>
      <c r="FD59" s="342"/>
      <c r="FE59" s="342"/>
      <c r="FF59" s="342"/>
      <c r="FG59" s="342"/>
      <c r="FH59" s="342"/>
      <c r="FI59" s="342"/>
      <c r="FJ59" s="342"/>
      <c r="FK59" s="342"/>
      <c r="FL59" s="342"/>
      <c r="GG59" s="373"/>
      <c r="GH59" s="373"/>
      <c r="GI59" s="373"/>
      <c r="GJ59" s="373"/>
      <c r="GK59" s="373"/>
      <c r="GL59" s="373"/>
      <c r="GM59" s="373"/>
      <c r="GN59" s="373"/>
      <c r="GO59" s="373"/>
      <c r="GP59" s="373"/>
      <c r="GQ59" s="373"/>
      <c r="GR59" s="373"/>
    </row>
    <row r="60" spans="1:200">
      <c r="DT60" s="359"/>
      <c r="DU60" s="359"/>
      <c r="DV60" s="438"/>
      <c r="DW60" s="438"/>
      <c r="DX60" s="438"/>
      <c r="DY60" s="438"/>
      <c r="DZ60" s="438"/>
      <c r="EA60" s="438"/>
      <c r="EB60" s="438"/>
      <c r="EC60" s="438"/>
      <c r="ED60" s="438"/>
      <c r="EE60" s="438"/>
      <c r="EF60" s="438"/>
      <c r="EG60" s="359"/>
      <c r="EH60" s="359"/>
      <c r="EI60" s="346"/>
      <c r="EJ60" s="342"/>
      <c r="EK60" s="342"/>
      <c r="EL60" s="342"/>
      <c r="EM60" s="342"/>
      <c r="EN60" s="342"/>
      <c r="EO60" s="342"/>
      <c r="EP60" s="342"/>
      <c r="EQ60" s="342"/>
      <c r="ER60" s="342"/>
      <c r="ES60" s="342"/>
      <c r="ET60" s="342"/>
      <c r="EU60" s="342"/>
      <c r="EV60" s="346"/>
      <c r="EW60" s="346"/>
      <c r="EX60" s="346"/>
      <c r="EY60" s="346"/>
      <c r="EZ60" s="342"/>
      <c r="FA60" s="342"/>
      <c r="FB60" s="342"/>
      <c r="FC60" s="342"/>
      <c r="FD60" s="342"/>
      <c r="FE60" s="342"/>
      <c r="FF60" s="342"/>
      <c r="FG60" s="342"/>
      <c r="FH60" s="342"/>
      <c r="FI60" s="342"/>
      <c r="FJ60" s="342"/>
      <c r="FK60" s="342"/>
      <c r="FL60" s="342"/>
    </row>
    <row r="61" spans="1:200">
      <c r="DT61" s="359"/>
      <c r="DU61" s="359"/>
      <c r="DV61" s="438"/>
      <c r="DW61" s="438"/>
      <c r="DX61" s="438"/>
      <c r="DY61" s="438"/>
      <c r="DZ61" s="438"/>
      <c r="EA61" s="438"/>
      <c r="EB61" s="438"/>
      <c r="EC61" s="438"/>
      <c r="ED61" s="438"/>
      <c r="EE61" s="438"/>
      <c r="EF61" s="438"/>
      <c r="EG61" s="359"/>
      <c r="EH61" s="359"/>
      <c r="EI61" s="346"/>
      <c r="EJ61" s="342"/>
      <c r="EK61" s="342"/>
      <c r="EL61" s="342"/>
      <c r="EM61" s="342"/>
      <c r="EN61" s="342"/>
      <c r="EO61" s="342"/>
      <c r="EP61" s="342"/>
      <c r="EQ61" s="342"/>
      <c r="ER61" s="342"/>
      <c r="ES61" s="342"/>
      <c r="ET61" s="342"/>
      <c r="EU61" s="342"/>
      <c r="EV61" s="346"/>
      <c r="EW61" s="346"/>
      <c r="EX61" s="346"/>
      <c r="EY61" s="346"/>
      <c r="EZ61" s="342"/>
      <c r="FA61" s="342"/>
      <c r="FB61" s="342"/>
      <c r="FC61" s="342"/>
      <c r="FD61" s="342"/>
      <c r="FE61" s="342"/>
      <c r="FF61" s="342"/>
      <c r="FG61" s="342"/>
      <c r="FH61" s="342"/>
      <c r="FI61" s="342"/>
      <c r="FJ61" s="342"/>
      <c r="FK61" s="342"/>
      <c r="FL61" s="342"/>
    </row>
    <row r="62" spans="1:200">
      <c r="DT62" s="359"/>
      <c r="DU62" s="359"/>
      <c r="DV62" s="438"/>
      <c r="DW62" s="438"/>
      <c r="DX62" s="438"/>
      <c r="DY62" s="438"/>
      <c r="DZ62" s="438"/>
      <c r="EA62" s="438"/>
      <c r="EB62" s="438"/>
      <c r="EC62" s="438"/>
      <c r="ED62" s="438"/>
      <c r="EE62" s="438"/>
      <c r="EF62" s="438"/>
      <c r="EG62" s="359"/>
      <c r="EH62" s="359"/>
      <c r="EI62" s="346"/>
      <c r="EJ62" s="342"/>
      <c r="EK62" s="342"/>
      <c r="EL62" s="342"/>
      <c r="EM62" s="342"/>
      <c r="EN62" s="342"/>
      <c r="EO62" s="342"/>
      <c r="EP62" s="342"/>
      <c r="EQ62" s="342"/>
      <c r="ER62" s="342"/>
      <c r="ES62" s="342"/>
      <c r="ET62" s="342"/>
      <c r="EU62" s="342"/>
      <c r="EV62" s="346"/>
      <c r="EW62" s="346"/>
      <c r="EX62" s="346"/>
      <c r="EY62" s="346"/>
      <c r="EZ62" s="342"/>
      <c r="FA62" s="342"/>
      <c r="FB62" s="342"/>
      <c r="FC62" s="342"/>
      <c r="FD62" s="342"/>
      <c r="FE62" s="342"/>
      <c r="FF62" s="342"/>
      <c r="FG62" s="342"/>
      <c r="FH62" s="342"/>
      <c r="FI62" s="342"/>
      <c r="FJ62" s="342"/>
      <c r="FK62" s="342"/>
      <c r="FL62" s="342"/>
    </row>
    <row r="63" spans="1:200">
      <c r="DT63" s="359"/>
      <c r="DU63" s="359"/>
      <c r="DV63" s="438"/>
      <c r="DW63" s="438"/>
      <c r="DX63" s="438"/>
      <c r="DY63" s="438"/>
      <c r="DZ63" s="438"/>
      <c r="EA63" s="438"/>
      <c r="EB63" s="438"/>
      <c r="EC63" s="438"/>
      <c r="ED63" s="438"/>
      <c r="EE63" s="438"/>
      <c r="EF63" s="438"/>
      <c r="EG63" s="359"/>
      <c r="EH63" s="359"/>
      <c r="EI63" s="346"/>
      <c r="EY63" s="346"/>
      <c r="EZ63" s="342"/>
      <c r="FA63" s="342"/>
      <c r="FB63" s="342"/>
      <c r="FC63" s="342"/>
      <c r="FD63" s="342"/>
      <c r="FE63" s="342"/>
      <c r="FF63" s="342"/>
      <c r="FG63" s="342"/>
      <c r="FH63" s="342"/>
      <c r="FI63" s="342"/>
      <c r="FJ63" s="342"/>
      <c r="FK63" s="342"/>
      <c r="FL63" s="342"/>
    </row>
    <row r="64" spans="1:200">
      <c r="DT64" s="359"/>
      <c r="DU64" s="359"/>
      <c r="DV64" s="438"/>
      <c r="DW64" s="438"/>
      <c r="DX64" s="438"/>
      <c r="DY64" s="438"/>
      <c r="DZ64" s="438"/>
      <c r="EA64" s="438"/>
      <c r="EB64" s="438"/>
      <c r="EC64" s="438"/>
      <c r="ED64" s="438"/>
      <c r="EE64" s="438"/>
      <c r="EF64" s="438"/>
      <c r="EG64" s="359"/>
      <c r="EH64" s="359"/>
      <c r="EI64" s="346"/>
      <c r="EY64" s="346"/>
      <c r="EZ64" s="342"/>
      <c r="FA64" s="342"/>
      <c r="FB64" s="342"/>
      <c r="FC64" s="342"/>
      <c r="FD64" s="342"/>
      <c r="FE64" s="342"/>
      <c r="FF64" s="342"/>
      <c r="FG64" s="342"/>
      <c r="FH64" s="342"/>
      <c r="FI64" s="342"/>
      <c r="FJ64" s="342"/>
      <c r="FK64" s="342"/>
      <c r="FL64" s="342"/>
    </row>
    <row r="65" spans="124:168">
      <c r="DT65" s="1145"/>
      <c r="DU65" s="1145"/>
      <c r="DV65" s="438"/>
      <c r="DW65" s="438"/>
      <c r="DX65" s="438"/>
      <c r="DY65" s="438"/>
      <c r="DZ65" s="438"/>
      <c r="EA65" s="438"/>
      <c r="EB65" s="438"/>
      <c r="EC65" s="438"/>
      <c r="ED65" s="438"/>
      <c r="EE65" s="438"/>
      <c r="EF65" s="438"/>
      <c r="EG65" s="359"/>
      <c r="EH65" s="359"/>
      <c r="EI65" s="346"/>
      <c r="EY65" s="346"/>
      <c r="EZ65" s="342"/>
      <c r="FA65" s="342"/>
      <c r="FB65" s="342"/>
      <c r="FC65" s="342"/>
      <c r="FD65" s="342"/>
      <c r="FE65" s="342"/>
      <c r="FF65" s="342"/>
      <c r="FG65" s="342"/>
      <c r="FH65" s="342"/>
      <c r="FI65" s="342"/>
      <c r="FJ65" s="342"/>
      <c r="FK65" s="342"/>
      <c r="FL65" s="342"/>
    </row>
    <row r="66" spans="124:168">
      <c r="DT66" s="359"/>
      <c r="DU66" s="359"/>
      <c r="DV66" s="438"/>
      <c r="DW66" s="438"/>
      <c r="DX66" s="438"/>
      <c r="DY66" s="438"/>
      <c r="DZ66" s="438"/>
      <c r="EA66" s="438"/>
      <c r="EB66" s="438"/>
      <c r="EC66" s="438"/>
      <c r="ED66" s="438"/>
      <c r="EE66" s="438"/>
      <c r="EF66" s="438"/>
      <c r="EG66" s="359"/>
      <c r="EH66" s="359"/>
      <c r="EI66" s="346"/>
      <c r="EY66" s="346"/>
      <c r="EZ66" s="342"/>
      <c r="FA66" s="342"/>
      <c r="FB66" s="342"/>
      <c r="FC66" s="342"/>
      <c r="FD66" s="342"/>
      <c r="FE66" s="342"/>
      <c r="FF66" s="342"/>
      <c r="FG66" s="342"/>
      <c r="FH66" s="342"/>
      <c r="FI66" s="342"/>
      <c r="FJ66" s="342"/>
      <c r="FK66" s="342"/>
      <c r="FL66" s="342"/>
    </row>
    <row r="67" spans="124:168">
      <c r="DT67" s="1145"/>
      <c r="DU67" s="1145"/>
      <c r="DV67" s="438"/>
      <c r="DW67" s="438"/>
      <c r="DX67" s="438"/>
      <c r="DY67" s="438"/>
      <c r="DZ67" s="438"/>
      <c r="EA67" s="438"/>
      <c r="EB67" s="438"/>
      <c r="EC67" s="438"/>
      <c r="ED67" s="438"/>
      <c r="EE67" s="438"/>
      <c r="EF67" s="438"/>
      <c r="EG67" s="359"/>
      <c r="EH67" s="359"/>
      <c r="EI67" s="346"/>
      <c r="EY67" s="346"/>
      <c r="EZ67" s="342"/>
      <c r="FA67" s="342"/>
      <c r="FB67" s="342"/>
      <c r="FC67" s="342"/>
      <c r="FD67" s="342"/>
      <c r="FE67" s="342"/>
      <c r="FF67" s="342"/>
      <c r="FG67" s="342"/>
      <c r="FH67" s="342"/>
      <c r="FI67" s="342"/>
      <c r="FJ67" s="342"/>
      <c r="FK67" s="342"/>
      <c r="FL67" s="342"/>
    </row>
    <row r="68" spans="124:168">
      <c r="DT68" s="359"/>
      <c r="DU68" s="359"/>
      <c r="DV68" s="438"/>
      <c r="DW68" s="438"/>
      <c r="DX68" s="438"/>
      <c r="DY68" s="438"/>
      <c r="DZ68" s="438"/>
      <c r="EA68" s="438"/>
      <c r="EB68" s="438"/>
      <c r="EC68" s="438"/>
      <c r="ED68" s="438"/>
      <c r="EE68" s="438"/>
      <c r="EF68" s="438"/>
      <c r="EG68" s="359"/>
      <c r="EH68" s="359"/>
      <c r="EI68" s="346"/>
      <c r="EY68" s="346"/>
      <c r="EZ68" s="342"/>
      <c r="FA68" s="342"/>
      <c r="FB68" s="342"/>
      <c r="FC68" s="342"/>
      <c r="FD68" s="342"/>
      <c r="FE68" s="342"/>
      <c r="FF68" s="342"/>
      <c r="FG68" s="342"/>
      <c r="FH68" s="342"/>
      <c r="FI68" s="342"/>
      <c r="FJ68" s="342"/>
      <c r="FK68" s="342"/>
      <c r="FL68" s="342"/>
    </row>
    <row r="69" spans="124:168">
      <c r="DT69" s="359"/>
      <c r="DU69" s="359"/>
      <c r="DV69" s="438"/>
      <c r="DW69" s="438"/>
      <c r="DX69" s="438"/>
      <c r="DY69" s="438"/>
      <c r="DZ69" s="438"/>
      <c r="EA69" s="438"/>
      <c r="EB69" s="438"/>
      <c r="EC69" s="438"/>
      <c r="ED69" s="438"/>
      <c r="EE69" s="438"/>
      <c r="EF69" s="438"/>
      <c r="EG69" s="359"/>
      <c r="EH69" s="359"/>
      <c r="EI69" s="346"/>
      <c r="EY69" s="346"/>
      <c r="EZ69" s="342"/>
      <c r="FA69" s="342"/>
      <c r="FB69" s="342"/>
      <c r="FC69" s="342"/>
      <c r="FD69" s="342"/>
      <c r="FE69" s="342"/>
      <c r="FF69" s="342"/>
      <c r="FG69" s="342"/>
      <c r="FH69" s="342"/>
      <c r="FI69" s="342"/>
      <c r="FJ69" s="342"/>
      <c r="FK69" s="342"/>
      <c r="FL69" s="342"/>
    </row>
    <row r="70" spans="124:168">
      <c r="DT70" s="359"/>
      <c r="DU70" s="359"/>
      <c r="DV70" s="438"/>
      <c r="DW70" s="438"/>
      <c r="DX70" s="438"/>
      <c r="DY70" s="438"/>
      <c r="DZ70" s="438"/>
      <c r="EA70" s="438"/>
      <c r="EB70" s="438"/>
      <c r="EC70" s="438"/>
      <c r="ED70" s="438"/>
      <c r="EE70" s="438"/>
      <c r="EF70" s="438"/>
      <c r="EG70" s="359"/>
      <c r="EH70" s="359"/>
      <c r="EI70" s="346"/>
      <c r="EY70" s="346"/>
      <c r="EZ70" s="342"/>
      <c r="FA70" s="342"/>
      <c r="FB70" s="342"/>
      <c r="FC70" s="342"/>
      <c r="FD70" s="342"/>
      <c r="FE70" s="342"/>
      <c r="FF70" s="342"/>
      <c r="FG70" s="342"/>
      <c r="FH70" s="342"/>
      <c r="FI70" s="342"/>
      <c r="FJ70" s="342"/>
      <c r="FK70" s="342"/>
      <c r="FL70" s="342"/>
    </row>
    <row r="71" spans="124:168">
      <c r="DT71" s="1145"/>
      <c r="DU71" s="1145"/>
      <c r="DV71" s="438"/>
      <c r="DW71" s="438"/>
      <c r="DX71" s="438"/>
      <c r="DY71" s="438"/>
      <c r="DZ71" s="438"/>
      <c r="EA71" s="438"/>
      <c r="EB71" s="438"/>
      <c r="EC71" s="438"/>
      <c r="ED71" s="438"/>
      <c r="EE71" s="438"/>
      <c r="EF71" s="438"/>
      <c r="EG71" s="359"/>
      <c r="EH71" s="359"/>
      <c r="EY71" s="346"/>
      <c r="EZ71" s="342"/>
      <c r="FA71" s="342"/>
      <c r="FB71" s="342"/>
      <c r="FC71" s="342"/>
      <c r="FD71" s="342"/>
      <c r="FE71" s="342"/>
      <c r="FF71" s="342"/>
      <c r="FG71" s="342"/>
      <c r="FH71" s="342"/>
      <c r="FI71" s="342"/>
      <c r="FJ71" s="342"/>
      <c r="FK71" s="342"/>
      <c r="FL71" s="342"/>
    </row>
    <row r="72" spans="124:168">
      <c r="DT72" s="359"/>
      <c r="DU72" s="359"/>
      <c r="DV72" s="438"/>
      <c r="DW72" s="438"/>
      <c r="DX72" s="438"/>
      <c r="DY72" s="438"/>
      <c r="DZ72" s="438"/>
      <c r="EA72" s="438"/>
      <c r="EB72" s="438"/>
      <c r="EC72" s="438"/>
      <c r="ED72" s="438"/>
      <c r="EE72" s="438"/>
      <c r="EF72" s="438"/>
      <c r="EG72" s="359"/>
      <c r="EH72" s="359"/>
      <c r="EY72" s="346"/>
      <c r="EZ72" s="342"/>
      <c r="FA72" s="342"/>
      <c r="FB72" s="342"/>
      <c r="FC72" s="342"/>
      <c r="FD72" s="342"/>
      <c r="FE72" s="342"/>
      <c r="FF72" s="342"/>
      <c r="FG72" s="342"/>
      <c r="FH72" s="342"/>
      <c r="FI72" s="342"/>
      <c r="FJ72" s="342"/>
      <c r="FK72" s="342"/>
      <c r="FL72" s="342"/>
    </row>
    <row r="73" spans="124:168">
      <c r="DT73" s="359"/>
      <c r="DU73" s="359"/>
      <c r="DV73" s="438"/>
      <c r="DW73" s="438"/>
      <c r="DX73" s="438"/>
      <c r="DY73" s="438"/>
      <c r="DZ73" s="438"/>
      <c r="EA73" s="438"/>
      <c r="EB73" s="438"/>
      <c r="EC73" s="438"/>
      <c r="ED73" s="438"/>
      <c r="EE73" s="438"/>
      <c r="EF73" s="438"/>
      <c r="EG73" s="359"/>
      <c r="EH73" s="359"/>
      <c r="EY73" s="346"/>
      <c r="EZ73" s="342"/>
      <c r="FA73" s="342"/>
      <c r="FB73" s="342"/>
      <c r="FC73" s="342"/>
      <c r="FD73" s="342"/>
      <c r="FE73" s="342"/>
      <c r="FF73" s="342"/>
      <c r="FG73" s="342"/>
      <c r="FH73" s="342"/>
      <c r="FI73" s="342"/>
      <c r="FJ73" s="342"/>
      <c r="FK73" s="342"/>
      <c r="FL73" s="342"/>
    </row>
    <row r="74" spans="124:168">
      <c r="DT74" s="359"/>
      <c r="DU74" s="359"/>
      <c r="DV74" s="438"/>
      <c r="DW74" s="438"/>
      <c r="DX74" s="438"/>
      <c r="DY74" s="438"/>
      <c r="DZ74" s="438"/>
      <c r="EA74" s="438"/>
      <c r="EB74" s="438"/>
      <c r="EC74" s="438"/>
      <c r="ED74" s="438"/>
      <c r="EE74" s="438"/>
      <c r="EF74" s="438"/>
      <c r="EG74" s="359"/>
      <c r="EH74" s="359"/>
      <c r="EY74" s="346"/>
      <c r="EZ74" s="342"/>
      <c r="FA74" s="342"/>
      <c r="FB74" s="342"/>
      <c r="FC74" s="342"/>
      <c r="FD74" s="342"/>
      <c r="FE74" s="342"/>
      <c r="FF74" s="342"/>
      <c r="FG74" s="342"/>
      <c r="FH74" s="342"/>
      <c r="FI74" s="342"/>
      <c r="FJ74" s="342"/>
      <c r="FK74" s="342"/>
      <c r="FL74" s="342"/>
    </row>
    <row r="75" spans="124:168">
      <c r="DT75" s="359"/>
      <c r="DU75" s="359"/>
      <c r="DV75" s="438"/>
      <c r="DW75" s="438"/>
      <c r="DX75" s="438"/>
      <c r="DY75" s="438"/>
      <c r="DZ75" s="438"/>
      <c r="EA75" s="438"/>
      <c r="EB75" s="438"/>
      <c r="EC75" s="438"/>
      <c r="ED75" s="438"/>
      <c r="EE75" s="438"/>
      <c r="EF75" s="438"/>
      <c r="EG75" s="359"/>
      <c r="EH75" s="359"/>
      <c r="EY75" s="346"/>
      <c r="EZ75" s="342"/>
      <c r="FA75" s="342"/>
      <c r="FB75" s="342"/>
      <c r="FC75" s="342"/>
      <c r="FD75" s="342"/>
      <c r="FE75" s="342"/>
      <c r="FF75" s="342"/>
      <c r="FG75" s="342"/>
      <c r="FH75" s="342"/>
      <c r="FI75" s="342"/>
      <c r="FJ75" s="342"/>
      <c r="FK75" s="342"/>
      <c r="FL75" s="342"/>
    </row>
    <row r="76" spans="124:168">
      <c r="DT76" s="359"/>
      <c r="DU76" s="359"/>
      <c r="DV76" s="438"/>
      <c r="DW76" s="438"/>
      <c r="DX76" s="438"/>
      <c r="DY76" s="438"/>
      <c r="DZ76" s="438"/>
      <c r="EA76" s="438"/>
      <c r="EB76" s="438"/>
      <c r="EC76" s="438"/>
      <c r="ED76" s="438"/>
      <c r="EE76" s="438"/>
      <c r="EF76" s="438"/>
      <c r="EG76" s="359"/>
      <c r="EH76" s="359"/>
      <c r="EY76" s="346"/>
      <c r="EZ76" s="342"/>
      <c r="FA76" s="342"/>
      <c r="FB76" s="342"/>
      <c r="FC76" s="342"/>
      <c r="FD76" s="342"/>
      <c r="FE76" s="342"/>
      <c r="FF76" s="342"/>
      <c r="FG76" s="342"/>
      <c r="FH76" s="342"/>
      <c r="FI76" s="342"/>
      <c r="FJ76" s="342"/>
      <c r="FK76" s="342"/>
      <c r="FL76" s="342"/>
    </row>
    <row r="77" spans="124:168">
      <c r="DT77" s="359"/>
      <c r="DU77" s="359"/>
      <c r="DV77" s="438"/>
      <c r="DW77" s="438"/>
      <c r="DX77" s="438"/>
      <c r="DY77" s="438"/>
      <c r="DZ77" s="438"/>
      <c r="EA77" s="438"/>
      <c r="EB77" s="438"/>
      <c r="EC77" s="438"/>
      <c r="ED77" s="438"/>
      <c r="EE77" s="438"/>
      <c r="EF77" s="438"/>
      <c r="EG77" s="359"/>
      <c r="EH77" s="359"/>
      <c r="EY77" s="346"/>
      <c r="EZ77" s="342"/>
      <c r="FA77" s="342"/>
      <c r="FB77" s="342"/>
      <c r="FC77" s="342"/>
      <c r="FD77" s="342"/>
      <c r="FE77" s="342"/>
      <c r="FF77" s="342"/>
      <c r="FG77" s="342"/>
      <c r="FH77" s="342"/>
      <c r="FI77" s="342"/>
      <c r="FJ77" s="342"/>
      <c r="FK77" s="342"/>
      <c r="FL77" s="342"/>
    </row>
    <row r="78" spans="124:168">
      <c r="DT78" s="359"/>
      <c r="DU78" s="359"/>
      <c r="DV78" s="438"/>
      <c r="DW78" s="438"/>
      <c r="DX78" s="438"/>
      <c r="EY78" s="346"/>
      <c r="EZ78" s="342"/>
      <c r="FA78" s="342"/>
      <c r="FB78" s="342"/>
      <c r="FC78" s="342"/>
      <c r="FD78" s="342"/>
      <c r="FE78" s="342"/>
      <c r="FF78" s="342"/>
      <c r="FG78" s="342"/>
      <c r="FH78" s="342"/>
      <c r="FI78" s="342"/>
      <c r="FJ78" s="342"/>
      <c r="FK78" s="342"/>
      <c r="FL78" s="342"/>
    </row>
    <row r="79" spans="124:168">
      <c r="EY79" s="346"/>
      <c r="EZ79" s="342"/>
      <c r="FA79" s="342"/>
      <c r="FB79" s="342"/>
      <c r="FC79" s="342"/>
      <c r="FD79" s="342"/>
      <c r="FE79" s="342"/>
      <c r="FF79" s="342"/>
      <c r="FG79" s="342"/>
      <c r="FH79" s="342"/>
      <c r="FI79" s="342"/>
      <c r="FJ79" s="342"/>
      <c r="FK79" s="342"/>
      <c r="FL79" s="342"/>
    </row>
  </sheetData>
  <mergeCells count="35">
    <mergeCell ref="GF1:GR1"/>
    <mergeCell ref="FP1:GB1"/>
    <mergeCell ref="DT1:EF1"/>
    <mergeCell ref="EI1:EU1"/>
    <mergeCell ref="EY1:FL1"/>
    <mergeCell ref="A41:L41"/>
    <mergeCell ref="DT43:DU43"/>
    <mergeCell ref="DT52:DU52"/>
    <mergeCell ref="P17:Q17"/>
    <mergeCell ref="DT71:DU71"/>
    <mergeCell ref="DT67:DU67"/>
    <mergeCell ref="DT65:DU65"/>
    <mergeCell ref="P13:Q13"/>
    <mergeCell ref="P14:Q14"/>
    <mergeCell ref="P15:Q15"/>
    <mergeCell ref="P16:Q16"/>
    <mergeCell ref="DT27:DU27"/>
    <mergeCell ref="BL21:BN21"/>
    <mergeCell ref="BB2:BD2"/>
    <mergeCell ref="R2:S2"/>
    <mergeCell ref="AN2:AO2"/>
    <mergeCell ref="AL12:AM12"/>
    <mergeCell ref="AQ2:AS2"/>
    <mergeCell ref="AX2:AY2"/>
    <mergeCell ref="BM3:BN3"/>
    <mergeCell ref="BL12:BN12"/>
    <mergeCell ref="BL15:BN15"/>
    <mergeCell ref="BL20:BN20"/>
    <mergeCell ref="DT16:DU16"/>
    <mergeCell ref="DT19:DU19"/>
    <mergeCell ref="CN18:CO18"/>
    <mergeCell ref="CA18:CB18"/>
    <mergeCell ref="BT18:BU18"/>
    <mergeCell ref="DT13:DU13"/>
    <mergeCell ref="DT4:DU4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4">
    <tabColor indexed="53"/>
  </sheetPr>
  <dimension ref="A1:N17"/>
  <sheetViews>
    <sheetView rightToLeft="1" view="pageBreakPreview" zoomScale="60" zoomScaleNormal="100" workbookViewId="0">
      <selection activeCell="E12" sqref="E12"/>
    </sheetView>
  </sheetViews>
  <sheetFormatPr defaultColWidth="9.109375" defaultRowHeight="15"/>
  <cols>
    <col min="1" max="1" width="7.6640625" style="373" customWidth="1"/>
    <col min="2" max="2" width="14.6640625" style="373" customWidth="1"/>
    <col min="3" max="3" width="9.88671875" style="373" customWidth="1"/>
    <col min="4" max="4" width="15.33203125" style="373" customWidth="1"/>
    <col min="5" max="5" width="9.109375" style="373"/>
    <col min="6" max="6" width="14.6640625" style="373" customWidth="1"/>
    <col min="7" max="16384" width="9.109375" style="373"/>
  </cols>
  <sheetData>
    <row r="1" spans="1:14">
      <c r="A1" s="1150"/>
      <c r="B1" s="1150"/>
      <c r="C1" s="1150"/>
      <c r="D1" s="1150"/>
      <c r="E1" s="1150"/>
      <c r="F1" s="1150"/>
      <c r="H1" s="1150" t="s">
        <v>455</v>
      </c>
      <c r="I1" s="1150"/>
      <c r="J1" s="1150"/>
      <c r="K1" s="1150"/>
      <c r="L1" s="1150"/>
      <c r="M1" s="1150"/>
      <c r="N1" s="1150"/>
    </row>
    <row r="2" spans="1:14" ht="15.6" thickBot="1"/>
    <row r="3" spans="1:14" ht="15.6" thickBot="1">
      <c r="A3" s="460" t="s">
        <v>453</v>
      </c>
      <c r="B3" s="460" t="s">
        <v>454</v>
      </c>
      <c r="C3" s="460" t="s">
        <v>453</v>
      </c>
      <c r="D3" s="460" t="s">
        <v>271</v>
      </c>
      <c r="E3" s="460" t="s">
        <v>453</v>
      </c>
      <c r="F3" s="460" t="s">
        <v>456</v>
      </c>
      <c r="H3" s="434" t="s">
        <v>453</v>
      </c>
      <c r="I3" s="435"/>
      <c r="J3" s="435" t="s">
        <v>454</v>
      </c>
      <c r="K3" s="435"/>
      <c r="L3" s="435" t="s">
        <v>271</v>
      </c>
      <c r="M3" s="435"/>
      <c r="N3" s="436" t="s">
        <v>456</v>
      </c>
    </row>
    <row r="4" spans="1:14">
      <c r="A4" s="463">
        <f>IF(A5=0,A6,IF(A6=0,A7,IF(A7=0,A8,A5)))</f>
        <v>0</v>
      </c>
      <c r="B4" s="463" t="e">
        <f>ex!B46</f>
        <v>#NUM!</v>
      </c>
      <c r="C4" s="463">
        <v>0</v>
      </c>
      <c r="D4" s="463" t="e">
        <f>ex!B46</f>
        <v>#NUM!</v>
      </c>
      <c r="E4" s="463">
        <v>0</v>
      </c>
      <c r="F4" s="463" t="e">
        <f>ex!B46</f>
        <v>#NUM!</v>
      </c>
      <c r="G4" s="463"/>
      <c r="H4" s="437">
        <v>-0.2</v>
      </c>
      <c r="I4" s="463"/>
      <c r="J4" s="463">
        <v>0.53100000000000003</v>
      </c>
      <c r="K4" s="463"/>
      <c r="L4" s="463">
        <v>0.59199999999999997</v>
      </c>
      <c r="M4" s="463"/>
      <c r="N4" s="463">
        <v>0.34100000000000003</v>
      </c>
    </row>
    <row r="5" spans="1:14">
      <c r="A5" s="463">
        <v>0</v>
      </c>
      <c r="B5" s="463"/>
      <c r="C5" s="463"/>
      <c r="D5" s="463"/>
      <c r="E5" s="463"/>
      <c r="F5" s="463"/>
      <c r="G5" s="463"/>
      <c r="H5" s="437">
        <v>-0.15</v>
      </c>
      <c r="I5" s="463"/>
      <c r="J5" s="463">
        <v>0.52</v>
      </c>
      <c r="K5" s="463"/>
      <c r="L5" s="463">
        <v>0.56100000000000005</v>
      </c>
      <c r="M5" s="463"/>
      <c r="N5" s="463">
        <v>0.378</v>
      </c>
    </row>
    <row r="6" spans="1:14">
      <c r="A6" s="463">
        <v>0</v>
      </c>
      <c r="B6" s="463"/>
      <c r="C6" s="463"/>
      <c r="D6" s="463"/>
      <c r="E6" s="463"/>
      <c r="F6" s="463"/>
      <c r="G6" s="463"/>
      <c r="H6" s="437">
        <v>-0.1</v>
      </c>
      <c r="I6" s="463"/>
      <c r="J6" s="463">
        <v>0.50900000000000001</v>
      </c>
      <c r="K6" s="463"/>
      <c r="L6" s="463">
        <v>0.53300000000000003</v>
      </c>
      <c r="M6" s="463"/>
      <c r="N6" s="463">
        <v>0.41399999999999998</v>
      </c>
    </row>
    <row r="7" spans="1:14">
      <c r="A7" s="463">
        <v>0</v>
      </c>
      <c r="B7" s="463"/>
      <c r="C7" s="463"/>
      <c r="D7" s="463"/>
      <c r="E7" s="463"/>
      <c r="F7" s="463"/>
      <c r="G7" s="463"/>
      <c r="H7" s="437">
        <v>-0.05</v>
      </c>
      <c r="I7" s="463"/>
      <c r="J7" s="463">
        <v>0.497</v>
      </c>
      <c r="K7" s="463"/>
      <c r="L7" s="463">
        <v>0.50700000000000001</v>
      </c>
      <c r="M7" s="463"/>
      <c r="N7" s="463">
        <v>0.44900000000000001</v>
      </c>
    </row>
    <row r="8" spans="1:14">
      <c r="A8" s="463">
        <v>0</v>
      </c>
      <c r="B8" s="463"/>
      <c r="C8" s="463"/>
      <c r="D8" s="463"/>
      <c r="E8" s="463"/>
      <c r="F8" s="463"/>
      <c r="G8" s="463"/>
      <c r="H8" s="437">
        <v>0</v>
      </c>
      <c r="I8" s="463"/>
      <c r="J8" s="463" t="e">
        <f>ex!B46</f>
        <v>#NUM!</v>
      </c>
      <c r="K8" s="463"/>
      <c r="L8" s="463" t="e">
        <f>ex!B46</f>
        <v>#NUM!</v>
      </c>
      <c r="M8" s="463"/>
      <c r="N8" s="463" t="e">
        <f>ex!B46</f>
        <v>#NUM!</v>
      </c>
    </row>
    <row r="9" spans="1:14">
      <c r="A9" s="463"/>
      <c r="B9" s="463"/>
      <c r="C9" s="463"/>
      <c r="D9" s="463"/>
      <c r="E9" s="463"/>
      <c r="F9" s="463"/>
      <c r="G9" s="463"/>
      <c r="H9" s="437">
        <v>0.05</v>
      </c>
      <c r="I9" s="463"/>
      <c r="J9" s="463">
        <v>0.47399999999999998</v>
      </c>
      <c r="K9" s="463"/>
      <c r="L9" s="463">
        <v>0.46300000000000002</v>
      </c>
      <c r="M9" s="463"/>
      <c r="N9" s="463">
        <v>0.51800000000000002</v>
      </c>
    </row>
    <row r="10" spans="1:14">
      <c r="A10" s="463"/>
      <c r="B10" s="463"/>
      <c r="C10" s="463"/>
      <c r="D10" s="463"/>
      <c r="E10" s="463"/>
      <c r="F10" s="463"/>
      <c r="G10" s="463"/>
      <c r="H10" s="437">
        <v>0.1</v>
      </c>
      <c r="I10" s="463"/>
      <c r="J10" s="463">
        <v>0.46300000000000002</v>
      </c>
      <c r="K10" s="463"/>
      <c r="L10" s="463">
        <v>0.443</v>
      </c>
      <c r="M10" s="463"/>
      <c r="N10" s="463">
        <v>0.55100000000000005</v>
      </c>
    </row>
    <row r="11" spans="1:14">
      <c r="A11" s="463"/>
      <c r="B11" s="463"/>
      <c r="C11" s="463"/>
      <c r="D11" s="463"/>
      <c r="E11" s="463"/>
      <c r="F11" s="463"/>
      <c r="G11" s="463"/>
      <c r="H11" s="437">
        <v>0.15</v>
      </c>
      <c r="I11" s="463"/>
      <c r="J11" s="463">
        <v>0.45100000000000001</v>
      </c>
      <c r="K11" s="463"/>
      <c r="L11" s="463">
        <v>0.42499999999999999</v>
      </c>
      <c r="M11" s="463"/>
      <c r="N11" s="463">
        <v>0.58399999999999996</v>
      </c>
    </row>
    <row r="12" spans="1:14">
      <c r="A12" s="463"/>
      <c r="B12" s="463"/>
      <c r="C12" s="463"/>
      <c r="D12" s="463"/>
      <c r="E12" s="463"/>
      <c r="F12" s="463"/>
      <c r="G12" s="463"/>
      <c r="H12" s="437">
        <v>0.2</v>
      </c>
      <c r="I12" s="463"/>
      <c r="J12" s="463">
        <v>0.44</v>
      </c>
      <c r="K12" s="463"/>
      <c r="L12" s="463">
        <v>0.40799999999999997</v>
      </c>
      <c r="M12" s="463"/>
      <c r="N12" s="463">
        <v>0.61699999999999999</v>
      </c>
    </row>
    <row r="13" spans="1:14">
      <c r="A13" s="437"/>
    </row>
    <row r="14" spans="1:14">
      <c r="A14" s="437"/>
    </row>
    <row r="15" spans="1:14">
      <c r="A15" s="437"/>
    </row>
    <row r="16" spans="1:14">
      <c r="A16" s="437"/>
    </row>
    <row r="17" spans="1:1">
      <c r="A17" s="437"/>
    </row>
  </sheetData>
  <mergeCells count="2">
    <mergeCell ref="A1:F1"/>
    <mergeCell ref="H1:N1"/>
  </mergeCells>
  <phoneticPr fontId="5" type="noConversion"/>
  <pageMargins left="0.75" right="0.75" top="1" bottom="1" header="0.5" footer="0.5"/>
  <pageSetup paperSize="9" scale="60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8"/>
  <dimension ref="A1:M26"/>
  <sheetViews>
    <sheetView rightToLeft="1" view="pageBreakPreview" zoomScale="60" zoomScaleNormal="55" workbookViewId="0">
      <pane xSplit="1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J12" sqref="J12"/>
    </sheetView>
  </sheetViews>
  <sheetFormatPr defaultColWidth="9.109375" defaultRowHeight="15"/>
  <cols>
    <col min="1" max="1" width="46.44140625" style="346" customWidth="1"/>
    <col min="2" max="2" width="15" style="342" bestFit="1" customWidth="1"/>
    <col min="3" max="3" width="14.6640625" style="342" bestFit="1" customWidth="1"/>
    <col min="4" max="10" width="16.33203125" style="342" bestFit="1" customWidth="1"/>
    <col min="11" max="13" width="18.44140625" style="342" bestFit="1" customWidth="1"/>
    <col min="14" max="16384" width="9.109375" style="342"/>
  </cols>
  <sheetData>
    <row r="1" spans="1:13" ht="25.5" customHeight="1" thickBot="1">
      <c r="A1" s="551" t="s">
        <v>439</v>
      </c>
      <c r="B1" s="559" t="str">
        <f>'جریان نقدینگی'!B2</f>
        <v>سال ساخت</v>
      </c>
      <c r="C1" s="559" t="str">
        <f>'جریان نقدینگی'!C2</f>
        <v>سال جاری</v>
      </c>
      <c r="D1" s="559" t="str">
        <f>'جریان نقدینگی'!D2</f>
        <v xml:space="preserve">سال اول </v>
      </c>
      <c r="E1" s="559" t="str">
        <f>'جریان نقدینگی'!E2</f>
        <v>سال دوم</v>
      </c>
      <c r="F1" s="559" t="str">
        <f>'جریان نقدینگی'!F2</f>
        <v>سال سوم</v>
      </c>
      <c r="G1" s="559" t="str">
        <f>'جریان نقدینگی'!G2</f>
        <v>سال چهارم</v>
      </c>
      <c r="H1" s="559" t="str">
        <f>'جریان نقدینگی'!H2</f>
        <v>سال پنجم</v>
      </c>
      <c r="I1" s="559" t="str">
        <f>'جریان نقدینگی'!I2</f>
        <v>سال ششم</v>
      </c>
      <c r="J1" s="559" t="str">
        <f>'جریان نقدینگی'!J2</f>
        <v>سال هفتم</v>
      </c>
      <c r="K1" s="559" t="str">
        <f>'جریان نقدینگی'!K2</f>
        <v>سال هشتم</v>
      </c>
      <c r="L1" s="559" t="str">
        <f>'جریان نقدینگی'!L2</f>
        <v>سال نهم</v>
      </c>
      <c r="M1" s="560" t="str">
        <f>'جریان نقدینگی'!M2</f>
        <v>سال دهم</v>
      </c>
    </row>
    <row r="2" spans="1:13" s="284" customFormat="1" ht="21.75" customHeight="1" thickBot="1">
      <c r="A2" s="398" t="s">
        <v>437</v>
      </c>
      <c r="B2" s="399">
        <f>B3+B11</f>
        <v>1470846409.0019569</v>
      </c>
      <c r="C2" s="399">
        <f>C3+C11</f>
        <v>1252337294.9282773</v>
      </c>
      <c r="D2" s="399">
        <f t="shared" ref="D2:M2" si="0">D3+D11</f>
        <v>1177927345.0675726</v>
      </c>
      <c r="E2" s="399">
        <f t="shared" si="0"/>
        <v>1253517395.2068682</v>
      </c>
      <c r="F2" s="399">
        <f t="shared" si="0"/>
        <v>1579107445.3461635</v>
      </c>
      <c r="G2" s="399">
        <f t="shared" si="0"/>
        <v>1054697507.4854591</v>
      </c>
      <c r="H2" s="399">
        <f t="shared" si="0"/>
        <v>991178076.8654592</v>
      </c>
      <c r="I2" s="399">
        <f t="shared" si="0"/>
        <v>927658646.24545932</v>
      </c>
      <c r="J2" s="399">
        <f t="shared" si="0"/>
        <v>864139215.62545943</v>
      </c>
      <c r="K2" s="399">
        <f t="shared" si="0"/>
        <v>800619785.00545955</v>
      </c>
      <c r="L2" s="399">
        <f t="shared" si="0"/>
        <v>737100354.38545966</v>
      </c>
      <c r="M2" s="400">
        <f t="shared" si="0"/>
        <v>674630773.76545978</v>
      </c>
    </row>
    <row r="3" spans="1:13" s="343" customFormat="1" ht="16.2" thickBot="1">
      <c r="A3" s="347" t="s">
        <v>440</v>
      </c>
      <c r="B3" s="344">
        <f>SUM(B4:B10)</f>
        <v>0</v>
      </c>
      <c r="C3" s="344">
        <f>SUM(C4:C10)</f>
        <v>248597243.16702482</v>
      </c>
      <c r="D3" s="344">
        <f>SUM(D4:D10)</f>
        <v>641293650.54702485</v>
      </c>
      <c r="E3" s="344">
        <f t="shared" ref="E3:M3" si="1">SUM(E4:E10)</f>
        <v>1183990057.9270248</v>
      </c>
      <c r="F3" s="344">
        <f t="shared" si="1"/>
        <v>1976686465.3070247</v>
      </c>
      <c r="G3" s="344">
        <f t="shared" si="1"/>
        <v>1919382884.6870248</v>
      </c>
      <c r="H3" s="344">
        <f>SUM(H4:H10)</f>
        <v>1862079304.0670249</v>
      </c>
      <c r="I3" s="344">
        <f t="shared" si="1"/>
        <v>1804775723.4470251</v>
      </c>
      <c r="J3" s="344">
        <f t="shared" si="1"/>
        <v>1747472142.8270252</v>
      </c>
      <c r="K3" s="344">
        <f t="shared" si="1"/>
        <v>1690168562.2070253</v>
      </c>
      <c r="L3" s="344">
        <f t="shared" si="1"/>
        <v>1632864981.5870254</v>
      </c>
      <c r="M3" s="345">
        <f t="shared" si="1"/>
        <v>1575561400.9670255</v>
      </c>
    </row>
    <row r="4" spans="1:13">
      <c r="A4" s="552">
        <f>'سرمايه در گردش'!B14</f>
        <v>0</v>
      </c>
      <c r="B4" s="342">
        <v>0</v>
      </c>
      <c r="C4" s="342">
        <f>'سرمايه در گردش'!C14</f>
        <v>0</v>
      </c>
      <c r="D4" s="342">
        <f>'سرمايه در گردش'!D14</f>
        <v>0</v>
      </c>
      <c r="E4" s="342">
        <f>'سرمايه در گردش'!E14</f>
        <v>0</v>
      </c>
      <c r="F4" s="342">
        <f>'سرمايه در گردش'!F14</f>
        <v>0</v>
      </c>
      <c r="G4" s="342">
        <f>'سرمايه در گردش'!G14</f>
        <v>0</v>
      </c>
      <c r="H4" s="342">
        <f>'سرمايه در گردش'!H14</f>
        <v>0</v>
      </c>
      <c r="I4" s="342">
        <f>'سرمايه در گردش'!I14</f>
        <v>0</v>
      </c>
      <c r="J4" s="342">
        <f>'سرمايه در گردش'!J14</f>
        <v>0</v>
      </c>
      <c r="K4" s="342">
        <f>'سرمايه در گردش'!K14</f>
        <v>0</v>
      </c>
      <c r="L4" s="342">
        <f>'سرمايه در گردش'!L14</f>
        <v>0</v>
      </c>
      <c r="M4" s="553">
        <f>'سرمايه در گردش'!M14</f>
        <v>0</v>
      </c>
    </row>
    <row r="5" spans="1:13">
      <c r="A5" s="552" t="str">
        <f>'سرمايه در گردش'!B15</f>
        <v>مواد اوليه</v>
      </c>
      <c r="B5" s="342">
        <v>0</v>
      </c>
      <c r="C5" s="342">
        <f>'سرمايه در گردش'!C15</f>
        <v>0</v>
      </c>
      <c r="D5" s="342">
        <f>'سرمايه در گردش'!D15</f>
        <v>0</v>
      </c>
      <c r="E5" s="342">
        <f>'سرمايه در گردش'!E15</f>
        <v>0</v>
      </c>
      <c r="F5" s="342">
        <f>'سرمايه در گردش'!F15</f>
        <v>0</v>
      </c>
      <c r="G5" s="342">
        <f>'سرمايه در گردش'!G15</f>
        <v>0</v>
      </c>
      <c r="H5" s="342">
        <f>'سرمايه در گردش'!H15</f>
        <v>0</v>
      </c>
      <c r="I5" s="342">
        <f>'سرمايه در گردش'!I15</f>
        <v>0</v>
      </c>
      <c r="J5" s="342">
        <f>'سرمايه در گردش'!J15</f>
        <v>0</v>
      </c>
      <c r="K5" s="342">
        <f>'سرمايه در گردش'!K15</f>
        <v>0</v>
      </c>
      <c r="L5" s="342">
        <f>'سرمايه در گردش'!L15</f>
        <v>0</v>
      </c>
      <c r="M5" s="553">
        <f>'سرمايه در گردش'!M15</f>
        <v>0</v>
      </c>
    </row>
    <row r="6" spans="1:13">
      <c r="A6" s="552" t="str">
        <f>'سرمايه در گردش'!B16</f>
        <v xml:space="preserve">موجودی کالای ساخته شده </v>
      </c>
      <c r="B6" s="342">
        <v>0</v>
      </c>
      <c r="C6" s="342">
        <f>'سرمايه در گردش'!C16</f>
        <v>2470799.375</v>
      </c>
      <c r="D6" s="342">
        <f>'سرمايه در گردش'!D16</f>
        <v>2470799.375</v>
      </c>
      <c r="E6" s="342">
        <f>'سرمايه در گردش'!E16</f>
        <v>2470799.375</v>
      </c>
      <c r="F6" s="342">
        <f>'سرمايه در گردش'!F16</f>
        <v>2470799.375</v>
      </c>
      <c r="G6" s="342">
        <f>'سرمايه در گردش'!G16</f>
        <v>2470799.375</v>
      </c>
      <c r="H6" s="342">
        <f>'سرمايه در گردش'!H16</f>
        <v>2470799.375</v>
      </c>
      <c r="I6" s="342">
        <f>'سرمايه در گردش'!I16</f>
        <v>2470799.375</v>
      </c>
      <c r="J6" s="342">
        <f>'سرمايه در گردش'!J16</f>
        <v>2470799.375</v>
      </c>
      <c r="K6" s="342">
        <f>'سرمايه در گردش'!K16</f>
        <v>2470799.375</v>
      </c>
      <c r="L6" s="342">
        <f>'سرمايه در گردش'!L16</f>
        <v>2470799.375</v>
      </c>
      <c r="M6" s="553">
        <f>'سرمايه در گردش'!M16</f>
        <v>2470799.375</v>
      </c>
    </row>
    <row r="7" spans="1:13">
      <c r="A7" s="552" t="str">
        <f>'سرمايه در گردش'!B17</f>
        <v>مطالبات</v>
      </c>
      <c r="B7" s="342">
        <v>0</v>
      </c>
      <c r="C7" s="342">
        <f>'سرمايه در گردش'!C17</f>
        <v>4775299.3850000007</v>
      </c>
      <c r="D7" s="342">
        <f>'سرمايه در گردش'!D17</f>
        <v>4775299.3850000007</v>
      </c>
      <c r="E7" s="342">
        <f>'سرمايه در گردش'!E17</f>
        <v>4775299.3850000007</v>
      </c>
      <c r="F7" s="342">
        <f>'سرمايه در گردش'!F17</f>
        <v>4775299.3850000007</v>
      </c>
      <c r="G7" s="342">
        <f>'سرمايه در گردش'!G17</f>
        <v>4775299.3850000007</v>
      </c>
      <c r="H7" s="342">
        <f>'سرمايه در گردش'!H17</f>
        <v>4775299.3849999998</v>
      </c>
      <c r="I7" s="342">
        <f>'سرمايه در گردش'!I17</f>
        <v>4775299.3849999998</v>
      </c>
      <c r="J7" s="342">
        <f>'سرمايه در گردش'!J17</f>
        <v>4775299.3849999998</v>
      </c>
      <c r="K7" s="342">
        <f>'سرمايه در گردش'!K17</f>
        <v>4775299.3849999998</v>
      </c>
      <c r="L7" s="342">
        <f>'سرمايه در گردش'!L17</f>
        <v>4775299.3849999998</v>
      </c>
      <c r="M7" s="553">
        <f>'سرمايه در گردش'!M17</f>
        <v>4775299.3849999998</v>
      </c>
    </row>
    <row r="8" spans="1:13">
      <c r="A8" s="552" t="str">
        <f>'سرمايه در گردش'!B18</f>
        <v>تنخواه گردان</v>
      </c>
      <c r="B8" s="342">
        <v>0</v>
      </c>
      <c r="C8" s="342">
        <f>'سرمايه در گردش'!C18</f>
        <v>0</v>
      </c>
      <c r="D8" s="342">
        <f>'سرمايه در گردش'!D18</f>
        <v>0</v>
      </c>
      <c r="E8" s="342">
        <f>'سرمايه در گردش'!E18</f>
        <v>0</v>
      </c>
      <c r="F8" s="342">
        <f>'سرمايه در گردش'!F18</f>
        <v>0</v>
      </c>
      <c r="G8" s="342">
        <f>'سرمايه در گردش'!G18</f>
        <v>0</v>
      </c>
      <c r="H8" s="342">
        <f>'سرمايه در گردش'!H18</f>
        <v>0</v>
      </c>
      <c r="I8" s="342">
        <f>'سرمايه در گردش'!I18</f>
        <v>0</v>
      </c>
      <c r="J8" s="342">
        <f>'سرمايه در گردش'!J18</f>
        <v>0</v>
      </c>
      <c r="K8" s="342">
        <f>'سرمايه در گردش'!K18</f>
        <v>0</v>
      </c>
      <c r="L8" s="342">
        <f>'سرمايه در گردش'!L18</f>
        <v>0</v>
      </c>
      <c r="M8" s="553">
        <f>'سرمايه در گردش'!M18</f>
        <v>0</v>
      </c>
    </row>
    <row r="9" spans="1:13">
      <c r="A9" s="552" t="str">
        <f>'سرمايه در گردش'!B19</f>
        <v>موجودی کالای در جریال ساخت</v>
      </c>
      <c r="B9" s="342">
        <v>0</v>
      </c>
      <c r="C9" s="342">
        <f>'سرمايه در گردش'!C19</f>
        <v>0</v>
      </c>
      <c r="D9" s="342">
        <f>'سرمايه در گردش'!D19</f>
        <v>0</v>
      </c>
      <c r="E9" s="342">
        <f>'سرمايه در گردش'!E19</f>
        <v>0</v>
      </c>
      <c r="F9" s="342">
        <f>'سرمايه در گردش'!F19</f>
        <v>0</v>
      </c>
      <c r="G9" s="342">
        <f>'سرمايه در گردش'!G19</f>
        <v>0</v>
      </c>
      <c r="H9" s="342">
        <f>'سرمايه در گردش'!H19</f>
        <v>0</v>
      </c>
      <c r="I9" s="342">
        <f>'سرمايه در گردش'!I19</f>
        <v>0</v>
      </c>
      <c r="J9" s="342">
        <f>'سرمايه در گردش'!J19</f>
        <v>0</v>
      </c>
      <c r="K9" s="342">
        <f>'سرمايه در گردش'!K19</f>
        <v>0</v>
      </c>
      <c r="L9" s="342">
        <f>'سرمايه در گردش'!L19</f>
        <v>0</v>
      </c>
      <c r="M9" s="553">
        <f>'سرمايه در گردش'!M19</f>
        <v>0</v>
      </c>
    </row>
    <row r="10" spans="1:13" ht="15.6" thickBot="1">
      <c r="A10" s="552" t="str">
        <f>'ترازنامه توسعه'!B11</f>
        <v>مازاد (كسري ) منابع</v>
      </c>
      <c r="B10" s="342">
        <f>'جریان نقدینگی'!B21</f>
        <v>0</v>
      </c>
      <c r="C10" s="342">
        <f>'جریان نقدینگی'!C21</f>
        <v>241351144.40702483</v>
      </c>
      <c r="D10" s="342">
        <f>'جریان نقدینگی'!D21</f>
        <v>634047551.78702486</v>
      </c>
      <c r="E10" s="342">
        <f>'جریان نقدینگی'!E21</f>
        <v>1176743959.1670249</v>
      </c>
      <c r="F10" s="342">
        <f>'جریان نقدینگی'!F21</f>
        <v>1969440366.5470247</v>
      </c>
      <c r="G10" s="342">
        <f>'جریان نقدینگی'!G21</f>
        <v>1912136785.9270248</v>
      </c>
      <c r="H10" s="342">
        <f>'جریان نقدینگی'!H21</f>
        <v>1854833205.307025</v>
      </c>
      <c r="I10" s="342">
        <f>'جریان نقدینگی'!I21</f>
        <v>1797529624.6870251</v>
      </c>
      <c r="J10" s="342">
        <f>'جریان نقدینگی'!J21</f>
        <v>1740226044.0670252</v>
      </c>
      <c r="K10" s="342">
        <f>'جریان نقدینگی'!K21</f>
        <v>1682922463.4470253</v>
      </c>
      <c r="L10" s="342">
        <f>'جریان نقدینگی'!L21</f>
        <v>1625618882.8270254</v>
      </c>
      <c r="M10" s="553">
        <f>'جریان نقدینگی'!M21</f>
        <v>1568315302.2070255</v>
      </c>
    </row>
    <row r="11" spans="1:13" s="343" customFormat="1" ht="16.2" thickBot="1">
      <c r="A11" s="347" t="s">
        <v>441</v>
      </c>
      <c r="B11" s="344">
        <f>SUM(B12:B13)-B14</f>
        <v>1470846409.0019569</v>
      </c>
      <c r="C11" s="344">
        <f>SUM(C12:C13)-C14</f>
        <v>1003740051.7612524</v>
      </c>
      <c r="D11" s="344">
        <f t="shared" ref="D11:M11" si="2">SUM(D12:D13)-D14</f>
        <v>536633694.52054787</v>
      </c>
      <c r="E11" s="344">
        <f t="shared" si="2"/>
        <v>69527337.27984333</v>
      </c>
      <c r="F11" s="344">
        <f t="shared" si="2"/>
        <v>-397579019.96086121</v>
      </c>
      <c r="G11" s="344">
        <f t="shared" si="2"/>
        <v>-864685377.20156574</v>
      </c>
      <c r="H11" s="344">
        <f t="shared" si="2"/>
        <v>-870901227.20156574</v>
      </c>
      <c r="I11" s="344">
        <f t="shared" si="2"/>
        <v>-877117077.20156574</v>
      </c>
      <c r="J11" s="344">
        <f t="shared" si="2"/>
        <v>-883332927.20156574</v>
      </c>
      <c r="K11" s="344">
        <f t="shared" si="2"/>
        <v>-889548777.20156574</v>
      </c>
      <c r="L11" s="344">
        <f t="shared" si="2"/>
        <v>-895764627.20156574</v>
      </c>
      <c r="M11" s="345">
        <f t="shared" si="2"/>
        <v>-900930627.20156574</v>
      </c>
    </row>
    <row r="12" spans="1:13">
      <c r="A12" s="552" t="s">
        <v>444</v>
      </c>
      <c r="B12" s="342">
        <f>'سرمايه‌‌گذاري طرح'!$F$13</f>
        <v>195845000</v>
      </c>
      <c r="C12" s="342">
        <f>'سرمايه‌‌گذاري طرح'!$F$13</f>
        <v>195845000</v>
      </c>
      <c r="D12" s="342">
        <f>'سرمايه‌‌گذاري طرح'!$F$13</f>
        <v>195845000</v>
      </c>
      <c r="E12" s="342">
        <f>'سرمايه‌‌گذاري طرح'!$F$13</f>
        <v>195845000</v>
      </c>
      <c r="F12" s="342">
        <f>'سرمايه‌‌گذاري طرح'!$F$13</f>
        <v>195845000</v>
      </c>
      <c r="G12" s="342">
        <f>'سرمايه‌‌گذاري طرح'!$F$13</f>
        <v>195845000</v>
      </c>
      <c r="H12" s="342">
        <f>'سرمايه‌‌گذاري طرح'!$F$13</f>
        <v>195845000</v>
      </c>
      <c r="I12" s="342">
        <f>'سرمايه‌‌گذاري طرح'!$F$13</f>
        <v>195845000</v>
      </c>
      <c r="J12" s="342">
        <f>'سرمايه‌‌گذاري طرح'!$F$13</f>
        <v>195845000</v>
      </c>
      <c r="K12" s="342">
        <f>'سرمايه‌‌گذاري طرح'!$F$13</f>
        <v>195845000</v>
      </c>
      <c r="L12" s="342">
        <f>'سرمايه‌‌گذاري طرح'!$F$13</f>
        <v>195845000</v>
      </c>
      <c r="M12" s="553">
        <f>'سرمايه‌‌گذاري طرح'!$F$13</f>
        <v>195845000</v>
      </c>
    </row>
    <row r="13" spans="1:13">
      <c r="A13" s="552" t="s">
        <v>442</v>
      </c>
      <c r="B13" s="342">
        <f>'سرمايه‌‌گذاري طرح'!$F$14</f>
        <v>1275001409.0019569</v>
      </c>
      <c r="C13" s="342">
        <f>'سرمايه‌‌گذاري طرح'!$F$14</f>
        <v>1275001409.0019569</v>
      </c>
      <c r="D13" s="342">
        <f>'سرمايه‌‌گذاري طرح'!$F$14</f>
        <v>1275001409.0019569</v>
      </c>
      <c r="E13" s="342">
        <f>'سرمايه‌‌گذاري طرح'!$F$14</f>
        <v>1275001409.0019569</v>
      </c>
      <c r="F13" s="342">
        <f>'سرمايه‌‌گذاري طرح'!$F$14</f>
        <v>1275001409.0019569</v>
      </c>
      <c r="G13" s="342">
        <f>'سرمايه‌‌گذاري طرح'!$F$14</f>
        <v>1275001409.0019569</v>
      </c>
      <c r="H13" s="342">
        <f>'سرمايه‌‌گذاري طرح'!$F$14</f>
        <v>1275001409.0019569</v>
      </c>
      <c r="I13" s="342">
        <f>'سرمايه‌‌گذاري طرح'!$F$14</f>
        <v>1275001409.0019569</v>
      </c>
      <c r="J13" s="342">
        <f>'سرمايه‌‌گذاري طرح'!$F$14</f>
        <v>1275001409.0019569</v>
      </c>
      <c r="K13" s="342">
        <f>'سرمايه‌‌گذاري طرح'!$F$14</f>
        <v>1275001409.0019569</v>
      </c>
      <c r="L13" s="342">
        <f>'سرمايه‌‌گذاري طرح'!$F$14</f>
        <v>1275001409.0019569</v>
      </c>
      <c r="M13" s="553">
        <f>'سرمايه‌‌گذاري طرح'!$F$14</f>
        <v>1275001409.0019569</v>
      </c>
    </row>
    <row r="14" spans="1:13" ht="15.6" thickBot="1">
      <c r="A14" s="552" t="s">
        <v>443</v>
      </c>
      <c r="B14" s="342">
        <v>0</v>
      </c>
      <c r="C14" s="342">
        <f>استهلاك!C30+استهلاك!C29</f>
        <v>467106357.24070454</v>
      </c>
      <c r="D14" s="342">
        <f>C14+استهلاك!D29+استهلاك!D30</f>
        <v>934212714.48140907</v>
      </c>
      <c r="E14" s="342">
        <f>D14+استهلاك!E29+استهلاك!E30</f>
        <v>1401319071.7221136</v>
      </c>
      <c r="F14" s="342">
        <f>E14+استهلاك!F29+استهلاك!F30</f>
        <v>1868425428.9628181</v>
      </c>
      <c r="G14" s="342">
        <f>F14+استهلاك!G29+استهلاك!G30</f>
        <v>2335531786.2035227</v>
      </c>
      <c r="H14" s="342">
        <f>G14+استهلاك!H29+استهلاك!H30</f>
        <v>2341747636.2035227</v>
      </c>
      <c r="I14" s="342">
        <f>H14+استهلاك!I29+استهلاك!I30</f>
        <v>2347963486.2035227</v>
      </c>
      <c r="J14" s="342">
        <f>I14+استهلاك!J29+استهلاك!J30</f>
        <v>2354179336.2035227</v>
      </c>
      <c r="K14" s="342">
        <f>J14+استهلاك!K29+استهلاك!K30</f>
        <v>2360395186.2035227</v>
      </c>
      <c r="L14" s="342">
        <f>K14+استهلاك!L29+استهلاك!L30</f>
        <v>2366611036.2035227</v>
      </c>
      <c r="M14" s="553">
        <f>L14+استهلاك!M29+استهلاك!M30</f>
        <v>2371777036.2035227</v>
      </c>
    </row>
    <row r="15" spans="1:13" s="284" customFormat="1" ht="21.75" customHeight="1" thickBot="1">
      <c r="A15" s="398" t="s">
        <v>438</v>
      </c>
      <c r="B15" s="399">
        <f t="shared" ref="B15:M15" si="3">B16+B19+B20+B21+B22</f>
        <v>1470846409.0019569</v>
      </c>
      <c r="C15" s="399">
        <f t="shared" si="3"/>
        <v>1252337294.928277</v>
      </c>
      <c r="D15" s="399">
        <f t="shared" si="3"/>
        <v>1177927345.0675726</v>
      </c>
      <c r="E15" s="399">
        <f t="shared" si="3"/>
        <v>1253517395.2068682</v>
      </c>
      <c r="F15" s="399">
        <f t="shared" si="3"/>
        <v>1579107445.3461637</v>
      </c>
      <c r="G15" s="399">
        <f t="shared" si="3"/>
        <v>1054697507.485459</v>
      </c>
      <c r="H15" s="399">
        <f t="shared" si="3"/>
        <v>991178076.86545897</v>
      </c>
      <c r="I15" s="399">
        <f t="shared" si="3"/>
        <v>927658646.24545896</v>
      </c>
      <c r="J15" s="399">
        <f t="shared" si="3"/>
        <v>864139215.62545896</v>
      </c>
      <c r="K15" s="399">
        <f t="shared" si="3"/>
        <v>800619785.00545895</v>
      </c>
      <c r="L15" s="399">
        <f t="shared" si="3"/>
        <v>737100354.38545895</v>
      </c>
      <c r="M15" s="400">
        <f t="shared" si="3"/>
        <v>674630773.76545894</v>
      </c>
    </row>
    <row r="16" spans="1:13" ht="16.2" thickBot="1">
      <c r="A16" s="347" t="s">
        <v>420</v>
      </c>
      <c r="B16" s="344">
        <f>B17+B18</f>
        <v>0</v>
      </c>
      <c r="C16" s="344">
        <f>C17+C18</f>
        <v>0</v>
      </c>
      <c r="D16" s="344">
        <f t="shared" ref="D16:M16" si="4">D17+D18</f>
        <v>0</v>
      </c>
      <c r="E16" s="344">
        <f t="shared" si="4"/>
        <v>0</v>
      </c>
      <c r="F16" s="344">
        <f t="shared" si="4"/>
        <v>0</v>
      </c>
      <c r="G16" s="344">
        <f t="shared" si="4"/>
        <v>0</v>
      </c>
      <c r="H16" s="344">
        <f t="shared" si="4"/>
        <v>0</v>
      </c>
      <c r="I16" s="344">
        <f t="shared" si="4"/>
        <v>0</v>
      </c>
      <c r="J16" s="344">
        <f t="shared" si="4"/>
        <v>0</v>
      </c>
      <c r="K16" s="344">
        <f t="shared" si="4"/>
        <v>0</v>
      </c>
      <c r="L16" s="344">
        <f t="shared" si="4"/>
        <v>0</v>
      </c>
      <c r="M16" s="345">
        <f t="shared" si="4"/>
        <v>0</v>
      </c>
    </row>
    <row r="17" spans="1:13">
      <c r="A17" s="552" t="s">
        <v>445</v>
      </c>
      <c r="B17" s="342">
        <v>0</v>
      </c>
      <c r="C17" s="342">
        <v>0</v>
      </c>
      <c r="D17" s="342">
        <v>0</v>
      </c>
      <c r="E17" s="342">
        <v>0</v>
      </c>
      <c r="F17" s="342">
        <v>0</v>
      </c>
      <c r="G17" s="342">
        <v>0</v>
      </c>
      <c r="H17" s="342">
        <v>0</v>
      </c>
      <c r="I17" s="342">
        <v>0</v>
      </c>
      <c r="J17" s="342">
        <v>0</v>
      </c>
      <c r="K17" s="342">
        <v>0</v>
      </c>
      <c r="L17" s="342">
        <v>0</v>
      </c>
      <c r="M17" s="553"/>
    </row>
    <row r="18" spans="1:13">
      <c r="A18" s="552" t="s">
        <v>446</v>
      </c>
      <c r="B18" s="342">
        <f>'جریان نقدینگی'!B7</f>
        <v>0</v>
      </c>
      <c r="C18" s="342">
        <f>IF('منابع تامين سرمايه گذاري'!E41&lt;0,0,IF(('منابع تامين سرمايه گذاري'!E41-'پيش بيني عملكرد سود و زيان'!C45)&gt;=0,('منابع تامين سرمايه گذاري'!E41-'پيش بيني عملكرد سود و زيان'!C45),0))</f>
        <v>0</v>
      </c>
      <c r="D18" s="342">
        <f>'جریان نقدینگی'!D7</f>
        <v>0</v>
      </c>
      <c r="E18" s="342">
        <f>'جریان نقدینگی'!E7</f>
        <v>0</v>
      </c>
      <c r="F18" s="342">
        <f>'جریان نقدینگی'!F7</f>
        <v>0</v>
      </c>
      <c r="G18" s="342">
        <f>'جریان نقدینگی'!G7</f>
        <v>0</v>
      </c>
      <c r="H18" s="342">
        <f>'جریان نقدینگی'!H7</f>
        <v>0</v>
      </c>
      <c r="I18" s="342">
        <f>'جریان نقدینگی'!I7</f>
        <v>0</v>
      </c>
      <c r="J18" s="342">
        <f>'جریان نقدینگی'!J7</f>
        <v>0</v>
      </c>
      <c r="K18" s="342">
        <f>'جریان نقدینگی'!K7</f>
        <v>0</v>
      </c>
      <c r="L18" s="342">
        <f>'جریان نقدینگی'!L7</f>
        <v>0</v>
      </c>
      <c r="M18" s="553">
        <f>'جریان نقدینگی'!M7</f>
        <v>0</v>
      </c>
    </row>
    <row r="19" spans="1:13" s="343" customFormat="1" ht="15.6">
      <c r="A19" s="554" t="s">
        <v>421</v>
      </c>
      <c r="B19" s="343">
        <f>'جریان نقدینگی'!B6</f>
        <v>0</v>
      </c>
      <c r="C19" s="343">
        <f>IF(B19&lt;0,0,IF((B19-'پيش بيني عملكرد سود و زيان'!C33)&gt;=0,(B19-'پيش بيني عملكرد سود و زيان'!C33),0))</f>
        <v>0</v>
      </c>
      <c r="D19" s="343">
        <f>IF(C19&lt;0,0,IF((C19-'پيش بيني عملكرد سود و زيان'!D33)&gt;=0,(C19-'پيش بيني عملكرد سود و زيان'!D33),0))</f>
        <v>0</v>
      </c>
      <c r="E19" s="343">
        <f>IF(D19&lt;0,0,IF((D19-'پيش بيني عملكرد سود و زيان'!E33)&gt;=0,(D19-'پيش بيني عملكرد سود و زيان'!E33),0))</f>
        <v>0</v>
      </c>
      <c r="F19" s="343">
        <f>IF(E19&lt;0,0,IF((E19-'پيش بيني عملكرد سود و زيان'!F33)&gt;=0,(E19-'پيش بيني عملكرد سود و زيان'!F33),0))</f>
        <v>0</v>
      </c>
      <c r="G19" s="343">
        <f>IF(F19&lt;0,0,IF((F19-'پيش بيني عملكرد سود و زيان'!G33)&gt;=0,(F19-'پيش بيني عملكرد سود و زيان'!G33),0))</f>
        <v>0</v>
      </c>
      <c r="H19" s="343">
        <f>IF(G19&lt;0,0,IF((G19-'پيش بيني عملكرد سود و زيان'!H33)&gt;=0,(G19-'پيش بيني عملكرد سود و زيان'!H33),0))</f>
        <v>0</v>
      </c>
      <c r="I19" s="343">
        <f>IF(H19&lt;0,0,IF((H19-'پيش بيني عملكرد سود و زيان'!I33)&gt;=0,(H19-'پيش بيني عملكرد سود و زيان'!I33),0))</f>
        <v>0</v>
      </c>
      <c r="J19" s="343">
        <f>IF(I19&lt;0,0,IF((I19-'پيش بيني عملكرد سود و زيان'!J33)&gt;=0,(I19-'پيش بيني عملكرد سود و زيان'!J33),0))</f>
        <v>0</v>
      </c>
      <c r="K19" s="343">
        <f>IF(J19&lt;0,0,IF((J19-'پيش بيني عملكرد سود و زيان'!K33)&gt;=0,(J19-'پيش بيني عملكرد سود و زيان'!K33),0))</f>
        <v>0</v>
      </c>
      <c r="L19" s="343">
        <f>IF(K19&lt;0,0,IF((K19-'پيش بيني عملكرد سود و زيان'!L33)&gt;=0,(K19-'پيش بيني عملكرد سود و زيان'!L33),0))</f>
        <v>0</v>
      </c>
      <c r="M19" s="555">
        <f>IF(L19&lt;0,0,IF((L19-'پيش بيني عملكرد سود و زيان'!M33)&gt;=0,(L19-'پيش بيني عملكرد سود و زيان'!M33),0))</f>
        <v>0</v>
      </c>
    </row>
    <row r="20" spans="1:13">
      <c r="A20" s="556" t="s">
        <v>261</v>
      </c>
      <c r="B20" s="342">
        <f>'جریان نقدینگی'!B5</f>
        <v>1470846409.0019569</v>
      </c>
      <c r="C20" s="342">
        <f>SUM('جریان نقدینگی'!B5:C5)</f>
        <v>1476747244.7889817</v>
      </c>
      <c r="D20" s="342">
        <f>SUM('جریان نقدینگی'!B5:D5)</f>
        <v>1476747244.7889817</v>
      </c>
      <c r="E20" s="342">
        <f>SUM('جریان نقدینگی'!B5:E5)</f>
        <v>1476747244.7889817</v>
      </c>
      <c r="F20" s="342">
        <f>SUM('جریان نقدینگی'!B5:F5)</f>
        <v>1476747244.7889817</v>
      </c>
      <c r="G20" s="342">
        <f>SUM('جریان نقدینگی'!B5:G5)</f>
        <v>1476747244.7889817</v>
      </c>
      <c r="H20" s="342">
        <f>SUM('جریان نقدینگی'!B5:H5)</f>
        <v>1476747244.7889817</v>
      </c>
      <c r="I20" s="342">
        <f>SUM('جریان نقدینگی'!B5:I5)</f>
        <v>1476747244.7889817</v>
      </c>
      <c r="J20" s="342">
        <f>SUM('جریان نقدینگی'!B5:J5)</f>
        <v>1476747244.7889817</v>
      </c>
      <c r="K20" s="342">
        <f>SUM('جریان نقدینگی'!B5:K5)</f>
        <v>1476747244.7889817</v>
      </c>
      <c r="L20" s="342">
        <f>SUM('جریان نقدینگی'!B5:L5)</f>
        <v>1476747244.7889817</v>
      </c>
      <c r="M20" s="553">
        <f>SUM('جریان نقدینگی'!B5:M5)</f>
        <v>1476747244.7889817</v>
      </c>
    </row>
    <row r="21" spans="1:13">
      <c r="A21" s="556" t="s">
        <v>448</v>
      </c>
      <c r="B21" s="342">
        <v>0</v>
      </c>
      <c r="C21" s="342">
        <v>0</v>
      </c>
      <c r="D21" s="342">
        <f>C21+C22</f>
        <v>-224409949.86070454</v>
      </c>
      <c r="E21" s="342">
        <f>D21+D22</f>
        <v>-298819899.72140908</v>
      </c>
      <c r="F21" s="342">
        <f>E21+E22</f>
        <v>-223229849.58211362</v>
      </c>
      <c r="G21" s="342">
        <f t="shared" ref="G21:L21" si="5">F21+F22</f>
        <v>102360200.55718184</v>
      </c>
      <c r="H21" s="342">
        <f t="shared" si="5"/>
        <v>-422049737.30352271</v>
      </c>
      <c r="I21" s="342">
        <f t="shared" si="5"/>
        <v>-485569167.92352271</v>
      </c>
      <c r="J21" s="342">
        <f t="shared" si="5"/>
        <v>-549088598.54352272</v>
      </c>
      <c r="K21" s="342">
        <f t="shared" si="5"/>
        <v>-612608029.16352272</v>
      </c>
      <c r="L21" s="342">
        <f t="shared" si="5"/>
        <v>-676127459.78352273</v>
      </c>
      <c r="M21" s="553">
        <f>L21+L22</f>
        <v>-739646890.40352273</v>
      </c>
    </row>
    <row r="22" spans="1:13" ht="15.6" thickBot="1">
      <c r="A22" s="557" t="s">
        <v>447</v>
      </c>
      <c r="B22" s="558">
        <v>0</v>
      </c>
      <c r="C22" s="558">
        <f>'پيش بيني عملكرد سود و زيان'!C50+'پيش بيني عملكرد سود و زيان'!C48</f>
        <v>-224409949.86070454</v>
      </c>
      <c r="D22" s="558">
        <f>'پيش بيني عملكرد سود و زيان'!D50+'پيش بيني عملكرد سود و زيان'!D48</f>
        <v>-74409949.860704541</v>
      </c>
      <c r="E22" s="558">
        <f>'پيش بيني عملكرد سود و زيان'!E50+'پيش بيني عملكرد سود و زيان'!E48</f>
        <v>75590050.139295459</v>
      </c>
      <c r="F22" s="558">
        <f>'پيش بيني عملكرد سود و زيان'!F50+'پيش بيني عملكرد سود و زيان'!F48</f>
        <v>325590050.13929546</v>
      </c>
      <c r="G22" s="558">
        <f>'پيش بيني عملكرد سود و زيان'!G50+'پيش بيني عملكرد سود و زيان'!G48</f>
        <v>-524409937.86070454</v>
      </c>
      <c r="H22" s="558">
        <f>'پيش بيني عملكرد سود و زيان'!H50+'پيش بيني عملكرد سود و زيان'!H48</f>
        <v>-63519430.620000005</v>
      </c>
      <c r="I22" s="558">
        <f>'پيش بيني عملكرد سود و زيان'!I50+'پيش بيني عملكرد سود و زيان'!I48</f>
        <v>-63519430.620000005</v>
      </c>
      <c r="J22" s="558">
        <f>'پيش بيني عملكرد سود و زيان'!J50+'پيش بيني عملكرد سود و زيان'!J48</f>
        <v>-63519430.620000005</v>
      </c>
      <c r="K22" s="558">
        <f>'پيش بيني عملكرد سود و زيان'!K50+'پيش بيني عملكرد سود و زيان'!K48</f>
        <v>-63519430.620000005</v>
      </c>
      <c r="L22" s="558">
        <f>'پيش بيني عملكرد سود و زيان'!L50+'پيش بيني عملكرد سود و زيان'!L48</f>
        <v>-63519430.620000005</v>
      </c>
      <c r="M22" s="558">
        <f>'پيش بيني عملكرد سود و زيان'!M50+'پيش بيني عملكرد سود و زيان'!M48</f>
        <v>-62469580.620000005</v>
      </c>
    </row>
    <row r="25" spans="1:13" ht="15.6" thickBot="1"/>
    <row r="26" spans="1:13" ht="15.6" thickBot="1">
      <c r="A26" s="346" t="s">
        <v>538</v>
      </c>
      <c r="B26" s="594">
        <f>B2-B15</f>
        <v>0</v>
      </c>
      <c r="C26" s="595">
        <f t="shared" ref="C26:M26" si="6">C2-C15</f>
        <v>0</v>
      </c>
      <c r="D26" s="595">
        <f t="shared" si="6"/>
        <v>0</v>
      </c>
      <c r="E26" s="595">
        <f t="shared" si="6"/>
        <v>0</v>
      </c>
      <c r="F26" s="595">
        <f t="shared" si="6"/>
        <v>0</v>
      </c>
      <c r="G26" s="595">
        <f t="shared" si="6"/>
        <v>0</v>
      </c>
      <c r="H26" s="595">
        <f t="shared" si="6"/>
        <v>0</v>
      </c>
      <c r="I26" s="595">
        <f t="shared" si="6"/>
        <v>0</v>
      </c>
      <c r="J26" s="595">
        <f t="shared" si="6"/>
        <v>0</v>
      </c>
      <c r="K26" s="595">
        <f t="shared" si="6"/>
        <v>0</v>
      </c>
      <c r="L26" s="595">
        <f t="shared" si="6"/>
        <v>0</v>
      </c>
      <c r="M26" s="596">
        <f t="shared" si="6"/>
        <v>0</v>
      </c>
    </row>
  </sheetData>
  <sheetProtection password="C716" sheet="1" objects="1" scenarios="1"/>
  <phoneticPr fontId="5" type="noConversion"/>
  <pageMargins left="0.74803149606299213" right="0.74803149606299213" top="0.98425196850393704" bottom="0.98425196850393704" header="0.51181102362204722" footer="0.51181102362204722"/>
  <pageSetup paperSize="9" scale="71" orientation="landscape" r:id="rId1"/>
  <headerFooter alignWithMargins="0"/>
  <colBreaks count="1" manualBreakCount="1">
    <brk id="7" max="2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1"/>
  <dimension ref="A1:J28"/>
  <sheetViews>
    <sheetView rightToLeft="1" view="pageBreakPreview" zoomScaleNormal="100" workbookViewId="0">
      <selection activeCell="F6" sqref="F6"/>
    </sheetView>
  </sheetViews>
  <sheetFormatPr defaultColWidth="14.5546875" defaultRowHeight="17.399999999999999"/>
  <cols>
    <col min="1" max="1" width="3.33203125" style="96" customWidth="1"/>
    <col min="2" max="2" width="28" style="96" customWidth="1"/>
    <col min="3" max="4" width="8.5546875" style="96" customWidth="1"/>
    <col min="5" max="5" width="13.33203125" style="96" customWidth="1"/>
    <col min="6" max="6" width="14.88671875" style="96" bestFit="1" customWidth="1"/>
    <col min="7" max="7" width="17.109375" style="96" customWidth="1"/>
    <col min="8" max="8" width="12.6640625" style="96" bestFit="1" customWidth="1"/>
    <col min="9" max="9" width="14.109375" style="96" bestFit="1" customWidth="1"/>
    <col min="10" max="16384" width="14.5546875" style="64"/>
  </cols>
  <sheetData>
    <row r="1" spans="1:10" ht="27" customHeight="1">
      <c r="A1" s="903" t="s">
        <v>112</v>
      </c>
      <c r="B1" s="904"/>
      <c r="C1" s="904"/>
      <c r="D1" s="904"/>
      <c r="E1" s="904"/>
      <c r="F1" s="904"/>
      <c r="G1" s="904"/>
      <c r="H1" s="904"/>
      <c r="I1" s="905"/>
      <c r="J1" s="88"/>
    </row>
    <row r="2" spans="1:10" ht="25.5" customHeight="1">
      <c r="A2" s="910" t="s">
        <v>6</v>
      </c>
      <c r="B2" s="908" t="s">
        <v>7</v>
      </c>
      <c r="C2" s="906" t="s">
        <v>108</v>
      </c>
      <c r="D2" s="906"/>
      <c r="E2" s="906" t="s">
        <v>163</v>
      </c>
      <c r="F2" s="906"/>
      <c r="G2" s="906" t="s">
        <v>114</v>
      </c>
      <c r="H2" s="906"/>
      <c r="I2" s="906"/>
      <c r="J2" s="89"/>
    </row>
    <row r="3" spans="1:10" s="91" customFormat="1" ht="25.5" customHeight="1">
      <c r="A3" s="911"/>
      <c r="B3" s="909"/>
      <c r="C3" s="45" t="s">
        <v>101</v>
      </c>
      <c r="D3" s="45" t="s">
        <v>26</v>
      </c>
      <c r="E3" s="45" t="s">
        <v>101</v>
      </c>
      <c r="F3" s="45" t="s">
        <v>26</v>
      </c>
      <c r="G3" s="45" t="s">
        <v>101</v>
      </c>
      <c r="H3" s="45" t="s">
        <v>26</v>
      </c>
      <c r="I3" s="53" t="s">
        <v>8</v>
      </c>
      <c r="J3" s="90"/>
    </row>
    <row r="4" spans="1:10" s="92" customFormat="1" ht="22.5" customHeight="1">
      <c r="A4" s="56">
        <v>1</v>
      </c>
      <c r="B4" s="56" t="s">
        <v>597</v>
      </c>
      <c r="C4" s="651"/>
      <c r="D4" s="651"/>
      <c r="E4" s="651"/>
      <c r="F4" s="651"/>
      <c r="G4" s="652">
        <f t="shared" ref="G4:H6" si="0">C4*E4</f>
        <v>0</v>
      </c>
      <c r="H4" s="652">
        <f t="shared" si="0"/>
        <v>0</v>
      </c>
      <c r="I4" s="652">
        <f>G4+H4</f>
        <v>0</v>
      </c>
    </row>
    <row r="5" spans="1:10" s="92" customFormat="1" ht="22.5" customHeight="1">
      <c r="A5" s="56">
        <v>2</v>
      </c>
      <c r="B5" s="56" t="s">
        <v>611</v>
      </c>
      <c r="C5" s="651">
        <v>150</v>
      </c>
      <c r="D5" s="651">
        <v>50</v>
      </c>
      <c r="E5" s="651">
        <v>380000</v>
      </c>
      <c r="F5" s="651">
        <v>500000</v>
      </c>
      <c r="G5" s="652">
        <f t="shared" si="0"/>
        <v>57000000</v>
      </c>
      <c r="H5" s="652">
        <f t="shared" si="0"/>
        <v>25000000</v>
      </c>
      <c r="I5" s="652">
        <f>G5+H5</f>
        <v>82000000</v>
      </c>
    </row>
    <row r="6" spans="1:10" s="92" customFormat="1" ht="22.5" customHeight="1">
      <c r="A6" s="56">
        <v>3</v>
      </c>
      <c r="B6" s="623"/>
      <c r="C6" s="651"/>
      <c r="D6" s="651"/>
      <c r="E6" s="651"/>
      <c r="F6" s="651"/>
      <c r="G6" s="652">
        <f t="shared" si="0"/>
        <v>0</v>
      </c>
      <c r="H6" s="652">
        <f t="shared" si="0"/>
        <v>0</v>
      </c>
      <c r="I6" s="652">
        <f>G6+H6</f>
        <v>0</v>
      </c>
    </row>
    <row r="7" spans="1:10" s="92" customFormat="1" ht="22.5" customHeight="1">
      <c r="A7" s="56">
        <v>4</v>
      </c>
      <c r="B7" s="623"/>
      <c r="C7" s="651"/>
      <c r="D7" s="651"/>
      <c r="E7" s="651"/>
      <c r="F7" s="651"/>
      <c r="G7" s="652">
        <f t="shared" ref="G7:H12" si="1">C7*E7</f>
        <v>0</v>
      </c>
      <c r="H7" s="652">
        <f t="shared" si="1"/>
        <v>0</v>
      </c>
      <c r="I7" s="652">
        <f>G7+H7</f>
        <v>0</v>
      </c>
    </row>
    <row r="8" spans="1:10" s="92" customFormat="1" ht="22.5" customHeight="1">
      <c r="A8" s="56">
        <v>5</v>
      </c>
      <c r="B8" s="623"/>
      <c r="C8" s="651"/>
      <c r="D8" s="651"/>
      <c r="E8" s="651"/>
      <c r="F8" s="651"/>
      <c r="G8" s="652">
        <f t="shared" si="1"/>
        <v>0</v>
      </c>
      <c r="H8" s="652">
        <f t="shared" si="1"/>
        <v>0</v>
      </c>
      <c r="I8" s="652">
        <f t="shared" ref="I8:I19" si="2">G8+H8</f>
        <v>0</v>
      </c>
    </row>
    <row r="9" spans="1:10" s="92" customFormat="1" ht="22.5" customHeight="1">
      <c r="A9" s="56">
        <v>6</v>
      </c>
      <c r="B9" s="623"/>
      <c r="C9" s="871"/>
      <c r="D9" s="651"/>
      <c r="E9" s="651"/>
      <c r="F9" s="651"/>
      <c r="G9" s="652">
        <f t="shared" si="1"/>
        <v>0</v>
      </c>
      <c r="H9" s="652">
        <f t="shared" si="1"/>
        <v>0</v>
      </c>
      <c r="I9" s="652">
        <f t="shared" si="2"/>
        <v>0</v>
      </c>
    </row>
    <row r="10" spans="1:10" s="92" customFormat="1" ht="22.5" customHeight="1">
      <c r="A10" s="56">
        <v>7</v>
      </c>
      <c r="B10" s="623"/>
      <c r="C10" s="651"/>
      <c r="D10" s="651"/>
      <c r="E10" s="651">
        <v>0</v>
      </c>
      <c r="F10" s="651"/>
      <c r="G10" s="652">
        <f t="shared" si="1"/>
        <v>0</v>
      </c>
      <c r="H10" s="652">
        <f t="shared" si="1"/>
        <v>0</v>
      </c>
      <c r="I10" s="652">
        <f t="shared" si="2"/>
        <v>0</v>
      </c>
    </row>
    <row r="11" spans="1:10" s="92" customFormat="1" ht="22.5" customHeight="1">
      <c r="A11" s="56">
        <v>8</v>
      </c>
      <c r="B11" s="623"/>
      <c r="C11" s="651"/>
      <c r="D11" s="651"/>
      <c r="E11" s="651">
        <v>0</v>
      </c>
      <c r="F11" s="651"/>
      <c r="G11" s="652">
        <f t="shared" si="1"/>
        <v>0</v>
      </c>
      <c r="H11" s="652">
        <f t="shared" si="1"/>
        <v>0</v>
      </c>
      <c r="I11" s="652">
        <f t="shared" si="2"/>
        <v>0</v>
      </c>
    </row>
    <row r="12" spans="1:10" s="92" customFormat="1" ht="22.5" hidden="1" customHeight="1">
      <c r="A12" s="56">
        <v>9</v>
      </c>
      <c r="B12" s="56"/>
      <c r="C12" s="651">
        <v>0</v>
      </c>
      <c r="D12" s="651">
        <v>0</v>
      </c>
      <c r="E12" s="651"/>
      <c r="F12" s="651"/>
      <c r="G12" s="652">
        <f t="shared" si="1"/>
        <v>0</v>
      </c>
      <c r="H12" s="652">
        <f t="shared" si="1"/>
        <v>0</v>
      </c>
      <c r="I12" s="652">
        <f t="shared" si="2"/>
        <v>0</v>
      </c>
    </row>
    <row r="13" spans="1:10" s="92" customFormat="1" ht="33" hidden="1" customHeight="1">
      <c r="A13" s="56"/>
      <c r="B13" s="56"/>
      <c r="C13" s="651"/>
      <c r="D13" s="651"/>
      <c r="E13" s="651"/>
      <c r="F13" s="651"/>
      <c r="G13" s="652">
        <f t="shared" ref="G13:G19" si="3">C13*E13</f>
        <v>0</v>
      </c>
      <c r="H13" s="652">
        <f t="shared" ref="H13:H19" si="4">D13*F13</f>
        <v>0</v>
      </c>
      <c r="I13" s="652">
        <f t="shared" si="2"/>
        <v>0</v>
      </c>
    </row>
    <row r="14" spans="1:10" s="92" customFormat="1" ht="33" hidden="1" customHeight="1">
      <c r="A14" s="56"/>
      <c r="B14" s="56"/>
      <c r="C14" s="651"/>
      <c r="D14" s="651"/>
      <c r="E14" s="651"/>
      <c r="F14" s="651"/>
      <c r="G14" s="652">
        <f t="shared" si="3"/>
        <v>0</v>
      </c>
      <c r="H14" s="652">
        <f t="shared" si="4"/>
        <v>0</v>
      </c>
      <c r="I14" s="652">
        <f t="shared" si="2"/>
        <v>0</v>
      </c>
    </row>
    <row r="15" spans="1:10" s="92" customFormat="1" ht="33" hidden="1" customHeight="1">
      <c r="A15" s="56"/>
      <c r="B15" s="56"/>
      <c r="C15" s="651"/>
      <c r="D15" s="651"/>
      <c r="E15" s="651"/>
      <c r="F15" s="651"/>
      <c r="G15" s="652">
        <f t="shared" ref="G15:H18" si="5">C15*E15</f>
        <v>0</v>
      </c>
      <c r="H15" s="652">
        <f t="shared" si="5"/>
        <v>0</v>
      </c>
      <c r="I15" s="652">
        <f>G15+H15</f>
        <v>0</v>
      </c>
    </row>
    <row r="16" spans="1:10" s="92" customFormat="1" ht="33" hidden="1" customHeight="1">
      <c r="A16" s="56"/>
      <c r="B16" s="56"/>
      <c r="C16" s="651"/>
      <c r="D16" s="651"/>
      <c r="E16" s="651"/>
      <c r="F16" s="651"/>
      <c r="G16" s="652">
        <f t="shared" si="5"/>
        <v>0</v>
      </c>
      <c r="H16" s="652">
        <f t="shared" si="5"/>
        <v>0</v>
      </c>
      <c r="I16" s="652">
        <f>G16+H16</f>
        <v>0</v>
      </c>
    </row>
    <row r="17" spans="1:9" s="92" customFormat="1" ht="33" hidden="1" customHeight="1">
      <c r="A17" s="56"/>
      <c r="B17" s="93"/>
      <c r="C17" s="651"/>
      <c r="D17" s="651"/>
      <c r="E17" s="651"/>
      <c r="F17" s="651"/>
      <c r="G17" s="652">
        <f t="shared" si="5"/>
        <v>0</v>
      </c>
      <c r="H17" s="652">
        <f t="shared" si="5"/>
        <v>0</v>
      </c>
      <c r="I17" s="652">
        <f>G17+H17</f>
        <v>0</v>
      </c>
    </row>
    <row r="18" spans="1:9" s="92" customFormat="1" ht="33" hidden="1" customHeight="1">
      <c r="A18" s="56"/>
      <c r="B18" s="93"/>
      <c r="C18" s="651"/>
      <c r="D18" s="651"/>
      <c r="E18" s="651"/>
      <c r="F18" s="651"/>
      <c r="G18" s="652">
        <f t="shared" si="5"/>
        <v>0</v>
      </c>
      <c r="H18" s="652">
        <f t="shared" si="5"/>
        <v>0</v>
      </c>
      <c r="I18" s="652">
        <f>G18+H18</f>
        <v>0</v>
      </c>
    </row>
    <row r="19" spans="1:9" s="92" customFormat="1" ht="33" hidden="1" customHeight="1">
      <c r="A19" s="56"/>
      <c r="B19" s="93"/>
      <c r="C19" s="651"/>
      <c r="D19" s="651"/>
      <c r="E19" s="651"/>
      <c r="F19" s="651"/>
      <c r="G19" s="652">
        <f t="shared" si="3"/>
        <v>0</v>
      </c>
      <c r="H19" s="652">
        <f t="shared" si="4"/>
        <v>0</v>
      </c>
      <c r="I19" s="652">
        <f t="shared" si="2"/>
        <v>0</v>
      </c>
    </row>
    <row r="20" spans="1:9" s="95" customFormat="1" ht="27.75" customHeight="1" thickBot="1">
      <c r="A20" s="900" t="s">
        <v>16</v>
      </c>
      <c r="B20" s="902"/>
      <c r="C20" s="653"/>
      <c r="D20" s="653"/>
      <c r="E20" s="652"/>
      <c r="F20" s="653" t="s">
        <v>66</v>
      </c>
      <c r="G20" s="654">
        <f>SUM(G4:G19)</f>
        <v>57000000</v>
      </c>
      <c r="H20" s="654">
        <f>SUM(H4:H19)</f>
        <v>25000000</v>
      </c>
      <c r="I20" s="654">
        <f>SUM(I4:I19)</f>
        <v>82000000</v>
      </c>
    </row>
    <row r="21" spans="1:9" ht="24" customHeight="1">
      <c r="A21" s="898"/>
      <c r="B21" s="898"/>
      <c r="C21" s="898"/>
      <c r="D21" s="898"/>
      <c r="E21" s="898"/>
      <c r="F21" s="898"/>
      <c r="G21" s="898"/>
      <c r="H21" s="898"/>
      <c r="I21" s="898"/>
    </row>
    <row r="22" spans="1:9" ht="27" customHeight="1">
      <c r="A22" s="899"/>
      <c r="B22" s="899"/>
      <c r="C22" s="899"/>
      <c r="D22" s="899"/>
      <c r="E22" s="899"/>
      <c r="F22" s="899"/>
      <c r="G22" s="899"/>
      <c r="H22" s="899"/>
      <c r="I22" s="899"/>
    </row>
    <row r="23" spans="1:9" ht="19.5" customHeight="1">
      <c r="A23" s="899"/>
      <c r="B23" s="899"/>
      <c r="C23" s="899"/>
      <c r="D23" s="899"/>
      <c r="E23" s="899"/>
      <c r="F23" s="899"/>
      <c r="G23" s="899"/>
      <c r="H23" s="899"/>
      <c r="I23" s="899"/>
    </row>
    <row r="24" spans="1:9">
      <c r="E24" s="97"/>
      <c r="F24" s="97"/>
      <c r="G24" s="97"/>
      <c r="H24" s="97"/>
    </row>
    <row r="25" spans="1:9">
      <c r="E25" s="97"/>
      <c r="F25" s="97"/>
      <c r="G25" s="97"/>
      <c r="H25" s="97"/>
    </row>
    <row r="26" spans="1:9">
      <c r="E26" s="97"/>
      <c r="F26" s="97"/>
      <c r="G26" s="97"/>
      <c r="H26" s="97"/>
    </row>
    <row r="27" spans="1:9">
      <c r="E27" s="97"/>
      <c r="F27" s="97"/>
      <c r="G27" s="97"/>
      <c r="H27" s="97"/>
    </row>
    <row r="28" spans="1:9" ht="21">
      <c r="A28" s="98"/>
    </row>
  </sheetData>
  <mergeCells count="8">
    <mergeCell ref="A21:I23"/>
    <mergeCell ref="A20:B20"/>
    <mergeCell ref="A1:I1"/>
    <mergeCell ref="E2:F2"/>
    <mergeCell ref="C2:D2"/>
    <mergeCell ref="G2:I2"/>
    <mergeCell ref="B2:B3"/>
    <mergeCell ref="A2:A3"/>
  </mergeCells>
  <phoneticPr fontId="0" type="noConversion"/>
  <printOptions horizontalCentered="1"/>
  <pageMargins left="0" right="0" top="7.4803149606299213" bottom="0.39370078740157483" header="0" footer="0"/>
  <pageSetup paperSize="9" scale="84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42">
    <tabColor indexed="53"/>
  </sheetPr>
  <dimension ref="A1:N59"/>
  <sheetViews>
    <sheetView rightToLeft="1" view="pageBreakPreview" topLeftCell="A35" zoomScale="60" zoomScaleNormal="70" workbookViewId="0">
      <selection activeCell="E12" sqref="E12"/>
    </sheetView>
  </sheetViews>
  <sheetFormatPr defaultColWidth="9.109375" defaultRowHeight="21.6"/>
  <cols>
    <col min="1" max="1" width="5.44140625" style="599" customWidth="1"/>
    <col min="2" max="2" width="38.44140625" style="599" bestFit="1" customWidth="1"/>
    <col min="3" max="3" width="10.109375" style="599" bestFit="1" customWidth="1"/>
    <col min="4" max="4" width="8.88671875" style="599" bestFit="1" customWidth="1"/>
    <col min="5" max="5" width="8.6640625" style="599" bestFit="1" customWidth="1"/>
    <col min="6" max="6" width="9.109375" style="599"/>
    <col min="7" max="7" width="10.6640625" style="599" bestFit="1" customWidth="1"/>
    <col min="8" max="8" width="9.6640625" style="599" bestFit="1" customWidth="1"/>
    <col min="9" max="9" width="10.109375" style="599" bestFit="1" customWidth="1"/>
    <col min="10" max="10" width="9.6640625" style="599" bestFit="1" customWidth="1"/>
    <col min="11" max="11" width="10.5546875" style="599" bestFit="1" customWidth="1"/>
    <col min="12" max="12" width="8.44140625" style="599" bestFit="1" customWidth="1"/>
    <col min="13" max="13" width="8.88671875" style="599" bestFit="1" customWidth="1"/>
    <col min="14" max="14" width="12.109375" style="600" bestFit="1" customWidth="1"/>
    <col min="15" max="16384" width="9.109375" style="599"/>
  </cols>
  <sheetData>
    <row r="1" spans="1:14" ht="11.25" customHeight="1">
      <c r="A1" s="597"/>
      <c r="B1" s="598"/>
      <c r="C1" s="598"/>
      <c r="D1" s="598"/>
      <c r="E1" s="598"/>
      <c r="F1" s="598"/>
      <c r="G1" s="598"/>
      <c r="H1" s="597"/>
      <c r="I1" s="597"/>
      <c r="J1" s="598"/>
      <c r="K1" s="597"/>
      <c r="L1" s="597"/>
    </row>
    <row r="2" spans="1:14" ht="11.25" customHeight="1">
      <c r="A2" s="597"/>
      <c r="B2" s="597"/>
      <c r="C2" s="597"/>
      <c r="D2" s="597"/>
      <c r="E2" s="597"/>
      <c r="F2" s="597"/>
      <c r="G2" s="597"/>
      <c r="H2" s="597"/>
      <c r="I2" s="597"/>
      <c r="J2" s="597"/>
      <c r="K2" s="597"/>
      <c r="L2" s="597"/>
    </row>
    <row r="3" spans="1:14" ht="22.2" thickBot="1">
      <c r="B3" s="601" t="s">
        <v>541</v>
      </c>
      <c r="C3" s="597"/>
      <c r="D3" s="597"/>
      <c r="E3" s="597"/>
      <c r="F3" s="597"/>
      <c r="G3" s="597"/>
      <c r="H3" s="597"/>
      <c r="I3" s="597"/>
      <c r="J3" s="597"/>
      <c r="K3" s="597"/>
      <c r="L3" s="597"/>
    </row>
    <row r="4" spans="1:14" ht="30" customHeight="1" thickBot="1">
      <c r="A4" s="619"/>
      <c r="B4" s="620" t="s">
        <v>365</v>
      </c>
      <c r="C4" s="621" t="str">
        <f>'برآورد فروش'!B2</f>
        <v>سال بهره برداری</v>
      </c>
      <c r="D4" s="621" t="str">
        <f>'برآورد فروش'!C2</f>
        <v xml:space="preserve">سال اول </v>
      </c>
      <c r="E4" s="621" t="str">
        <f>'برآورد فروش'!D2</f>
        <v>سال دوم</v>
      </c>
      <c r="F4" s="621" t="str">
        <f>'برآورد فروش'!E2</f>
        <v>سال سوم</v>
      </c>
      <c r="G4" s="621" t="str">
        <f>'برآورد فروش'!F2</f>
        <v>سال چهارم</v>
      </c>
      <c r="H4" s="621" t="str">
        <f>'برآورد فروش'!G2</f>
        <v>سال پنجم</v>
      </c>
      <c r="I4" s="621" t="str">
        <f>'برآورد فروش'!H2</f>
        <v>سال ششم</v>
      </c>
      <c r="J4" s="621" t="str">
        <f>'برآورد فروش'!I2</f>
        <v>سال هفتم</v>
      </c>
      <c r="K4" s="621" t="str">
        <f>'برآورد فروش'!J2</f>
        <v>سال هشتم</v>
      </c>
      <c r="L4" s="621" t="str">
        <f>'برآورد فروش'!K2</f>
        <v>سال نهم</v>
      </c>
      <c r="M4" s="621" t="str">
        <f>'برآورد فروش'!L2</f>
        <v>سال دهم</v>
      </c>
      <c r="N4" s="622" t="s">
        <v>537</v>
      </c>
    </row>
    <row r="5" spans="1:14" ht="30" customHeight="1">
      <c r="A5" s="1151" t="s">
        <v>366</v>
      </c>
      <c r="B5" s="616" t="s">
        <v>367</v>
      </c>
      <c r="C5" s="617">
        <f>IF('ترازنامه ایجادی'!C16&lt;=0,0,('ترازنامه ایجادی'!C3/'ترازنامه ایجادی'!C16))</f>
        <v>0</v>
      </c>
      <c r="D5" s="617">
        <f>IF('ترازنامه ایجادی'!D16&lt;=0,0,('ترازنامه ایجادی'!D3/'ترازنامه ایجادی'!D16))</f>
        <v>0</v>
      </c>
      <c r="E5" s="617">
        <f>IF('ترازنامه ایجادی'!E16&lt;=0,0,('ترازنامه ایجادی'!E3/'ترازنامه ایجادی'!E16))</f>
        <v>0</v>
      </c>
      <c r="F5" s="617">
        <f>IF('ترازنامه ایجادی'!F16&lt;=0,0,('ترازنامه ایجادی'!F3/'ترازنامه ایجادی'!F16))</f>
        <v>0</v>
      </c>
      <c r="G5" s="617">
        <f>IF('ترازنامه ایجادی'!G16&lt;=0,0,('ترازنامه ایجادی'!G3/'ترازنامه ایجادی'!G16))</f>
        <v>0</v>
      </c>
      <c r="H5" s="617">
        <f>IF('ترازنامه ایجادی'!H16&lt;=0,0,('ترازنامه ایجادی'!H3/'ترازنامه ایجادی'!H16))</f>
        <v>0</v>
      </c>
      <c r="I5" s="617">
        <f>IF('ترازنامه ایجادی'!I16&lt;=0,0,('ترازنامه ایجادی'!I3/'ترازنامه ایجادی'!I16))</f>
        <v>0</v>
      </c>
      <c r="J5" s="617">
        <f>IF('ترازنامه ایجادی'!J16&lt;=0,0,('ترازنامه ایجادی'!J3/'ترازنامه ایجادی'!J16))</f>
        <v>0</v>
      </c>
      <c r="K5" s="617">
        <f>IF('ترازنامه ایجادی'!K16&lt;=0,0,('ترازنامه ایجادی'!K3/'ترازنامه ایجادی'!K16))</f>
        <v>0</v>
      </c>
      <c r="L5" s="617">
        <f>IF('ترازنامه ایجادی'!L16&lt;=0,0,('ترازنامه ایجادی'!L3/'ترازنامه ایجادی'!L16))</f>
        <v>0</v>
      </c>
      <c r="M5" s="617">
        <f>IF('ترازنامه ایجادی'!M16&lt;=0,0,('ترازنامه ایجادی'!M3/'ترازنامه ایجادی'!M16))</f>
        <v>0</v>
      </c>
      <c r="N5" s="618">
        <f>IF(SUM(C5:M5)=0,0,SUM(C5:M5)/N6)</f>
        <v>0</v>
      </c>
    </row>
    <row r="6" spans="1:14" ht="30" hidden="1" customHeight="1">
      <c r="A6" s="1152"/>
      <c r="B6" s="602"/>
      <c r="C6" s="604">
        <f>IF(C5&lt;&gt;0,1,0)</f>
        <v>0</v>
      </c>
      <c r="D6" s="604">
        <f t="shared" ref="D6:M6" si="0">IF(D5&lt;&gt;0,1,0)</f>
        <v>0</v>
      </c>
      <c r="E6" s="604">
        <f t="shared" si="0"/>
        <v>0</v>
      </c>
      <c r="F6" s="604">
        <f t="shared" si="0"/>
        <v>0</v>
      </c>
      <c r="G6" s="604">
        <f t="shared" si="0"/>
        <v>0</v>
      </c>
      <c r="H6" s="604">
        <f t="shared" si="0"/>
        <v>0</v>
      </c>
      <c r="I6" s="604">
        <f t="shared" si="0"/>
        <v>0</v>
      </c>
      <c r="J6" s="604">
        <f t="shared" si="0"/>
        <v>0</v>
      </c>
      <c r="K6" s="604">
        <f t="shared" si="0"/>
        <v>0</v>
      </c>
      <c r="L6" s="604">
        <f t="shared" si="0"/>
        <v>0</v>
      </c>
      <c r="M6" s="604">
        <f t="shared" si="0"/>
        <v>0</v>
      </c>
      <c r="N6" s="612">
        <f>SUM(C6:M6)</f>
        <v>0</v>
      </c>
    </row>
    <row r="7" spans="1:14" ht="30" customHeight="1">
      <c r="A7" s="1152"/>
      <c r="B7" s="602" t="s">
        <v>368</v>
      </c>
      <c r="C7" s="603">
        <f>IF('ترازنامه ایجادی'!C16&lt;=0,0,('ترازنامه ایجادی'!C3-'ترازنامه ایجادی'!C5-'ترازنامه ایجادی'!C9-'ترازنامه ایجادی'!C5)/'ترازنامه ایجادی'!C16)</f>
        <v>0</v>
      </c>
      <c r="D7" s="603">
        <f>IF('ترازنامه ایجادی'!D16&lt;=0,0,('ترازنامه ایجادی'!D3-'ترازنامه ایجادی'!D5-'ترازنامه ایجادی'!D9-'ترازنامه ایجادی'!D5)/'ترازنامه ایجادی'!D16)</f>
        <v>0</v>
      </c>
      <c r="E7" s="603">
        <f>IF('ترازنامه ایجادی'!E16&lt;=0,0,('ترازنامه ایجادی'!E3-'ترازنامه ایجادی'!E5-'ترازنامه ایجادی'!E9-'ترازنامه ایجادی'!E5)/'ترازنامه ایجادی'!E16)</f>
        <v>0</v>
      </c>
      <c r="F7" s="603">
        <f>IF('ترازنامه ایجادی'!F16&lt;=0,0,('ترازنامه ایجادی'!F3-'ترازنامه ایجادی'!F5-'ترازنامه ایجادی'!F9-'ترازنامه ایجادی'!F5)/'ترازنامه ایجادی'!F16)</f>
        <v>0</v>
      </c>
      <c r="G7" s="603">
        <f>IF('ترازنامه ایجادی'!G16&lt;=0,0,('ترازنامه ایجادی'!G3-'ترازنامه ایجادی'!G5-'ترازنامه ایجادی'!G9-'ترازنامه ایجادی'!G5)/'ترازنامه ایجادی'!G16)</f>
        <v>0</v>
      </c>
      <c r="H7" s="603">
        <f>IF('ترازنامه ایجادی'!H16&lt;=0,0,('ترازنامه ایجادی'!H3-'ترازنامه ایجادی'!H5-'ترازنامه ایجادی'!H9-'ترازنامه ایجادی'!H5)/'ترازنامه ایجادی'!H16)</f>
        <v>0</v>
      </c>
      <c r="I7" s="603">
        <f>IF('ترازنامه ایجادی'!I16&lt;=0,0,('ترازنامه ایجادی'!I3-'ترازنامه ایجادی'!I5-'ترازنامه ایجادی'!I9-'ترازنامه ایجادی'!I5)/'ترازنامه ایجادی'!I16)</f>
        <v>0</v>
      </c>
      <c r="J7" s="603">
        <f>IF('ترازنامه ایجادی'!J16&lt;=0,0,('ترازنامه ایجادی'!J3-'ترازنامه ایجادی'!J5-'ترازنامه ایجادی'!J9-'ترازنامه ایجادی'!J5)/'ترازنامه ایجادی'!J16)</f>
        <v>0</v>
      </c>
      <c r="K7" s="603">
        <f>IF('ترازنامه ایجادی'!K16&lt;=0,0,('ترازنامه ایجادی'!K3-'ترازنامه ایجادی'!K5-'ترازنامه ایجادی'!K9-'ترازنامه ایجادی'!K5)/'ترازنامه ایجادی'!K16)</f>
        <v>0</v>
      </c>
      <c r="L7" s="603">
        <f>IF('ترازنامه ایجادی'!L16&lt;=0,0,('ترازنامه ایجادی'!L3-'ترازنامه ایجادی'!L5-'ترازنامه ایجادی'!L9-'ترازنامه ایجادی'!L5)/'ترازنامه ایجادی'!L16)</f>
        <v>0</v>
      </c>
      <c r="M7" s="603">
        <f>IF('ترازنامه ایجادی'!M16&lt;=0,0,('ترازنامه ایجادی'!M3-'ترازنامه ایجادی'!M5-'ترازنامه ایجادی'!M9-'ترازنامه ایجادی'!M5)/'ترازنامه ایجادی'!M16)</f>
        <v>0</v>
      </c>
      <c r="N7" s="611">
        <f>IF(SUM(C7:M7)=0,0,SUM(C7:M7)/N8)</f>
        <v>0</v>
      </c>
    </row>
    <row r="8" spans="1:14" ht="30" hidden="1" customHeight="1">
      <c r="A8" s="1152"/>
      <c r="B8" s="602"/>
      <c r="C8" s="604">
        <f>IF(C7&lt;&gt;0,1,0)</f>
        <v>0</v>
      </c>
      <c r="D8" s="604">
        <f t="shared" ref="D8:M8" si="1">IF(D7&lt;&gt;0,1,0)</f>
        <v>0</v>
      </c>
      <c r="E8" s="604">
        <f t="shared" si="1"/>
        <v>0</v>
      </c>
      <c r="F8" s="604">
        <f t="shared" si="1"/>
        <v>0</v>
      </c>
      <c r="G8" s="604">
        <f t="shared" si="1"/>
        <v>0</v>
      </c>
      <c r="H8" s="604">
        <f t="shared" si="1"/>
        <v>0</v>
      </c>
      <c r="I8" s="604">
        <f t="shared" si="1"/>
        <v>0</v>
      </c>
      <c r="J8" s="604">
        <f t="shared" si="1"/>
        <v>0</v>
      </c>
      <c r="K8" s="604">
        <f t="shared" si="1"/>
        <v>0</v>
      </c>
      <c r="L8" s="604">
        <f t="shared" si="1"/>
        <v>0</v>
      </c>
      <c r="M8" s="604">
        <f t="shared" si="1"/>
        <v>0</v>
      </c>
      <c r="N8" s="612">
        <f>SUM(C8:M8)</f>
        <v>0</v>
      </c>
    </row>
    <row r="9" spans="1:14" ht="30" customHeight="1">
      <c r="A9" s="1152"/>
      <c r="B9" s="602" t="s">
        <v>369</v>
      </c>
      <c r="C9" s="603">
        <f>'ترازنامه ایجادی'!C3/'ترازنامه ایجادی'!C2</f>
        <v>0.19850661972121678</v>
      </c>
      <c r="D9" s="603">
        <f>'ترازنامه ایجادی'!D3/'ترازنامه ایجادی'!D2</f>
        <v>0.54442547176815614</v>
      </c>
      <c r="E9" s="603">
        <f>'ترازنامه ایجادی'!E3/'ترازنامه ایجادی'!E2</f>
        <v>0.94453420626973494</v>
      </c>
      <c r="F9" s="603">
        <f>'ترازنامه ایجادی'!F3/'ترازنامه ایجادی'!F2</f>
        <v>1.251774520557533</v>
      </c>
      <c r="G9" s="603">
        <f>'ترازنامه ایجادی'!G3/'ترازنامه ایجادی'!G2</f>
        <v>1.8198420599884531</v>
      </c>
      <c r="H9" s="603">
        <f>'ترازنامه ایجادی'!H3/'ترازنامه ایجادی'!H2</f>
        <v>1.8786526331935611</v>
      </c>
      <c r="I9" s="603">
        <f>'ترازنامه ایجادی'!I3/'ترازنامه ایجادی'!I2</f>
        <v>1.9455170614229145</v>
      </c>
      <c r="J9" s="603">
        <f>'ترازنامه ایجادی'!J3/'ترازنامه ایجادی'!J2</f>
        <v>2.0222113650544307</v>
      </c>
      <c r="K9" s="603">
        <f>'ترازنامه ایجادی'!K3/'ترازنامه ایجادی'!K2</f>
        <v>2.1110751868260409</v>
      </c>
      <c r="L9" s="603">
        <f>'ترازنامه ایجادی'!L3/'ترازنامه ایجادی'!L2</f>
        <v>2.2152546418843997</v>
      </c>
      <c r="M9" s="603">
        <f>'ترازنامه ایجادی'!M3/'ترازنامه ایجادی'!M2</f>
        <v>2.3354425298048747</v>
      </c>
      <c r="N9" s="613">
        <f>IF(SUM(C9:M9)=0,0,SUM(C9:M9)/N10)</f>
        <v>1.5697487542264832</v>
      </c>
    </row>
    <row r="10" spans="1:14" ht="30" hidden="1" customHeight="1">
      <c r="A10" s="1152"/>
      <c r="B10" s="602"/>
      <c r="C10" s="604">
        <f>IF(C9&lt;&gt;0,1,0)</f>
        <v>1</v>
      </c>
      <c r="D10" s="604">
        <f t="shared" ref="D10:M10" si="2">IF(D9&lt;&gt;0,1,0)</f>
        <v>1</v>
      </c>
      <c r="E10" s="604">
        <f t="shared" si="2"/>
        <v>1</v>
      </c>
      <c r="F10" s="604">
        <f t="shared" si="2"/>
        <v>1</v>
      </c>
      <c r="G10" s="604">
        <f t="shared" si="2"/>
        <v>1</v>
      </c>
      <c r="H10" s="604">
        <f t="shared" si="2"/>
        <v>1</v>
      </c>
      <c r="I10" s="604">
        <f t="shared" si="2"/>
        <v>1</v>
      </c>
      <c r="J10" s="604">
        <f t="shared" si="2"/>
        <v>1</v>
      </c>
      <c r="K10" s="604">
        <f t="shared" si="2"/>
        <v>1</v>
      </c>
      <c r="L10" s="604">
        <f t="shared" si="2"/>
        <v>1</v>
      </c>
      <c r="M10" s="604">
        <f t="shared" si="2"/>
        <v>1</v>
      </c>
      <c r="N10" s="614">
        <f>SUM(C10:M10)</f>
        <v>11</v>
      </c>
    </row>
    <row r="11" spans="1:14" ht="30" customHeight="1">
      <c r="A11" s="1152"/>
      <c r="B11" s="602" t="s">
        <v>527</v>
      </c>
      <c r="C11" s="603">
        <f>IF('ترازنامه ایجادی'!C16&lt;=0,0,'جریان نقدینگی'!C20/'ترازنامه ایجادی'!C16)</f>
        <v>0</v>
      </c>
      <c r="D11" s="603">
        <f>IF('ترازنامه ایجادی'!D16&lt;=0,0,'جریان نقدینگی'!D20/'ترازنامه ایجادی'!D16)</f>
        <v>0</v>
      </c>
      <c r="E11" s="603">
        <f>IF('ترازنامه ایجادی'!E16&lt;=0,0,'جریان نقدینگی'!E20/'ترازنامه ایجادی'!E16)</f>
        <v>0</v>
      </c>
      <c r="F11" s="603">
        <f>IF('ترازنامه ایجادی'!F16&lt;=0,0,'جریان نقدینگی'!F20/'ترازنامه ایجادی'!F16)</f>
        <v>0</v>
      </c>
      <c r="G11" s="603">
        <f>IF('ترازنامه ایجادی'!G16&lt;=0,0,'جریان نقدینگی'!G20/'ترازنامه ایجادی'!G16)</f>
        <v>0</v>
      </c>
      <c r="H11" s="603">
        <f>IF('ترازنامه ایجادی'!H16&lt;=0,0,'جریان نقدینگی'!H20/'ترازنامه ایجادی'!H16)</f>
        <v>0</v>
      </c>
      <c r="I11" s="603">
        <f>IF('ترازنامه ایجادی'!I16&lt;=0,0,'جریان نقدینگی'!I20/'ترازنامه ایجادی'!I16)</f>
        <v>0</v>
      </c>
      <c r="J11" s="603">
        <f>IF('ترازنامه ایجادی'!J16&lt;=0,0,'جریان نقدینگی'!J20/'ترازنامه ایجادی'!J16)</f>
        <v>0</v>
      </c>
      <c r="K11" s="603">
        <f>IF('ترازنامه ایجادی'!K16&lt;=0,0,'جریان نقدینگی'!K20/'ترازنامه ایجادی'!K16)</f>
        <v>0</v>
      </c>
      <c r="L11" s="603">
        <f>IF('ترازنامه ایجادی'!L16&lt;=0,0,'جریان نقدینگی'!L20/'ترازنامه ایجادی'!L16)</f>
        <v>0</v>
      </c>
      <c r="M11" s="603">
        <f>IF('ترازنامه ایجادی'!M16&lt;=0,0,'جریان نقدینگی'!M20/'ترازنامه ایجادی'!M16)</f>
        <v>0</v>
      </c>
      <c r="N11" s="613">
        <f>IF(SUM(C11:M11)=0,0,SUM(C11:M11)/N12)</f>
        <v>0</v>
      </c>
    </row>
    <row r="12" spans="1:14" ht="30" hidden="1" customHeight="1">
      <c r="A12" s="608"/>
      <c r="B12" s="602"/>
      <c r="C12" s="603">
        <f>IF(C11&lt;&gt;0,1,0)</f>
        <v>0</v>
      </c>
      <c r="D12" s="603">
        <f t="shared" ref="D12:M12" si="3">IF(D11&lt;&gt;0,1,0)</f>
        <v>0</v>
      </c>
      <c r="E12" s="603">
        <f t="shared" si="3"/>
        <v>0</v>
      </c>
      <c r="F12" s="603">
        <f t="shared" si="3"/>
        <v>0</v>
      </c>
      <c r="G12" s="603">
        <f t="shared" si="3"/>
        <v>0</v>
      </c>
      <c r="H12" s="603">
        <f t="shared" si="3"/>
        <v>0</v>
      </c>
      <c r="I12" s="603">
        <f t="shared" si="3"/>
        <v>0</v>
      </c>
      <c r="J12" s="603">
        <f t="shared" si="3"/>
        <v>0</v>
      </c>
      <c r="K12" s="603">
        <f t="shared" si="3"/>
        <v>0</v>
      </c>
      <c r="L12" s="603">
        <f t="shared" si="3"/>
        <v>0</v>
      </c>
      <c r="M12" s="603">
        <f t="shared" si="3"/>
        <v>0</v>
      </c>
      <c r="N12" s="614">
        <f>SUM(C12:M12)</f>
        <v>0</v>
      </c>
    </row>
    <row r="13" spans="1:14" ht="30" customHeight="1">
      <c r="A13" s="1152" t="s">
        <v>370</v>
      </c>
      <c r="B13" s="602" t="s">
        <v>371</v>
      </c>
      <c r="C13" s="604">
        <f>360/('پيش بيني عملكرد سود و زيان'!C16/(('ترازنامه ایجادی'!B9+'ترازنامه ایجادی'!B6+'ترازنامه ایجادی'!B5+'ترازنامه ایجادی'!C5+'ترازنامه ایجادی'!C6+'ترازنامه ایجادی'!C9)/2))</f>
        <v>1.664113783003226</v>
      </c>
      <c r="D13" s="604">
        <f>360/('پيش بيني عملكرد سود و زيان'!D16/(('ترازنامه ایجادی'!C9+'ترازنامه ایجادی'!C6+'ترازنامه ایجادی'!C5+'ترازنامه ایجادی'!D5+'ترازنامه ایجادی'!D6+'ترازنامه ایجادی'!D9)/2))</f>
        <v>3.328227566006452</v>
      </c>
      <c r="E13" s="604">
        <f>360/('پيش بيني عملكرد سود و زيان'!E16/(('ترازنامه ایجادی'!D9+'ترازنامه ایجادی'!D6+'ترازنامه ایجادی'!D5+'ترازنامه ایجادی'!E5+'ترازنامه ایجادی'!E6+'ترازنامه ایجادی'!E9)/2))</f>
        <v>3.328227566006452</v>
      </c>
      <c r="F13" s="604">
        <f>360/('پيش بيني عملكرد سود و زيان'!F16/(('ترازنامه ایجادی'!E9+'ترازنامه ایجادی'!E6+'ترازنامه ایجادی'!E5+'ترازنامه ایجادی'!F5+'ترازنامه ایجادی'!F6+'ترازنامه ایجادی'!F9)/2))</f>
        <v>3.328227566006452</v>
      </c>
      <c r="G13" s="604">
        <f>360/('پيش بيني عملكرد سود و زيان'!G16/(('ترازنامه ایجادی'!F9+'ترازنامه ایجادی'!F6+'ترازنامه ایجادی'!F5+'ترازنامه ایجادی'!G5+'ترازنامه ایجادی'!G6+'ترازنامه ایجادی'!G9)/2))</f>
        <v>3.328227566006452</v>
      </c>
      <c r="H13" s="604">
        <f>360/('پيش بيني عملكرد سود و زيان'!H16/(('ترازنامه ایجادی'!G9+'ترازنامه ایجادی'!G6+'ترازنامه ایجادی'!G5+'ترازنامه ایجادی'!H5+'ترازنامه ایجادی'!H6+'ترازنامه ایجادی'!H9)/2))</f>
        <v>24.800691501296825</v>
      </c>
      <c r="I13" s="604">
        <f>360/('پيش بيني عملكرد سود و زيان'!I16/(('ترازنامه ایجادی'!H9+'ترازنامه ایجادی'!H6+'ترازنامه ایجادی'!H5+'ترازنامه ایجادی'!I5+'ترازنامه ایجادی'!I6+'ترازنامه ایجادی'!I9)/2))</f>
        <v>24.800691501296825</v>
      </c>
      <c r="J13" s="604">
        <f>360/('پيش بيني عملكرد سود و زيان'!J16/(('ترازنامه ایجادی'!I9+'ترازنامه ایجادی'!I6+'ترازنامه ایجادی'!I5+'ترازنامه ایجادی'!J5+'ترازنامه ایجادی'!J6+'ترازنامه ایجادی'!J9)/2))</f>
        <v>24.800691501296825</v>
      </c>
      <c r="K13" s="604">
        <f>360/('پيش بيني عملكرد سود و زيان'!K16/(('ترازنامه ایجادی'!J9+'ترازنامه ایجادی'!J6+'ترازنامه ایجادی'!J5+'ترازنامه ایجادی'!K5+'ترازنامه ایجادی'!K6+'ترازنامه ایجادی'!K9)/2))</f>
        <v>24.800691501296825</v>
      </c>
      <c r="L13" s="604">
        <f>360/('پيش بيني عملكرد سود و زيان'!L16/(('ترازنامه ایجادی'!K9+'ترازنامه ایجادی'!K6+'ترازنامه ایجادی'!K5+'ترازنامه ایجادی'!L5+'ترازنامه ایجادی'!L6+'ترازنامه ایجادی'!L9)/2))</f>
        <v>24.800691501296825</v>
      </c>
      <c r="M13" s="604">
        <f>360/('پيش بيني عملكرد سود و زيان'!M16/(('ترازنامه ایجادی'!L9+'ترازنامه ایجادی'!L6+'ترازنامه ایجادی'!L5+'ترازنامه ایجادی'!M5+'ترازنامه ایجادی'!M6+'ترازنامه ایجادی'!M9)/2))</f>
        <v>25.548546244042807</v>
      </c>
      <c r="N13" s="613">
        <f>IF(SUM(C13:M13)=0,0,SUM(C13:M13)/N14)</f>
        <v>14.95718434523236</v>
      </c>
    </row>
    <row r="14" spans="1:14" ht="30" hidden="1" customHeight="1">
      <c r="A14" s="1152"/>
      <c r="B14" s="602"/>
      <c r="C14" s="604">
        <f>IF(C13&lt;&gt;0,1,0)</f>
        <v>1</v>
      </c>
      <c r="D14" s="604">
        <f t="shared" ref="D14:M14" si="4">IF(D13&lt;&gt;0,1,0)</f>
        <v>1</v>
      </c>
      <c r="E14" s="604">
        <f t="shared" si="4"/>
        <v>1</v>
      </c>
      <c r="F14" s="604">
        <f t="shared" si="4"/>
        <v>1</v>
      </c>
      <c r="G14" s="604">
        <f t="shared" si="4"/>
        <v>1</v>
      </c>
      <c r="H14" s="604">
        <f t="shared" si="4"/>
        <v>1</v>
      </c>
      <c r="I14" s="604">
        <f t="shared" si="4"/>
        <v>1</v>
      </c>
      <c r="J14" s="604">
        <f t="shared" si="4"/>
        <v>1</v>
      </c>
      <c r="K14" s="604">
        <f t="shared" si="4"/>
        <v>1</v>
      </c>
      <c r="L14" s="604">
        <f t="shared" si="4"/>
        <v>1</v>
      </c>
      <c r="M14" s="604">
        <f t="shared" si="4"/>
        <v>1</v>
      </c>
      <c r="N14" s="614">
        <f>SUM(C14:M14)</f>
        <v>11</v>
      </c>
    </row>
    <row r="15" spans="1:14" ht="30" customHeight="1">
      <c r="A15" s="1152"/>
      <c r="B15" s="602" t="s">
        <v>372</v>
      </c>
      <c r="C15" s="604">
        <f>360/('پيش بيني عملكرد سود و زيان'!C4/(('ترازنامه ایجادی'!C7+'ترازنامه ایجادی'!B7)/2))</f>
        <v>2.8651796310000002</v>
      </c>
      <c r="D15" s="604">
        <f>360/('پيش بيني عملكرد سود و زيان'!D4/(('ترازنامه ایجادی'!D7+'ترازنامه ایجادی'!C7)/2))</f>
        <v>3.8202395080000007</v>
      </c>
      <c r="E15" s="604">
        <f>360/('پيش بيني عملكرد سود و زيان'!E4/(('ترازنامه ایجادی'!E7+'ترازنامه ایجادی'!D7)/2))</f>
        <v>2.8651796310000002</v>
      </c>
      <c r="F15" s="604">
        <f>360/('پيش بيني عملكرد سود و زيان'!F4/(('ترازنامه ایجادی'!F7+'ترازنامه ایجادی'!E7)/2))</f>
        <v>2.0224797395294121</v>
      </c>
      <c r="G15" s="604">
        <f>360/('پيش بيني عملكرد سود و زيان'!G4/(('ترازنامه ایجادی'!G7+'ترازنامه ایجادی'!F7)/2))</f>
        <v>143258981.55000004</v>
      </c>
      <c r="H15" s="604">
        <f>360/('پيش بيني عملكرد سود و زيان'!H4/(('ترازنامه ایجادی'!H7+'ترازنامه ایجادی'!G7)/2))</f>
        <v>143258981.55000001</v>
      </c>
      <c r="I15" s="604">
        <f>360/('پيش بيني عملكرد سود و زيان'!I4/(('ترازنامه ایجادی'!I7+'ترازنامه ایجادی'!H7)/2))</f>
        <v>143258981.55000001</v>
      </c>
      <c r="J15" s="604">
        <f>360/('پيش بيني عملكرد سود و زيان'!J4/(('ترازنامه ایجادی'!J7+'ترازنامه ایجادی'!I7)/2))</f>
        <v>143258981.55000001</v>
      </c>
      <c r="K15" s="604">
        <f>360/('پيش بيني عملكرد سود و زيان'!K4/(('ترازنامه ایجادی'!K7+'ترازنامه ایجادی'!J7)/2))</f>
        <v>143258981.55000001</v>
      </c>
      <c r="L15" s="604">
        <f>360/('پيش بيني عملكرد سود و زيان'!L4/(('ترازنامه ایجادی'!L7+'ترازنامه ایجادی'!K7)/2))</f>
        <v>143258981.55000001</v>
      </c>
      <c r="M15" s="604">
        <f>360/('پيش بيني عملكرد سود و زيان'!M4/(('ترازنامه ایجادی'!M7+'ترازنامه ایجادی'!L7)/2))</f>
        <v>143258981.55000001</v>
      </c>
      <c r="N15" s="613">
        <f>IF(SUM(C15:M15)=0,0,SUM(C15:M15)/N16)</f>
        <v>91164807.493007138</v>
      </c>
    </row>
    <row r="16" spans="1:14" ht="30" hidden="1" customHeight="1">
      <c r="A16" s="1152"/>
      <c r="B16" s="602"/>
      <c r="C16" s="604">
        <f>IF(C15&lt;&gt;0,1,0)</f>
        <v>1</v>
      </c>
      <c r="D16" s="604">
        <f t="shared" ref="D16:M16" si="5">IF(D15&lt;&gt;0,1,0)</f>
        <v>1</v>
      </c>
      <c r="E16" s="604">
        <f t="shared" si="5"/>
        <v>1</v>
      </c>
      <c r="F16" s="604">
        <f t="shared" si="5"/>
        <v>1</v>
      </c>
      <c r="G16" s="604">
        <f t="shared" si="5"/>
        <v>1</v>
      </c>
      <c r="H16" s="604">
        <f t="shared" si="5"/>
        <v>1</v>
      </c>
      <c r="I16" s="604">
        <f t="shared" si="5"/>
        <v>1</v>
      </c>
      <c r="J16" s="604">
        <f t="shared" si="5"/>
        <v>1</v>
      </c>
      <c r="K16" s="604">
        <f t="shared" si="5"/>
        <v>1</v>
      </c>
      <c r="L16" s="604">
        <f t="shared" si="5"/>
        <v>1</v>
      </c>
      <c r="M16" s="604">
        <f t="shared" si="5"/>
        <v>1</v>
      </c>
      <c r="N16" s="614">
        <f>SUM(C16:M16)</f>
        <v>11</v>
      </c>
    </row>
    <row r="17" spans="1:14" ht="30" customHeight="1">
      <c r="A17" s="1152"/>
      <c r="B17" s="602" t="s">
        <v>528</v>
      </c>
      <c r="C17" s="604">
        <f>'پيش بيني عملكرد سود و زيان'!C4/'سرمايه در گردش'!C20</f>
        <v>41.401588625325331</v>
      </c>
      <c r="D17" s="604">
        <f>'پيش بيني عملكرد سود و زيان'!D4/'سرمايه در گردش'!D20</f>
        <v>62.10238293798799</v>
      </c>
      <c r="E17" s="604">
        <f>'پيش بيني عملكرد سود و زيان'!E4/'سرمايه در گردش'!E20</f>
        <v>82.803177250650663</v>
      </c>
      <c r="F17" s="604">
        <f>'پيش بيني عملكرد سود و زيان'!F4/'سرمايه در گردش'!F20</f>
        <v>117.30450110508843</v>
      </c>
      <c r="G17" s="604">
        <f>'پيش بيني عملكرد سود و زيان'!G4/'سرمايه در گردش'!G20</f>
        <v>1.6560635450130131E-6</v>
      </c>
      <c r="H17" s="604">
        <f>'پيش بيني عملكرد سود و زيان'!H4/'سرمايه در گردش'!H20</f>
        <v>1.6560635450130133E-6</v>
      </c>
      <c r="I17" s="604">
        <f>'پيش بيني عملكرد سود و زيان'!I4/'سرمايه در گردش'!I20</f>
        <v>1.6560635450130133E-6</v>
      </c>
      <c r="J17" s="604">
        <f>'پيش بيني عملكرد سود و زيان'!J4/'سرمايه در گردش'!J20</f>
        <v>1.6560635450130133E-6</v>
      </c>
      <c r="K17" s="604">
        <f>'پيش بيني عملكرد سود و زيان'!K4/'سرمايه در گردش'!K20</f>
        <v>1.6560635450130133E-6</v>
      </c>
      <c r="L17" s="604">
        <f>'پيش بيني عملكرد سود و زيان'!L4/'سرمايه در گردش'!L20</f>
        <v>1.6560635450130133E-6</v>
      </c>
      <c r="M17" s="604">
        <f>'پيش بيني عملكرد سود و زيان'!M4/'سرمايه در گردش'!M20</f>
        <v>1.6560635450130133E-6</v>
      </c>
      <c r="N17" s="613">
        <f>IF(SUM(C17:M17)=0,0,SUM(C17:M17)/N18)</f>
        <v>27.60106013740884</v>
      </c>
    </row>
    <row r="18" spans="1:14" ht="30" hidden="1" customHeight="1">
      <c r="A18" s="608"/>
      <c r="B18" s="602"/>
      <c r="C18" s="604">
        <f>IF(C17&lt;&gt;0,1,0)</f>
        <v>1</v>
      </c>
      <c r="D18" s="604">
        <f t="shared" ref="D18:M18" si="6">IF(D17&lt;&gt;0,1,0)</f>
        <v>1</v>
      </c>
      <c r="E18" s="604">
        <f t="shared" si="6"/>
        <v>1</v>
      </c>
      <c r="F18" s="604">
        <f t="shared" si="6"/>
        <v>1</v>
      </c>
      <c r="G18" s="604">
        <f t="shared" si="6"/>
        <v>1</v>
      </c>
      <c r="H18" s="604">
        <f t="shared" si="6"/>
        <v>1</v>
      </c>
      <c r="I18" s="604">
        <f t="shared" si="6"/>
        <v>1</v>
      </c>
      <c r="J18" s="604">
        <f t="shared" si="6"/>
        <v>1</v>
      </c>
      <c r="K18" s="604">
        <f t="shared" si="6"/>
        <v>1</v>
      </c>
      <c r="L18" s="604">
        <f t="shared" si="6"/>
        <v>1</v>
      </c>
      <c r="M18" s="604">
        <f t="shared" si="6"/>
        <v>1</v>
      </c>
      <c r="N18" s="614">
        <f>SUM(C18:M18)</f>
        <v>11</v>
      </c>
    </row>
    <row r="19" spans="1:14" ht="30" customHeight="1">
      <c r="A19" s="1152" t="s">
        <v>373</v>
      </c>
      <c r="B19" s="605" t="s">
        <v>374</v>
      </c>
      <c r="C19" s="603">
        <f>'پيش بيني عملكرد سود و زيان'!C17/'پيش بيني عملكرد سود و زيان'!C4*100</f>
        <v>10.914767959882578</v>
      </c>
      <c r="D19" s="603">
        <f>'پيش بيني عملكرد سود و زيان'!D17/'پيش بيني عملكرد سود و زيان'!D4*100</f>
        <v>40.609845306588383</v>
      </c>
      <c r="E19" s="603">
        <f>'پيش بيني عملكرد سود و زيان'!E17/'پيش بيني عملكرد سود و زيان'!E4*100</f>
        <v>55.457383979941291</v>
      </c>
      <c r="F19" s="603">
        <f>'پيش بيني عملكرد سود و زيان'!F17/'پيش بيني عملكرد سود و زيان'!F4*100</f>
        <v>68.558153397605608</v>
      </c>
      <c r="G19" s="603">
        <f>'پيش بيني عملكرد سود و زيان'!G17/'پيش بيني عملكرد سود و زيان'!G4*100</f>
        <v>-2227130701.0029359</v>
      </c>
      <c r="H19" s="603">
        <f>'پيش بيني عملكرد سود و زيان'!H17/'پيش بيني عملكرد سود و زيان'!H4*100</f>
        <v>-298878587.5</v>
      </c>
      <c r="I19" s="603">
        <f>'پيش بيني عملكرد سود و زيان'!I17/'پيش بيني عملكرد سود و زيان'!I4*100</f>
        <v>-298878587.5</v>
      </c>
      <c r="J19" s="603">
        <f>'پيش بيني عملكرد سود و زيان'!J17/'پيش بيني عملكرد سود و زيان'!J4*100</f>
        <v>-298878587.5</v>
      </c>
      <c r="K19" s="603">
        <f>'پيش بيني عملكرد سود و زيان'!K17/'پيش بيني عملكرد سود و زيان'!K4*100</f>
        <v>-298878587.5</v>
      </c>
      <c r="L19" s="603">
        <f>'پيش بيني عملكرد سود و زيان'!L17/'پيش بيني عملكرد سود و زيان'!L4*100</f>
        <v>-298878587.5</v>
      </c>
      <c r="M19" s="603">
        <f>'پيش بيني عملكرد سود و زيان'!M17/'پيش بيني عملكرد سود و زيان'!M4*100</f>
        <v>-290129837.5</v>
      </c>
      <c r="N19" s="613">
        <f>IF(SUM(C19:M19)=0,0,SUM(C19:M19)/N20)</f>
        <v>-364695754.5875259</v>
      </c>
    </row>
    <row r="20" spans="1:14" ht="30" hidden="1" customHeight="1">
      <c r="A20" s="1152"/>
      <c r="B20" s="605"/>
      <c r="C20" s="603">
        <f>IF(C19&lt;&gt;0,1,0)</f>
        <v>1</v>
      </c>
      <c r="D20" s="603">
        <f t="shared" ref="D20:M20" si="7">IF(D19&lt;&gt;0,1,0)</f>
        <v>1</v>
      </c>
      <c r="E20" s="603">
        <f t="shared" si="7"/>
        <v>1</v>
      </c>
      <c r="F20" s="603">
        <f t="shared" si="7"/>
        <v>1</v>
      </c>
      <c r="G20" s="603">
        <f t="shared" si="7"/>
        <v>1</v>
      </c>
      <c r="H20" s="603">
        <f t="shared" si="7"/>
        <v>1</v>
      </c>
      <c r="I20" s="603">
        <f t="shared" si="7"/>
        <v>1</v>
      </c>
      <c r="J20" s="603">
        <f t="shared" si="7"/>
        <v>1</v>
      </c>
      <c r="K20" s="603">
        <f t="shared" si="7"/>
        <v>1</v>
      </c>
      <c r="L20" s="603">
        <f t="shared" si="7"/>
        <v>1</v>
      </c>
      <c r="M20" s="603">
        <f t="shared" si="7"/>
        <v>1</v>
      </c>
      <c r="N20" s="614">
        <f>SUM(C20:M20)</f>
        <v>11</v>
      </c>
    </row>
    <row r="21" spans="1:14" ht="30" customHeight="1">
      <c r="A21" s="1152"/>
      <c r="B21" s="602" t="s">
        <v>375</v>
      </c>
      <c r="C21" s="603">
        <f>IF('پيش بيني عملكرد سود و زيان'!C28&gt;0,('پيش بيني عملكرد سود و زيان'!C26/'پيش بيني عملكرد سود و زيان'!C4)*100,0)</f>
        <v>0</v>
      </c>
      <c r="D21" s="603">
        <f>IF('پيش بيني عملكرد سود و زيان'!D28&gt;0,('پيش بيني عملكرد سود و زيان'!D26/'پيش بيني عملكرد سود و زيان'!D4)*100,0)</f>
        <v>0</v>
      </c>
      <c r="E21" s="603">
        <f>IF('پيش بيني عملكرد سود و زيان'!E28&gt;0,('پيش بيني عملكرد سود و زيان'!E26/'پيش بيني عملكرد سود و زيان'!E4)*100,0)</f>
        <v>12.598341689882576</v>
      </c>
      <c r="F21" s="603">
        <f>IF('پيش بيني عملكرد سود و زيان'!F28&gt;0,('پيش بيني عملكرد سود و زيان'!F26/'پيش بيني عملكرد سود و زيان'!F4)*100,0)</f>
        <v>38.30471178109358</v>
      </c>
      <c r="G21" s="603">
        <f>IF('پيش بيني عملكرد سود و زيان'!G28&gt;0,('پيش بيني عملكرد سود و زيان'!G26/'پيش بيني عملكرد سود و زيان'!G4)*100,0)</f>
        <v>0</v>
      </c>
      <c r="H21" s="603">
        <f>IF('پيش بيني عملكرد سود و زيان'!H28&gt;0,('پيش بيني عملكرد سود و زيان'!H26/'پيش بيني عملكرد سود و زيان'!H4)*100,0)</f>
        <v>0</v>
      </c>
      <c r="I21" s="603">
        <f>IF('پيش بيني عملكرد سود و زيان'!I28&gt;0,('پيش بيني عملكرد سود و زيان'!I26/'پيش بيني عملكرد سود و زيان'!I4)*100,0)</f>
        <v>0</v>
      </c>
      <c r="J21" s="603">
        <f>IF('پيش بيني عملكرد سود و زيان'!J28&gt;0,('پيش بيني عملكرد سود و زيان'!J26/'پيش بيني عملكرد سود و زيان'!J4)*100,0)</f>
        <v>0</v>
      </c>
      <c r="K21" s="603">
        <f>IF('پيش بيني عملكرد سود و زيان'!K28&gt;0,('پيش بيني عملكرد سود و زيان'!K26/'پيش بيني عملكرد سود و زيان'!K4)*100,0)</f>
        <v>0</v>
      </c>
      <c r="L21" s="603">
        <f>IF('پيش بيني عملكرد سود و زيان'!L28&gt;0,('پيش بيني عملكرد سود و زيان'!L26/'پيش بيني عملكرد سود و زيان'!L4)*100,0)</f>
        <v>0</v>
      </c>
      <c r="M21" s="603">
        <f>IF('پيش بيني عملكرد سود و زيان'!M28&gt;0,('پيش بيني عملكرد سود و زيان'!M26/'پيش بيني عملكرد سود و زيان'!M4)*100,0)</f>
        <v>0</v>
      </c>
      <c r="N21" s="613">
        <f>IF(SUM(C21:M21)=0,0,SUM(C21:M21)/N22)</f>
        <v>25.451526735488077</v>
      </c>
    </row>
    <row r="22" spans="1:14" ht="30" hidden="1" customHeight="1">
      <c r="A22" s="1152"/>
      <c r="B22" s="602"/>
      <c r="C22" s="603">
        <f>IF(C21&lt;&gt;0,1,0)</f>
        <v>0</v>
      </c>
      <c r="D22" s="603">
        <f t="shared" ref="D22:M22" si="8">IF(D21&lt;&gt;0,1,0)</f>
        <v>0</v>
      </c>
      <c r="E22" s="603">
        <f t="shared" si="8"/>
        <v>1</v>
      </c>
      <c r="F22" s="603">
        <f t="shared" si="8"/>
        <v>1</v>
      </c>
      <c r="G22" s="603">
        <f t="shared" si="8"/>
        <v>0</v>
      </c>
      <c r="H22" s="603">
        <f t="shared" si="8"/>
        <v>0</v>
      </c>
      <c r="I22" s="603">
        <f t="shared" si="8"/>
        <v>0</v>
      </c>
      <c r="J22" s="603">
        <f t="shared" si="8"/>
        <v>0</v>
      </c>
      <c r="K22" s="603">
        <f t="shared" si="8"/>
        <v>0</v>
      </c>
      <c r="L22" s="603">
        <f t="shared" si="8"/>
        <v>0</v>
      </c>
      <c r="M22" s="603">
        <f t="shared" si="8"/>
        <v>0</v>
      </c>
      <c r="N22" s="614">
        <f>SUM(C22:M22)</f>
        <v>2</v>
      </c>
    </row>
    <row r="23" spans="1:14" ht="30" customHeight="1">
      <c r="A23" s="1152"/>
      <c r="B23" s="602" t="s">
        <v>376</v>
      </c>
      <c r="C23" s="603">
        <f>IF('پيش بيني عملكرد سود و زيان'!C28&gt;0,('پيش بيني عملكرد سود و زيان'!C26/'ترازنامه ایجادی'!C2)*100,0)</f>
        <v>0</v>
      </c>
      <c r="D23" s="603">
        <f>IF('پيش بيني عملكرد سود و زيان'!D28&gt;0,('پيش بيني عملكرد سود و زيان'!D26/'ترازنامه ایجادی'!D2)*100,0)</f>
        <v>0</v>
      </c>
      <c r="E23" s="603">
        <f>IF('پيش بيني عملكرد سود و زيان'!E28&gt;0,('پيش بيني عملكرد سود و زيان'!E26/'ترازنامه ایجادی'!E2)*100,0)</f>
        <v>6.0302354341736777</v>
      </c>
      <c r="F23" s="603">
        <f>IF('پيش بيني عملكرد سود و زيان'!F28&gt;0,('پيش بيني عملكرد سود و زيان'!F26/'ترازنامه ایجادی'!F2)*100,0)</f>
        <v>20.618612818200052</v>
      </c>
      <c r="G23" s="603">
        <f>IF('پيش بيني عملكرد سود و زيان'!G28&gt;0,('پيش بيني عملكرد سود و زيان'!G26/'ترازنامه ایجادی'!G2)*100,0)</f>
        <v>0</v>
      </c>
      <c r="H23" s="603">
        <f>IF('پيش بيني عملكرد سود و زيان'!H28&gt;0,('پيش بيني عملكرد سود و زيان'!H26/'ترازنامه ایجادی'!H2)*100,0)</f>
        <v>0</v>
      </c>
      <c r="I23" s="603">
        <f>IF('پيش بيني عملكرد سود و زيان'!I28&gt;0,('پيش بيني عملكرد سود و زيان'!I26/'ترازنامه ایجادی'!I2)*100,0)</f>
        <v>0</v>
      </c>
      <c r="J23" s="603">
        <f>IF('پيش بيني عملكرد سود و زيان'!J28&gt;0,('پيش بيني عملكرد سود و زيان'!J26/'ترازنامه ایجادی'!J2)*100,0)</f>
        <v>0</v>
      </c>
      <c r="K23" s="603">
        <f>IF('پيش بيني عملكرد سود و زيان'!K28&gt;0,('پيش بيني عملكرد سود و زيان'!K26/'ترازنامه ایجادی'!K2)*100,0)</f>
        <v>0</v>
      </c>
      <c r="L23" s="603">
        <f>IF('پيش بيني عملكرد سود و زيان'!L28&gt;0,('پيش بيني عملكرد سود و زيان'!L26/'ترازنامه ایجادی'!L2)*100,0)</f>
        <v>0</v>
      </c>
      <c r="M23" s="603">
        <f>IF('پيش بيني عملكرد سود و زيان'!M28&gt;0,('پيش بيني عملكرد سود و زيان'!M26/'ترازنامه ایجادی'!M2)*100,0)</f>
        <v>0</v>
      </c>
      <c r="N23" s="613">
        <f>IF(SUM(C23:M23)=0,0,SUM(C23:M23)/N24)</f>
        <v>13.324424126186866</v>
      </c>
    </row>
    <row r="24" spans="1:14" ht="30" hidden="1" customHeight="1">
      <c r="A24" s="1152"/>
      <c r="B24" s="602"/>
      <c r="C24" s="603">
        <f>IF(C23&lt;&gt;0,1,0)</f>
        <v>0</v>
      </c>
      <c r="D24" s="603">
        <f t="shared" ref="D24:M24" si="9">IF(D23&lt;&gt;0,1,0)</f>
        <v>0</v>
      </c>
      <c r="E24" s="603">
        <f t="shared" si="9"/>
        <v>1</v>
      </c>
      <c r="F24" s="603">
        <f t="shared" si="9"/>
        <v>1</v>
      </c>
      <c r="G24" s="603">
        <f t="shared" si="9"/>
        <v>0</v>
      </c>
      <c r="H24" s="603">
        <f t="shared" si="9"/>
        <v>0</v>
      </c>
      <c r="I24" s="603">
        <f t="shared" si="9"/>
        <v>0</v>
      </c>
      <c r="J24" s="603">
        <f t="shared" si="9"/>
        <v>0</v>
      </c>
      <c r="K24" s="603">
        <f t="shared" si="9"/>
        <v>0</v>
      </c>
      <c r="L24" s="603">
        <f t="shared" si="9"/>
        <v>0</v>
      </c>
      <c r="M24" s="603">
        <f t="shared" si="9"/>
        <v>0</v>
      </c>
      <c r="N24" s="614">
        <f>SUM(C24:M24)</f>
        <v>2</v>
      </c>
    </row>
    <row r="25" spans="1:14" ht="30" customHeight="1">
      <c r="A25" s="1152"/>
      <c r="B25" s="602" t="s">
        <v>536</v>
      </c>
      <c r="C25" s="603" t="e">
        <f t="shared" ref="C25:M25" si="10">C27/C23</f>
        <v>#DIV/0!</v>
      </c>
      <c r="D25" s="603" t="e">
        <f t="shared" si="10"/>
        <v>#DIV/0!</v>
      </c>
      <c r="E25" s="603">
        <f t="shared" si="10"/>
        <v>-5.8787144373243372</v>
      </c>
      <c r="F25" s="603">
        <f t="shared" si="10"/>
        <v>14.053974961913065</v>
      </c>
      <c r="G25" s="603" t="e">
        <f t="shared" si="10"/>
        <v>#DIV/0!</v>
      </c>
      <c r="H25" s="603" t="e">
        <f t="shared" si="10"/>
        <v>#DIV/0!</v>
      </c>
      <c r="I25" s="603" t="e">
        <f t="shared" si="10"/>
        <v>#DIV/0!</v>
      </c>
      <c r="J25" s="603" t="e">
        <f t="shared" si="10"/>
        <v>#DIV/0!</v>
      </c>
      <c r="K25" s="603" t="e">
        <f t="shared" si="10"/>
        <v>#DIV/0!</v>
      </c>
      <c r="L25" s="603" t="e">
        <f t="shared" si="10"/>
        <v>#DIV/0!</v>
      </c>
      <c r="M25" s="603" t="e">
        <f t="shared" si="10"/>
        <v>#DIV/0!</v>
      </c>
      <c r="N25" s="613" t="e">
        <f>IF(SUM(C25:M25)=0,0,SUM(C25:M25)/N26)</f>
        <v>#DIV/0!</v>
      </c>
    </row>
    <row r="26" spans="1:14" ht="30" hidden="1" customHeight="1">
      <c r="A26" s="1152"/>
      <c r="B26" s="602"/>
      <c r="C26" s="603" t="e">
        <f>IF(C25&lt;&gt;0,1,0)</f>
        <v>#DIV/0!</v>
      </c>
      <c r="D26" s="603" t="e">
        <f t="shared" ref="D26:M26" si="11">IF(D25&lt;&gt;0,1,0)</f>
        <v>#DIV/0!</v>
      </c>
      <c r="E26" s="603">
        <f t="shared" si="11"/>
        <v>1</v>
      </c>
      <c r="F26" s="603">
        <f t="shared" si="11"/>
        <v>1</v>
      </c>
      <c r="G26" s="603" t="e">
        <f t="shared" si="11"/>
        <v>#DIV/0!</v>
      </c>
      <c r="H26" s="603" t="e">
        <f t="shared" si="11"/>
        <v>#DIV/0!</v>
      </c>
      <c r="I26" s="603" t="e">
        <f t="shared" si="11"/>
        <v>#DIV/0!</v>
      </c>
      <c r="J26" s="603" t="e">
        <f t="shared" si="11"/>
        <v>#DIV/0!</v>
      </c>
      <c r="K26" s="603" t="e">
        <f t="shared" si="11"/>
        <v>#DIV/0!</v>
      </c>
      <c r="L26" s="603" t="e">
        <f t="shared" si="11"/>
        <v>#DIV/0!</v>
      </c>
      <c r="M26" s="603" t="e">
        <f t="shared" si="11"/>
        <v>#DIV/0!</v>
      </c>
      <c r="N26" s="614" t="e">
        <f>SUM(C26:M26)</f>
        <v>#DIV/0!</v>
      </c>
    </row>
    <row r="27" spans="1:14" ht="30" customHeight="1">
      <c r="A27" s="1152"/>
      <c r="B27" s="606" t="s">
        <v>377</v>
      </c>
      <c r="C27" s="603">
        <f>IF('پيش بيني عملكرد سود و زيان'!C28&gt;0,('پيش بيني عملكرد سود و زيان'!C26/('ترازنامه توسعه'!D30))*100,0)</f>
        <v>0</v>
      </c>
      <c r="D27" s="603">
        <f>IF('پيش بيني عملكرد سود و زيان'!D28&gt;0,('پيش بيني عملكرد سود و زيان'!D26/('ترازنامه توسعه'!E30))*100,0)</f>
        <v>0</v>
      </c>
      <c r="E27" s="603">
        <f>IF('پيش بيني عملكرد سود و زيان'!E28&gt;0,('پيش بيني عملكرد سود و زيان'!E26/('ترازنامه توسعه'!F30))*100,0)</f>
        <v>-35.450032107341592</v>
      </c>
      <c r="F27" s="603">
        <f>IF('پيش بيني عملكرد سود و زيان'!F28&gt;0,('پيش بيني عملكرد سود و زيان'!F26/('ترازنامه توسعه'!G30))*100,0)</f>
        <v>289.77346829636332</v>
      </c>
      <c r="G27" s="603">
        <f>IF('پيش بيني عملكرد سود و زيان'!G28&gt;0,('پيش بيني عملكرد سود و زيان'!G26/('ترازنامه توسعه'!H30))*100,0)</f>
        <v>0</v>
      </c>
      <c r="H27" s="603">
        <f>IF('پيش بيني عملكرد سود و زيان'!H28&gt;0,('پيش بيني عملكرد سود و زيان'!H26/('ترازنامه توسعه'!I30))*100,0)</f>
        <v>0</v>
      </c>
      <c r="I27" s="603">
        <f>IF('پيش بيني عملكرد سود و زيان'!I28&gt;0,('پيش بيني عملكرد سود و زيان'!I26/('ترازنامه توسعه'!J30))*100,0)</f>
        <v>0</v>
      </c>
      <c r="J27" s="603">
        <f>IF('پيش بيني عملكرد سود و زيان'!J28&gt;0,('پيش بيني عملكرد سود و زيان'!J26/('ترازنامه توسعه'!K30))*100,0)</f>
        <v>0</v>
      </c>
      <c r="K27" s="603">
        <f>IF('پيش بيني عملكرد سود و زيان'!K28&gt;0,('پيش بيني عملكرد سود و زيان'!K26/('ترازنامه توسعه'!L30))*100,0)</f>
        <v>0</v>
      </c>
      <c r="L27" s="603">
        <f>IF('پيش بيني عملكرد سود و زيان'!L28&gt;0,('پيش بيني عملكرد سود و زيان'!L26/('ترازنامه توسعه'!M30))*100,0)</f>
        <v>0</v>
      </c>
      <c r="M27" s="603">
        <f>IF('پيش بيني عملكرد سود و زيان'!M28&gt;0,('پيش بيني عملكرد سود و زيان'!M26/('ترازنامه توسعه'!N30))*100,0)</f>
        <v>0</v>
      </c>
      <c r="N27" s="613">
        <f>IF(SUM(C27:M27)=0,0,SUM(C27:M27)/N28)</f>
        <v>127.16171809451086</v>
      </c>
    </row>
    <row r="28" spans="1:14" ht="30" hidden="1" customHeight="1">
      <c r="A28" s="608"/>
      <c r="B28" s="606"/>
      <c r="C28" s="603">
        <f>IF(C27&lt;&gt;0,1,0)</f>
        <v>0</v>
      </c>
      <c r="D28" s="603">
        <f t="shared" ref="D28:M28" si="12">IF(D27&lt;&gt;0,1,0)</f>
        <v>0</v>
      </c>
      <c r="E28" s="603">
        <f t="shared" si="12"/>
        <v>1</v>
      </c>
      <c r="F28" s="603">
        <f t="shared" si="12"/>
        <v>1</v>
      </c>
      <c r="G28" s="603">
        <f t="shared" si="12"/>
        <v>0</v>
      </c>
      <c r="H28" s="603">
        <f t="shared" si="12"/>
        <v>0</v>
      </c>
      <c r="I28" s="603">
        <f t="shared" si="12"/>
        <v>0</v>
      </c>
      <c r="J28" s="603">
        <f t="shared" si="12"/>
        <v>0</v>
      </c>
      <c r="K28" s="603">
        <f t="shared" si="12"/>
        <v>0</v>
      </c>
      <c r="L28" s="603">
        <f t="shared" si="12"/>
        <v>0</v>
      </c>
      <c r="M28" s="603">
        <f t="shared" si="12"/>
        <v>0</v>
      </c>
      <c r="N28" s="614">
        <f>SUM(C28:M28)</f>
        <v>2</v>
      </c>
    </row>
    <row r="29" spans="1:14" ht="30" customHeight="1">
      <c r="A29" s="1152" t="s">
        <v>378</v>
      </c>
      <c r="B29" s="602" t="s">
        <v>379</v>
      </c>
      <c r="C29" s="603">
        <f>(('ترازنامه توسعه'!D30)/'ترازنامه ایجادی'!C2)*100</f>
        <v>-17.120782933561365</v>
      </c>
      <c r="D29" s="603">
        <f>(('ترازنامه توسعه'!E30)/'ترازنامه ایجادی'!D2)*100</f>
        <v>-24.519330579327093</v>
      </c>
      <c r="E29" s="603">
        <f>(('ترازنامه توسعه'!F30)/'ترازنامه ایجادی'!E2)*100</f>
        <v>-17.01052178433665</v>
      </c>
      <c r="F29" s="603">
        <f>(('ترازنامه توسعه'!G30)/'ترازنامه ایجادی'!F2)*100</f>
        <v>7.1154246589313495</v>
      </c>
      <c r="G29" s="603">
        <f>(('ترازنامه توسعه'!H30)/'ترازنامه ایجادی'!G2)*100</f>
        <v>-39.068048836666435</v>
      </c>
      <c r="H29" s="603">
        <f>(('ترازنامه توسعه'!I30)/'ترازنامه ایجادی'!H2)*100</f>
        <v>-47.980194379145424</v>
      </c>
      <c r="I29" s="603">
        <f>(('ترازنامه توسعه'!J30)/'ترازنامه ایجادی'!I2)*100</f>
        <v>-58.112819917691958</v>
      </c>
      <c r="J29" s="603">
        <f>(('ترازنامه توسعه'!K30)/'ترازنامه ایجادی'!J2)*100</f>
        <v>-69.735063317009434</v>
      </c>
      <c r="K29" s="603">
        <f>(('ترازنامه توسعه'!L30)/'ترازنامه ایجادی'!K2)*100</f>
        <v>-83.201473690658347</v>
      </c>
      <c r="L29" s="603">
        <f>(('ترازنامه توسعه'!M30)/'ترازنامه ایجادی'!L2)*100</f>
        <v>-98.988812861424947</v>
      </c>
      <c r="M29" s="603">
        <f>(('ترازنامه توسعه'!N30)/'ترازنامه ایجادی'!M2)*100</f>
        <v>-117.41481441801346</v>
      </c>
      <c r="N29" s="613">
        <f>IF(SUM(C29:M29)=0,0,SUM(C29:M29)/N30)</f>
        <v>-51.457858005354886</v>
      </c>
    </row>
    <row r="30" spans="1:14" ht="30" hidden="1" customHeight="1">
      <c r="A30" s="1152"/>
      <c r="B30" s="602"/>
      <c r="C30" s="603">
        <f>IF(C29&lt;&gt;0,1,0)</f>
        <v>1</v>
      </c>
      <c r="D30" s="603">
        <f t="shared" ref="D30:M30" si="13">IF(D29&lt;&gt;0,1,0)</f>
        <v>1</v>
      </c>
      <c r="E30" s="603">
        <f t="shared" si="13"/>
        <v>1</v>
      </c>
      <c r="F30" s="603">
        <f t="shared" si="13"/>
        <v>1</v>
      </c>
      <c r="G30" s="603">
        <f t="shared" si="13"/>
        <v>1</v>
      </c>
      <c r="H30" s="603">
        <f t="shared" si="13"/>
        <v>1</v>
      </c>
      <c r="I30" s="603">
        <f t="shared" si="13"/>
        <v>1</v>
      </c>
      <c r="J30" s="603">
        <f t="shared" si="13"/>
        <v>1</v>
      </c>
      <c r="K30" s="603">
        <f t="shared" si="13"/>
        <v>1</v>
      </c>
      <c r="L30" s="603">
        <f t="shared" si="13"/>
        <v>1</v>
      </c>
      <c r="M30" s="603">
        <f t="shared" si="13"/>
        <v>1</v>
      </c>
      <c r="N30" s="614">
        <f>SUM(C30:M30)</f>
        <v>11</v>
      </c>
    </row>
    <row r="31" spans="1:14" ht="30" customHeight="1">
      <c r="A31" s="1152"/>
      <c r="B31" s="602" t="s">
        <v>380</v>
      </c>
      <c r="C31" s="603">
        <f>IF(100-C29&gt;=0,100-C29,0)</f>
        <v>117.12078293356137</v>
      </c>
      <c r="D31" s="603">
        <f t="shared" ref="D31:M31" si="14">IF(100-D29&gt;=0,100-D29,0)</f>
        <v>124.51933057932709</v>
      </c>
      <c r="E31" s="603">
        <f t="shared" si="14"/>
        <v>117.01052178433665</v>
      </c>
      <c r="F31" s="603">
        <f t="shared" si="14"/>
        <v>92.884575341068654</v>
      </c>
      <c r="G31" s="603">
        <f t="shared" si="14"/>
        <v>139.06804883666643</v>
      </c>
      <c r="H31" s="603">
        <f t="shared" si="14"/>
        <v>147.98019437914542</v>
      </c>
      <c r="I31" s="603">
        <f t="shared" si="14"/>
        <v>158.11281991769195</v>
      </c>
      <c r="J31" s="603">
        <f t="shared" si="14"/>
        <v>169.73506331700943</v>
      </c>
      <c r="K31" s="603">
        <f t="shared" si="14"/>
        <v>183.20147369065836</v>
      </c>
      <c r="L31" s="603">
        <f t="shared" si="14"/>
        <v>198.98881286142495</v>
      </c>
      <c r="M31" s="603">
        <f t="shared" si="14"/>
        <v>217.41481441801346</v>
      </c>
      <c r="N31" s="613">
        <f>IF(SUM(C31:M31)=0,0,SUM(C31:M31)/N32)</f>
        <v>151.45785800535489</v>
      </c>
    </row>
    <row r="32" spans="1:14" ht="30" hidden="1" customHeight="1">
      <c r="A32" s="1152"/>
      <c r="B32" s="602"/>
      <c r="C32" s="603">
        <f>IF(C31&lt;&gt;0,1,0)</f>
        <v>1</v>
      </c>
      <c r="D32" s="603">
        <f t="shared" ref="D32:M32" si="15">IF(D31&lt;&gt;0,1,0)</f>
        <v>1</v>
      </c>
      <c r="E32" s="603">
        <f t="shared" si="15"/>
        <v>1</v>
      </c>
      <c r="F32" s="603">
        <f t="shared" si="15"/>
        <v>1</v>
      </c>
      <c r="G32" s="603">
        <f t="shared" si="15"/>
        <v>1</v>
      </c>
      <c r="H32" s="603">
        <f t="shared" si="15"/>
        <v>1</v>
      </c>
      <c r="I32" s="603">
        <f t="shared" si="15"/>
        <v>1</v>
      </c>
      <c r="J32" s="603">
        <f t="shared" si="15"/>
        <v>1</v>
      </c>
      <c r="K32" s="603">
        <f t="shared" si="15"/>
        <v>1</v>
      </c>
      <c r="L32" s="603">
        <f t="shared" si="15"/>
        <v>1</v>
      </c>
      <c r="M32" s="603">
        <f t="shared" si="15"/>
        <v>1</v>
      </c>
      <c r="N32" s="614">
        <f>SUM(C32:M32)</f>
        <v>11</v>
      </c>
    </row>
    <row r="33" spans="1:14" ht="30" customHeight="1">
      <c r="A33" s="1152"/>
      <c r="B33" s="602" t="s">
        <v>381</v>
      </c>
      <c r="C33" s="603">
        <f>('ترازنامه ایجادی'!C16/'ترازنامه ایجادی'!C2)*100</f>
        <v>0</v>
      </c>
      <c r="D33" s="603">
        <f>('ترازنامه ایجادی'!D16/'ترازنامه ایجادی'!D2)*100</f>
        <v>0</v>
      </c>
      <c r="E33" s="603">
        <f>('ترازنامه ایجادی'!E16/'ترازنامه ایجادی'!E2)*100</f>
        <v>0</v>
      </c>
      <c r="F33" s="603">
        <f>('ترازنامه ایجادی'!F16/'ترازنامه ایجادی'!F2)*100</f>
        <v>0</v>
      </c>
      <c r="G33" s="603">
        <f>('ترازنامه ایجادی'!G16/'ترازنامه ایجادی'!G2)*100</f>
        <v>0</v>
      </c>
      <c r="H33" s="603">
        <f>('ترازنامه ایجادی'!H16/'ترازنامه ایجادی'!H2)*100</f>
        <v>0</v>
      </c>
      <c r="I33" s="603">
        <f>('ترازنامه ایجادی'!I16/'ترازنامه ایجادی'!I2)*100</f>
        <v>0</v>
      </c>
      <c r="J33" s="603">
        <f>('ترازنامه ایجادی'!J16/'ترازنامه ایجادی'!J2)*100</f>
        <v>0</v>
      </c>
      <c r="K33" s="603">
        <f>('ترازنامه ایجادی'!K16/'ترازنامه ایجادی'!K2)*100</f>
        <v>0</v>
      </c>
      <c r="L33" s="603">
        <f>('ترازنامه ایجادی'!L16/'ترازنامه ایجادی'!L2)*100</f>
        <v>0</v>
      </c>
      <c r="M33" s="603">
        <f>('ترازنامه ایجادی'!M16/'ترازنامه ایجادی'!M2)*100</f>
        <v>0</v>
      </c>
      <c r="N33" s="613">
        <f>IF(SUM(C33:M33)=0,0,SUM(C33:M33)/N34)</f>
        <v>0</v>
      </c>
    </row>
    <row r="34" spans="1:14" ht="30" hidden="1" customHeight="1">
      <c r="A34" s="1152"/>
      <c r="B34" s="602"/>
      <c r="C34" s="603">
        <f>IF(C33&lt;&gt;0,1,0)</f>
        <v>0</v>
      </c>
      <c r="D34" s="603">
        <f t="shared" ref="D34:M34" si="16">IF(D33&lt;&gt;0,1,0)</f>
        <v>0</v>
      </c>
      <c r="E34" s="603">
        <f t="shared" si="16"/>
        <v>0</v>
      </c>
      <c r="F34" s="603">
        <f t="shared" si="16"/>
        <v>0</v>
      </c>
      <c r="G34" s="603">
        <f t="shared" si="16"/>
        <v>0</v>
      </c>
      <c r="H34" s="603">
        <f t="shared" si="16"/>
        <v>0</v>
      </c>
      <c r="I34" s="603">
        <f t="shared" si="16"/>
        <v>0</v>
      </c>
      <c r="J34" s="603">
        <f t="shared" si="16"/>
        <v>0</v>
      </c>
      <c r="K34" s="603">
        <f t="shared" si="16"/>
        <v>0</v>
      </c>
      <c r="L34" s="603">
        <f t="shared" si="16"/>
        <v>0</v>
      </c>
      <c r="M34" s="603">
        <f t="shared" si="16"/>
        <v>0</v>
      </c>
      <c r="N34" s="614">
        <f>SUM(C34:M34)</f>
        <v>0</v>
      </c>
    </row>
    <row r="35" spans="1:14" ht="30" customHeight="1">
      <c r="A35" s="1152"/>
      <c r="B35" s="602" t="s">
        <v>529</v>
      </c>
      <c r="C35" s="603">
        <f>'ترازنامه ایجادی'!C11/('ترازنامه توسعه'!D30)</f>
        <v>-4.6814061213733362</v>
      </c>
      <c r="D35" s="603">
        <f>'ترازنامه ایجادی'!D11/('ترازنامه توسعه'!E30)</f>
        <v>-1.8580218850507735</v>
      </c>
      <c r="E35" s="603">
        <f>'ترازنامه ایجادی'!E11/('ترازنامه توسعه'!F30)</f>
        <v>-0.32606756237976309</v>
      </c>
      <c r="F35" s="603">
        <f>'ترازنامه ایجادی'!F11/('ترازنامه توسعه'!G30)</f>
        <v>-3.5384328079632361</v>
      </c>
      <c r="G35" s="603">
        <f>'ترازنامه ایجادی'!G11/('ترازنامه توسعه'!H30)</f>
        <v>2.0984975815301246</v>
      </c>
      <c r="H35" s="603">
        <f>'ترازنامه ایجادی'!H11/('ترازنامه توسعه'!I30)</f>
        <v>1.8312819373976261</v>
      </c>
      <c r="I35" s="603">
        <f>'ترازنامه ایجادی'!I11/('ترازنامه توسعه'!J30)</f>
        <v>1.6270369649280432</v>
      </c>
      <c r="J35" s="603">
        <f>'ترازنامه ایجادی'!J11/('ترازنامه توسعه'!K30)</f>
        <v>1.4658499131312868</v>
      </c>
      <c r="K35" s="603">
        <f>'ترازنامه ایجادی'!K11/('ترازنامه توسعه'!L30)</f>
        <v>1.3354032537416338</v>
      </c>
      <c r="L35" s="603">
        <f>'ترازنامه ایجادی'!L11/('ترازنامه توسعه'!M30)</f>
        <v>1.2276686695754622</v>
      </c>
      <c r="M35" s="607">
        <f>'ترازنامه ایجادی'!M11/('ترازنامه توسعه'!N30)</f>
        <v>1.1373714095825329</v>
      </c>
      <c r="N35" s="613">
        <f>IF(SUM(C35:M35)=0,0,SUM(C35:M35)/N36)</f>
        <v>2.9016486647236439E-2</v>
      </c>
    </row>
    <row r="36" spans="1:14" ht="30" hidden="1" customHeight="1">
      <c r="A36" s="1152"/>
      <c r="B36" s="602"/>
      <c r="C36" s="603">
        <f>IF(C35&lt;&gt;0,1,0)</f>
        <v>1</v>
      </c>
      <c r="D36" s="603">
        <f t="shared" ref="D36:M36" si="17">IF(D35&lt;&gt;0,1,0)</f>
        <v>1</v>
      </c>
      <c r="E36" s="603">
        <f t="shared" si="17"/>
        <v>1</v>
      </c>
      <c r="F36" s="603">
        <f t="shared" si="17"/>
        <v>1</v>
      </c>
      <c r="G36" s="603">
        <f t="shared" si="17"/>
        <v>1</v>
      </c>
      <c r="H36" s="603">
        <f t="shared" si="17"/>
        <v>1</v>
      </c>
      <c r="I36" s="603">
        <f t="shared" si="17"/>
        <v>1</v>
      </c>
      <c r="J36" s="603">
        <f t="shared" si="17"/>
        <v>1</v>
      </c>
      <c r="K36" s="603">
        <f t="shared" si="17"/>
        <v>1</v>
      </c>
      <c r="L36" s="603">
        <f t="shared" si="17"/>
        <v>1</v>
      </c>
      <c r="M36" s="603">
        <f t="shared" si="17"/>
        <v>1</v>
      </c>
      <c r="N36" s="614">
        <f>SUM(C36:M36)</f>
        <v>11</v>
      </c>
    </row>
    <row r="37" spans="1:14" ht="30" customHeight="1">
      <c r="A37" s="1152"/>
      <c r="B37" s="602" t="s">
        <v>530</v>
      </c>
      <c r="C37" s="603">
        <f>'ترازنامه ایجادی'!C15/('ترازنامه توسعه'!D30)</f>
        <v>-5.8408543807872793</v>
      </c>
      <c r="D37" s="603">
        <f>'ترازنامه ایجادی'!D15/('ترازنامه توسعه'!E30)</f>
        <v>-4.0784147706019631</v>
      </c>
      <c r="E37" s="603">
        <f>'ترازنامه ایجادی'!E15/('ترازنامه توسعه'!F30)</f>
        <v>-5.8787144373243372</v>
      </c>
      <c r="F37" s="603">
        <f>'ترازنامه ایجادی'!F15/('ترازنامه توسعه'!G30)</f>
        <v>14.053974961913067</v>
      </c>
      <c r="G37" s="603">
        <f>'ترازنامه ایجادی'!G15/('ترازنامه توسعه'!H30)</f>
        <v>-2.5596364030892489</v>
      </c>
      <c r="H37" s="603">
        <f>'ترازنامه ایجادی'!H15/('ترازنامه توسعه'!I30)</f>
        <v>-2.0841933071339316</v>
      </c>
      <c r="I37" s="603">
        <f>'ترازنامه ایجادی'!I15/('ترازنامه توسعه'!J30)</f>
        <v>-1.720790698879092</v>
      </c>
      <c r="J37" s="603">
        <f>'ترازنامه ایجادی'!J15/('ترازنامه توسعه'!K30)</f>
        <v>-1.4339988413778131</v>
      </c>
      <c r="K37" s="603">
        <f>'ترازنامه ایجادی'!K15/('ترازنامه توسعه'!L30)</f>
        <v>-1.2019017880836849</v>
      </c>
      <c r="L37" s="603">
        <f>'ترازنامه ایجادی'!L15/('ترازنامه توسعه'!M30)</f>
        <v>-1.0102151658287946</v>
      </c>
      <c r="M37" s="603">
        <f>'ترازنامه ایجادی'!M15/('ترازنامه توسعه'!N30)</f>
        <v>-0.85168128481628935</v>
      </c>
      <c r="N37" s="613">
        <f>IF(SUM(C37:M37)=0,0,SUM(C37:M37)/N38)</f>
        <v>-1.1460387378190333</v>
      </c>
    </row>
    <row r="38" spans="1:14" ht="30" hidden="1" customHeight="1">
      <c r="A38" s="1152"/>
      <c r="B38" s="602"/>
      <c r="C38" s="603">
        <f>IF(C37&lt;&gt;0,1,0)</f>
        <v>1</v>
      </c>
      <c r="D38" s="603">
        <f t="shared" ref="D38:M38" si="18">IF(D37&lt;&gt;0,1,0)</f>
        <v>1</v>
      </c>
      <c r="E38" s="603">
        <f t="shared" si="18"/>
        <v>1</v>
      </c>
      <c r="F38" s="603">
        <f t="shared" si="18"/>
        <v>1</v>
      </c>
      <c r="G38" s="603">
        <f t="shared" si="18"/>
        <v>1</v>
      </c>
      <c r="H38" s="603">
        <f t="shared" si="18"/>
        <v>1</v>
      </c>
      <c r="I38" s="603">
        <f t="shared" si="18"/>
        <v>1</v>
      </c>
      <c r="J38" s="603">
        <f t="shared" si="18"/>
        <v>1</v>
      </c>
      <c r="K38" s="603">
        <f t="shared" si="18"/>
        <v>1</v>
      </c>
      <c r="L38" s="603">
        <f t="shared" si="18"/>
        <v>1</v>
      </c>
      <c r="M38" s="603">
        <f t="shared" si="18"/>
        <v>1</v>
      </c>
      <c r="N38" s="614">
        <f>SUM(C38:M38)</f>
        <v>11</v>
      </c>
    </row>
    <row r="39" spans="1:14" ht="30" customHeight="1">
      <c r="A39" s="1152"/>
      <c r="B39" s="602" t="s">
        <v>531</v>
      </c>
      <c r="C39" s="603">
        <f>'ترازنامه ایجادی'!C16/('ترازنامه توسعه'!D30)</f>
        <v>0</v>
      </c>
      <c r="D39" s="603">
        <f>'ترازنامه ایجادی'!D16/('ترازنامه توسعه'!E30)</f>
        <v>0</v>
      </c>
      <c r="E39" s="603">
        <f>'ترازنامه ایجادی'!E16/('ترازنامه توسعه'!F30)</f>
        <v>0</v>
      </c>
      <c r="F39" s="603">
        <f>'ترازنامه ایجادی'!F16/('ترازنامه توسعه'!G30)</f>
        <v>0</v>
      </c>
      <c r="G39" s="603">
        <f>'ترازنامه ایجادی'!G16/('ترازنامه توسعه'!H30)</f>
        <v>0</v>
      </c>
      <c r="H39" s="603">
        <f>'ترازنامه ایجادی'!H16/('ترازنامه توسعه'!I30)</f>
        <v>0</v>
      </c>
      <c r="I39" s="603">
        <f>'ترازنامه ایجادی'!I16/('ترازنامه توسعه'!J30)</f>
        <v>0</v>
      </c>
      <c r="J39" s="603">
        <f>'ترازنامه ایجادی'!J16/('ترازنامه توسعه'!K30)</f>
        <v>0</v>
      </c>
      <c r="K39" s="603">
        <f>'ترازنامه ایجادی'!K16/('ترازنامه توسعه'!L30)</f>
        <v>0</v>
      </c>
      <c r="L39" s="603">
        <f>'ترازنامه ایجادی'!L16/('ترازنامه توسعه'!M30)</f>
        <v>0</v>
      </c>
      <c r="M39" s="603">
        <f>'ترازنامه ایجادی'!M16/('ترازنامه توسعه'!N30)</f>
        <v>0</v>
      </c>
      <c r="N39" s="613">
        <f>IF(SUM(C39:M39)=0,0,SUM(C39:M39)/N40)</f>
        <v>0</v>
      </c>
    </row>
    <row r="40" spans="1:14" ht="30" hidden="1" customHeight="1">
      <c r="A40" s="1152"/>
      <c r="B40" s="602"/>
      <c r="C40" s="603">
        <f>IF(C39&lt;&gt;0,1,0)</f>
        <v>0</v>
      </c>
      <c r="D40" s="603">
        <f t="shared" ref="D40:M40" si="19">IF(D39&lt;&gt;0,1,0)</f>
        <v>0</v>
      </c>
      <c r="E40" s="603">
        <f t="shared" si="19"/>
        <v>0</v>
      </c>
      <c r="F40" s="603">
        <f t="shared" si="19"/>
        <v>0</v>
      </c>
      <c r="G40" s="603">
        <f t="shared" si="19"/>
        <v>0</v>
      </c>
      <c r="H40" s="603">
        <f t="shared" si="19"/>
        <v>0</v>
      </c>
      <c r="I40" s="603">
        <f t="shared" si="19"/>
        <v>0</v>
      </c>
      <c r="J40" s="603">
        <f t="shared" si="19"/>
        <v>0</v>
      </c>
      <c r="K40" s="603">
        <f t="shared" si="19"/>
        <v>0</v>
      </c>
      <c r="L40" s="603">
        <f t="shared" si="19"/>
        <v>0</v>
      </c>
      <c r="M40" s="603">
        <f t="shared" si="19"/>
        <v>0</v>
      </c>
      <c r="N40" s="614">
        <f>SUM(C40:M40)</f>
        <v>0</v>
      </c>
    </row>
    <row r="41" spans="1:14" ht="30" customHeight="1">
      <c r="A41" s="1152"/>
      <c r="B41" s="602" t="s">
        <v>532</v>
      </c>
      <c r="C41" s="603">
        <f>'ترازنامه ایجادی'!C19/'سرمايه در گردش'!C20</f>
        <v>0</v>
      </c>
      <c r="D41" s="603">
        <f>'ترازنامه ایجادی'!D19/'سرمايه در گردش'!D20</f>
        <v>0</v>
      </c>
      <c r="E41" s="603">
        <f>'ترازنامه ایجادی'!E19/'سرمايه در گردش'!E20</f>
        <v>0</v>
      </c>
      <c r="F41" s="603">
        <f>'ترازنامه ایجادی'!F19/'سرمايه در گردش'!F20</f>
        <v>0</v>
      </c>
      <c r="G41" s="603">
        <f>'ترازنامه ایجادی'!G19/'سرمايه در گردش'!G20</f>
        <v>0</v>
      </c>
      <c r="H41" s="603">
        <f>'ترازنامه ایجادی'!H19/'سرمايه در گردش'!H20</f>
        <v>0</v>
      </c>
      <c r="I41" s="603">
        <f>'ترازنامه ایجادی'!I19/'سرمايه در گردش'!I20</f>
        <v>0</v>
      </c>
      <c r="J41" s="603">
        <f>'ترازنامه ایجادی'!J19/'سرمايه در گردش'!J20</f>
        <v>0</v>
      </c>
      <c r="K41" s="603">
        <f>'ترازنامه ایجادی'!K19/'سرمايه در گردش'!K20</f>
        <v>0</v>
      </c>
      <c r="L41" s="603">
        <f>'ترازنامه ایجادی'!L19/'سرمايه در گردش'!L20</f>
        <v>0</v>
      </c>
      <c r="M41" s="603">
        <f>'ترازنامه ایجادی'!M19/'سرمايه در گردش'!M20</f>
        <v>0</v>
      </c>
      <c r="N41" s="613">
        <f>IF(SUM(C41:M41)=0,0,SUM(C41:M41)/N42)</f>
        <v>0</v>
      </c>
    </row>
    <row r="42" spans="1:14" ht="30" hidden="1" customHeight="1">
      <c r="A42" s="1152"/>
      <c r="B42" s="602"/>
      <c r="C42" s="603">
        <f>IF(C41&lt;&gt;0,1,0)</f>
        <v>0</v>
      </c>
      <c r="D42" s="603">
        <f t="shared" ref="D42:M42" si="20">IF(D41&lt;&gt;0,1,0)</f>
        <v>0</v>
      </c>
      <c r="E42" s="603">
        <f t="shared" si="20"/>
        <v>0</v>
      </c>
      <c r="F42" s="603">
        <f t="shared" si="20"/>
        <v>0</v>
      </c>
      <c r="G42" s="603">
        <f t="shared" si="20"/>
        <v>0</v>
      </c>
      <c r="H42" s="603">
        <f t="shared" si="20"/>
        <v>0</v>
      </c>
      <c r="I42" s="603">
        <f t="shared" si="20"/>
        <v>0</v>
      </c>
      <c r="J42" s="603">
        <f t="shared" si="20"/>
        <v>0</v>
      </c>
      <c r="K42" s="603">
        <f t="shared" si="20"/>
        <v>0</v>
      </c>
      <c r="L42" s="603">
        <f t="shared" si="20"/>
        <v>0</v>
      </c>
      <c r="M42" s="603">
        <f t="shared" si="20"/>
        <v>0</v>
      </c>
      <c r="N42" s="614">
        <f>SUM(C42:M42)</f>
        <v>0</v>
      </c>
    </row>
    <row r="43" spans="1:14" ht="30" customHeight="1">
      <c r="A43" s="1152"/>
      <c r="B43" s="602" t="s">
        <v>533</v>
      </c>
      <c r="C43" s="603">
        <f>IF(('پيش بيني عملكرد سود و زيان'!C24+'پيش بيني عملكرد سود و زيان'!C25)=0,0,('پيش بيني عملكرد سود و زيان'!C28+'پيش بيني عملكرد سود و زيان'!C27+'پيش بيني عملكرد سود و زيان'!C25+'پيش بيني عملكرد سود و زيان'!C24)/('پيش بيني عملكرد سود و زيان'!C24+'پيش بيني عملكرد سود و زيان'!C25))</f>
        <v>0</v>
      </c>
      <c r="D43" s="603">
        <f>IF(('پيش بيني عملكرد سود و زيان'!D24+'پيش بيني عملكرد سود و زيان'!D25)=0,0,('پيش بيني عملكرد سود و زيان'!D28+'پيش بيني عملكرد سود و زيان'!D27+'پيش بيني عملكرد سود و زيان'!D25+'پيش بيني عملكرد سود و زيان'!D24)/('پيش بيني عملكرد سود و زيان'!D24+'پيش بيني عملكرد سود و زيان'!D25))</f>
        <v>0</v>
      </c>
      <c r="E43" s="603">
        <f>IF(('پيش بيني عملكرد سود و زيان'!E24+'پيش بيني عملكرد سود و زيان'!E25)=0,0,('پيش بيني عملكرد سود و زيان'!E28+'پيش بيني عملكرد سود و زيان'!E27+'پيش بيني عملكرد سود و زيان'!E25+'پيش بيني عملكرد سود و زيان'!E24)/('پيش بيني عملكرد سود و زيان'!E24+'پيش بيني عملكرد سود و زيان'!E25))</f>
        <v>0</v>
      </c>
      <c r="F43" s="603">
        <f>IF(('پيش بيني عملكرد سود و زيان'!F24+'پيش بيني عملكرد سود و زيان'!F25)=0,0,('پيش بيني عملكرد سود و زيان'!F28+'پيش بيني عملكرد سود و زيان'!F27+'پيش بيني عملكرد سود و زيان'!F25+'پيش بيني عملكرد سود و زيان'!F24)/('پيش بيني عملكرد سود و زيان'!F24+'پيش بيني عملكرد سود و زيان'!F25))</f>
        <v>0</v>
      </c>
      <c r="G43" s="603">
        <f>IF(('پيش بيني عملكرد سود و زيان'!G24+'پيش بيني عملكرد سود و زيان'!G25)=0,0,('پيش بيني عملكرد سود و زيان'!G28+'پيش بيني عملكرد سود و زيان'!G27+'پيش بيني عملكرد سود و زيان'!G25+'پيش بيني عملكرد سود و زيان'!G24)/('پيش بيني عملكرد سود و زيان'!G24+'پيش بيني عملكرد سود و زيان'!G25))</f>
        <v>0</v>
      </c>
      <c r="H43" s="603">
        <f>IF(('پيش بيني عملكرد سود و زيان'!H24+'پيش بيني عملكرد سود و زيان'!H25)=0,0,('پيش بيني عملكرد سود و زيان'!H28+'پيش بيني عملكرد سود و زيان'!H27+'پيش بيني عملكرد سود و زيان'!H25+'پيش بيني عملكرد سود و زيان'!H24)/('پيش بيني عملكرد سود و زيان'!H24+'پيش بيني عملكرد سود و زيان'!H25))</f>
        <v>0</v>
      </c>
      <c r="I43" s="603">
        <f>IF(('پيش بيني عملكرد سود و زيان'!I24+'پيش بيني عملكرد سود و زيان'!I25)=0,0,('پيش بيني عملكرد سود و زيان'!I28+'پيش بيني عملكرد سود و زيان'!I27+'پيش بيني عملكرد سود و زيان'!I25+'پيش بيني عملكرد سود و زيان'!I24)/('پيش بيني عملكرد سود و زيان'!I24+'پيش بيني عملكرد سود و زيان'!I25))</f>
        <v>0</v>
      </c>
      <c r="J43" s="603">
        <f>IF(('پيش بيني عملكرد سود و زيان'!J24+'پيش بيني عملكرد سود و زيان'!J25)=0,0,('پيش بيني عملكرد سود و زيان'!J28+'پيش بيني عملكرد سود و زيان'!J27+'پيش بيني عملكرد سود و زيان'!J25+'پيش بيني عملكرد سود و زيان'!J24)/('پيش بيني عملكرد سود و زيان'!J24+'پيش بيني عملكرد سود و زيان'!J25))</f>
        <v>0</v>
      </c>
      <c r="K43" s="603">
        <f>IF(('پيش بيني عملكرد سود و زيان'!K24+'پيش بيني عملكرد سود و زيان'!K25)=0,0,('پيش بيني عملكرد سود و زيان'!K28+'پيش بيني عملكرد سود و زيان'!K27+'پيش بيني عملكرد سود و زيان'!K25+'پيش بيني عملكرد سود و زيان'!K24)/('پيش بيني عملكرد سود و زيان'!K24+'پيش بيني عملكرد سود و زيان'!K25))</f>
        <v>0</v>
      </c>
      <c r="L43" s="603">
        <f>IF(('پيش بيني عملكرد سود و زيان'!L24+'پيش بيني عملكرد سود و زيان'!L25)=0,0,('پيش بيني عملكرد سود و زيان'!L28+'پيش بيني عملكرد سود و زيان'!L27+'پيش بيني عملكرد سود و زيان'!L25+'پيش بيني عملكرد سود و زيان'!L24)/('پيش بيني عملكرد سود و زيان'!L24+'پيش بيني عملكرد سود و زيان'!L25))</f>
        <v>0</v>
      </c>
      <c r="M43" s="603">
        <f>IF(('پيش بيني عملكرد سود و زيان'!M24+'پيش بيني عملكرد سود و زيان'!M25)=0,0,('پيش بيني عملكرد سود و زيان'!M28+'پيش بيني عملكرد سود و زيان'!M27+'پيش بيني عملكرد سود و زيان'!M25+'پيش بيني عملكرد سود و زيان'!M24)/('پيش بيني عملكرد سود و زيان'!M24+'پيش بيني عملكرد سود و زيان'!M25))</f>
        <v>0</v>
      </c>
      <c r="N43" s="613">
        <f>IF(SUM(C43:M43)=0,0,SUM(C43:M43)/N44)</f>
        <v>0</v>
      </c>
    </row>
    <row r="44" spans="1:14" ht="30" hidden="1" customHeight="1">
      <c r="A44" s="1152"/>
      <c r="B44" s="602"/>
      <c r="C44" s="603">
        <f>IF(C43&lt;&gt;0,1,0)</f>
        <v>0</v>
      </c>
      <c r="D44" s="603">
        <f t="shared" ref="D44:M44" si="21">IF(D43&lt;&gt;0,1,0)</f>
        <v>0</v>
      </c>
      <c r="E44" s="603">
        <f t="shared" si="21"/>
        <v>0</v>
      </c>
      <c r="F44" s="603">
        <f t="shared" si="21"/>
        <v>0</v>
      </c>
      <c r="G44" s="603">
        <f t="shared" si="21"/>
        <v>0</v>
      </c>
      <c r="H44" s="603">
        <f t="shared" si="21"/>
        <v>0</v>
      </c>
      <c r="I44" s="603">
        <f t="shared" si="21"/>
        <v>0</v>
      </c>
      <c r="J44" s="603">
        <f t="shared" si="21"/>
        <v>0</v>
      </c>
      <c r="K44" s="603">
        <f t="shared" si="21"/>
        <v>0</v>
      </c>
      <c r="L44" s="603">
        <f t="shared" si="21"/>
        <v>0</v>
      </c>
      <c r="M44" s="603">
        <f t="shared" si="21"/>
        <v>0</v>
      </c>
      <c r="N44" s="614">
        <f>SUM(C44:M44)</f>
        <v>0</v>
      </c>
    </row>
    <row r="45" spans="1:14" ht="30" customHeight="1">
      <c r="A45" s="1152"/>
      <c r="B45" s="602" t="s">
        <v>534</v>
      </c>
      <c r="C45" s="603">
        <f>IF(('پيش بيني عملكرد سود و زيان'!C24+'پيش بيني عملكرد سود و زيان'!C25)=0,0,('پيش بيني عملكرد سود و زيان'!C28+'پيش بيني عملكرد سود و زيان'!C27+'پيش بيني عملكرد سود و زيان'!C25+'پيش بيني عملكرد سود و زيان'!C24)/(('پيش بيني عملكرد سود و زيان'!C24+'پيش بيني عملكرد سود و زيان'!C25)+(('پيش بيني عملكرد سود و زيان'!C33+'پيش بيني عملكرد سود و زيان'!C45)/1-مفروضات!B5)))</f>
        <v>0</v>
      </c>
      <c r="D45" s="603">
        <f>IF(('پيش بيني عملكرد سود و زيان'!D24+'پيش بيني عملكرد سود و زيان'!D25)=0,0,('پيش بيني عملكرد سود و زيان'!D28+'پيش بيني عملكرد سود و زيان'!D27+'پيش بيني عملكرد سود و زيان'!D25+'پيش بيني عملكرد سود و زيان'!D24)/(('پيش بيني عملكرد سود و زيان'!D24+'پيش بيني عملكرد سود و زيان'!D25)+(('پيش بيني عملكرد سود و زيان'!D33+'پيش بيني عملكرد سود و زيان'!D45)/1-مفروضات!C5)))</f>
        <v>0</v>
      </c>
      <c r="E45" s="603">
        <f>IF(('پيش بيني عملكرد سود و زيان'!E24+'پيش بيني عملكرد سود و زيان'!E25)=0,0,('پيش بيني عملكرد سود و زيان'!E28+'پيش بيني عملكرد سود و زيان'!E27+'پيش بيني عملكرد سود و زيان'!E25+'پيش بيني عملكرد سود و زيان'!E24)/(('پيش بيني عملكرد سود و زيان'!E24+'پيش بيني عملكرد سود و زيان'!E25)+(('پيش بيني عملكرد سود و زيان'!E33+'پيش بيني عملكرد سود و زيان'!E45)/1-مفروضات!D5)))</f>
        <v>0</v>
      </c>
      <c r="F45" s="603">
        <f>IF(('پيش بيني عملكرد سود و زيان'!F24+'پيش بيني عملكرد سود و زيان'!F25)=0,0,('پيش بيني عملكرد سود و زيان'!F28+'پيش بيني عملكرد سود و زيان'!F27+'پيش بيني عملكرد سود و زيان'!F25+'پيش بيني عملكرد سود و زيان'!F24)/(('پيش بيني عملكرد سود و زيان'!F24+'پيش بيني عملكرد سود و زيان'!F25)+(('پيش بيني عملكرد سود و زيان'!F33+'پيش بيني عملكرد سود و زيان'!F45)/1-مفروضات!E5)))</f>
        <v>0</v>
      </c>
      <c r="G45" s="603">
        <f>IF(('پيش بيني عملكرد سود و زيان'!G24+'پيش بيني عملكرد سود و زيان'!G25)=0,0,('پيش بيني عملكرد سود و زيان'!G28+'پيش بيني عملكرد سود و زيان'!G27+'پيش بيني عملكرد سود و زيان'!G25+'پيش بيني عملكرد سود و زيان'!G24)/(('پيش بيني عملكرد سود و زيان'!G24+'پيش بيني عملكرد سود و زيان'!G25)+(('پيش بيني عملكرد سود و زيان'!G33+'پيش بيني عملكرد سود و زيان'!G45)/1-مفروضات!F5)))</f>
        <v>0</v>
      </c>
      <c r="H45" s="603">
        <f>IF(('پيش بيني عملكرد سود و زيان'!H24+'پيش بيني عملكرد سود و زيان'!H25)=0,0,('پيش بيني عملكرد سود و زيان'!H28+'پيش بيني عملكرد سود و زيان'!H27+'پيش بيني عملكرد سود و زيان'!H25+'پيش بيني عملكرد سود و زيان'!H24)/(('پيش بيني عملكرد سود و زيان'!H24+'پيش بيني عملكرد سود و زيان'!H25)+(('پيش بيني عملكرد سود و زيان'!H33+'پيش بيني عملكرد سود و زيان'!H45)/1-مفروضات!G5)))</f>
        <v>0</v>
      </c>
      <c r="I45" s="603">
        <f>IF(('پيش بيني عملكرد سود و زيان'!I24+'پيش بيني عملكرد سود و زيان'!I25)=0,0,('پيش بيني عملكرد سود و زيان'!I28+'پيش بيني عملكرد سود و زيان'!I27+'پيش بيني عملكرد سود و زيان'!I25+'پيش بيني عملكرد سود و زيان'!I24)/(('پيش بيني عملكرد سود و زيان'!I24+'پيش بيني عملكرد سود و زيان'!I25)+(('پيش بيني عملكرد سود و زيان'!I33+'پيش بيني عملكرد سود و زيان'!I45)/1-مفروضات!H5)))</f>
        <v>0</v>
      </c>
      <c r="J45" s="603">
        <f>IF(('پيش بيني عملكرد سود و زيان'!J24+'پيش بيني عملكرد سود و زيان'!J25)=0,0,('پيش بيني عملكرد سود و زيان'!J28+'پيش بيني عملكرد سود و زيان'!J27+'پيش بيني عملكرد سود و زيان'!J25+'پيش بيني عملكرد سود و زيان'!J24)/(('پيش بيني عملكرد سود و زيان'!J24+'پيش بيني عملكرد سود و زيان'!J25)+(('پيش بيني عملكرد سود و زيان'!J33+'پيش بيني عملكرد سود و زيان'!J45)/1-مفروضات!I5)))</f>
        <v>0</v>
      </c>
      <c r="K45" s="603">
        <f>IF(('پيش بيني عملكرد سود و زيان'!K24+'پيش بيني عملكرد سود و زيان'!K25)=0,0,('پيش بيني عملكرد سود و زيان'!K28+'پيش بيني عملكرد سود و زيان'!K27+'پيش بيني عملكرد سود و زيان'!K25+'پيش بيني عملكرد سود و زيان'!K24)/(('پيش بيني عملكرد سود و زيان'!K24+'پيش بيني عملكرد سود و زيان'!K25)+(('پيش بيني عملكرد سود و زيان'!K33+'پيش بيني عملكرد سود و زيان'!K45)/1-مفروضات!J5)))</f>
        <v>0</v>
      </c>
      <c r="L45" s="603">
        <f>IF(('پيش بيني عملكرد سود و زيان'!L24+'پيش بيني عملكرد سود و زيان'!L25)=0,0,('پيش بيني عملكرد سود و زيان'!L28+'پيش بيني عملكرد سود و زيان'!L27+'پيش بيني عملكرد سود و زيان'!L25+'پيش بيني عملكرد سود و زيان'!L24)/(('پيش بيني عملكرد سود و زيان'!L24+'پيش بيني عملكرد سود و زيان'!L25)+(('پيش بيني عملكرد سود و زيان'!L33+'پيش بيني عملكرد سود و زيان'!L45)/1-مفروضات!K5)))</f>
        <v>0</v>
      </c>
      <c r="M45" s="603">
        <f>IF(('پيش بيني عملكرد سود و زيان'!M24+'پيش بيني عملكرد سود و زيان'!M25)=0,0,('پيش بيني عملكرد سود و زيان'!M28+'پيش بيني عملكرد سود و زيان'!M27+'پيش بيني عملكرد سود و زيان'!M25+'پيش بيني عملكرد سود و زيان'!M24)/(('پيش بيني عملكرد سود و زيان'!M24+'پيش بيني عملكرد سود و زيان'!M25)+(('پيش بيني عملكرد سود و زيان'!M33+'پيش بيني عملكرد سود و زيان'!M45)/1-مفروضات!L5)))</f>
        <v>0</v>
      </c>
      <c r="N45" s="613">
        <f>IF(SUM(C45:M45)=0,0,SUM(C45:M45)/N46)</f>
        <v>0</v>
      </c>
    </row>
    <row r="46" spans="1:14" ht="30" hidden="1" customHeight="1">
      <c r="A46" s="1152"/>
      <c r="B46" s="602"/>
      <c r="C46" s="603">
        <f>IF(C45&lt;&gt;0,1,0)</f>
        <v>0</v>
      </c>
      <c r="D46" s="603">
        <f t="shared" ref="D46:M46" si="22">IF(D45&lt;&gt;0,1,0)</f>
        <v>0</v>
      </c>
      <c r="E46" s="603">
        <f t="shared" si="22"/>
        <v>0</v>
      </c>
      <c r="F46" s="603">
        <f t="shared" si="22"/>
        <v>0</v>
      </c>
      <c r="G46" s="603">
        <f t="shared" si="22"/>
        <v>0</v>
      </c>
      <c r="H46" s="603">
        <f t="shared" si="22"/>
        <v>0</v>
      </c>
      <c r="I46" s="603">
        <f t="shared" si="22"/>
        <v>0</v>
      </c>
      <c r="J46" s="603">
        <f t="shared" si="22"/>
        <v>0</v>
      </c>
      <c r="K46" s="603">
        <f t="shared" si="22"/>
        <v>0</v>
      </c>
      <c r="L46" s="603">
        <f t="shared" si="22"/>
        <v>0</v>
      </c>
      <c r="M46" s="603">
        <f t="shared" si="22"/>
        <v>0</v>
      </c>
      <c r="N46" s="614">
        <f>SUM(C46:M46)</f>
        <v>0</v>
      </c>
    </row>
    <row r="47" spans="1:14" ht="30" customHeight="1" thickBot="1">
      <c r="A47" s="1153"/>
      <c r="B47" s="609" t="s">
        <v>535</v>
      </c>
      <c r="C47" s="610">
        <f>'جریان نقدینگی'!C20/'ترازنامه ایجادی'!C15</f>
        <v>0.19272055969621774</v>
      </c>
      <c r="D47" s="610">
        <f>'جریان نقدینگی'!D20/'ترازنامه ایجادی'!D15</f>
        <v>0.33337914178184963</v>
      </c>
      <c r="E47" s="610">
        <f>'جریان نقدینگی'!E20/'ترازنامه ایجادی'!E15</f>
        <v>0.43293887221280941</v>
      </c>
      <c r="F47" s="610">
        <f>'جریان نقدینگی'!F20/'ترازنامه ایجادی'!F15</f>
        <v>0.50199016521401374</v>
      </c>
      <c r="G47" s="610">
        <f>'جریان نقدینگی'!G20/'ترازنامه ایجادی'!G15</f>
        <v>-5.4331768315845796E-2</v>
      </c>
      <c r="H47" s="610">
        <f>'جریان نقدینگی'!H20/'ترازنامه ایجادی'!H15</f>
        <v>-5.7813607824356975E-2</v>
      </c>
      <c r="I47" s="610">
        <f>'جریان نقدینگی'!I20/'ترازنامه ایجادی'!I15</f>
        <v>-6.1772270276277297E-2</v>
      </c>
      <c r="J47" s="610">
        <f>'جریان نقدینگی'!J20/'ترازنامه ایجادی'!J15</f>
        <v>-6.6312903735683368E-2</v>
      </c>
      <c r="K47" s="610">
        <f>'جریان نقدینگی'!K20/'ترازنامه ایجادی'!K15</f>
        <v>-7.1574025140546935E-2</v>
      </c>
      <c r="L47" s="610">
        <f>'جریان نقدینگی'!L20/'ترازنامه ایجادی'!L15</f>
        <v>-7.7741898072719806E-2</v>
      </c>
      <c r="M47" s="610">
        <f>'جریان نقدینگی'!M20/'ترازنامه ایجادی'!M15</f>
        <v>-8.4940656205407652E-2</v>
      </c>
      <c r="N47" s="615">
        <f>IF(SUM(C47:M47)=0,0,SUM(C47:M47)/N48)</f>
        <v>8.9685600848550248E-2</v>
      </c>
    </row>
    <row r="48" spans="1:14" ht="30" hidden="1" customHeight="1">
      <c r="A48" s="597"/>
      <c r="B48" s="597"/>
      <c r="C48" s="598">
        <f>IF(C47&lt;&gt;0,1,0)</f>
        <v>1</v>
      </c>
      <c r="D48" s="598">
        <f t="shared" ref="D48:M48" si="23">IF(D47&lt;&gt;0,1,0)</f>
        <v>1</v>
      </c>
      <c r="E48" s="598">
        <f t="shared" si="23"/>
        <v>1</v>
      </c>
      <c r="F48" s="598">
        <f t="shared" si="23"/>
        <v>1</v>
      </c>
      <c r="G48" s="598">
        <f t="shared" si="23"/>
        <v>1</v>
      </c>
      <c r="H48" s="598">
        <f t="shared" si="23"/>
        <v>1</v>
      </c>
      <c r="I48" s="598">
        <f t="shared" si="23"/>
        <v>1</v>
      </c>
      <c r="J48" s="598">
        <f t="shared" si="23"/>
        <v>1</v>
      </c>
      <c r="K48" s="598">
        <f t="shared" si="23"/>
        <v>1</v>
      </c>
      <c r="L48" s="598">
        <f t="shared" si="23"/>
        <v>1</v>
      </c>
      <c r="M48" s="598">
        <f t="shared" si="23"/>
        <v>1</v>
      </c>
      <c r="N48" s="600">
        <f>SUM(C48:M48)</f>
        <v>11</v>
      </c>
    </row>
    <row r="49" spans="1:12">
      <c r="A49" s="597"/>
      <c r="B49" s="597"/>
      <c r="C49" s="597"/>
      <c r="D49" s="597"/>
      <c r="E49" s="597"/>
      <c r="F49" s="597"/>
      <c r="G49" s="597"/>
      <c r="H49" s="597"/>
      <c r="I49" s="597"/>
      <c r="J49" s="597"/>
      <c r="K49" s="597"/>
      <c r="L49" s="597"/>
    </row>
    <row r="50" spans="1:12">
      <c r="A50" s="597"/>
      <c r="B50" s="597"/>
      <c r="C50" s="597"/>
      <c r="D50" s="597"/>
      <c r="E50" s="597"/>
      <c r="F50" s="597"/>
      <c r="G50" s="597"/>
      <c r="H50" s="597"/>
      <c r="I50" s="597"/>
      <c r="J50" s="597"/>
      <c r="K50" s="597"/>
      <c r="L50" s="597"/>
    </row>
    <row r="51" spans="1:12">
      <c r="A51" s="597"/>
      <c r="B51" s="597"/>
      <c r="C51" s="597"/>
      <c r="D51" s="597"/>
      <c r="E51" s="597"/>
      <c r="F51" s="597"/>
      <c r="G51" s="597"/>
      <c r="H51" s="597"/>
      <c r="I51" s="597"/>
      <c r="J51" s="597"/>
      <c r="K51" s="597"/>
      <c r="L51" s="597"/>
    </row>
    <row r="52" spans="1:12">
      <c r="A52" s="597"/>
      <c r="B52" s="597"/>
      <c r="C52" s="597"/>
      <c r="D52" s="597"/>
      <c r="E52" s="597"/>
      <c r="F52" s="597"/>
      <c r="G52" s="597"/>
      <c r="H52" s="597"/>
      <c r="I52" s="597"/>
      <c r="J52" s="597"/>
      <c r="K52" s="597"/>
      <c r="L52" s="597"/>
    </row>
    <row r="53" spans="1:12">
      <c r="A53" s="597"/>
      <c r="B53" s="597"/>
      <c r="C53" s="597"/>
      <c r="D53" s="597"/>
      <c r="E53" s="597"/>
      <c r="F53" s="597"/>
      <c r="G53" s="597"/>
      <c r="H53" s="597"/>
      <c r="I53" s="597"/>
      <c r="J53" s="597"/>
      <c r="K53" s="597"/>
      <c r="L53" s="597"/>
    </row>
    <row r="54" spans="1:12">
      <c r="A54" s="597"/>
      <c r="B54" s="597"/>
      <c r="C54" s="597"/>
      <c r="D54" s="597"/>
      <c r="E54" s="597"/>
      <c r="F54" s="597"/>
      <c r="G54" s="597"/>
      <c r="H54" s="597"/>
      <c r="I54" s="597"/>
      <c r="J54" s="597"/>
      <c r="K54" s="597"/>
      <c r="L54" s="597"/>
    </row>
    <row r="55" spans="1:12">
      <c r="A55" s="597"/>
      <c r="B55" s="597"/>
      <c r="C55" s="597"/>
      <c r="D55" s="597"/>
      <c r="E55" s="597"/>
      <c r="F55" s="597"/>
      <c r="G55" s="597"/>
      <c r="H55" s="597"/>
      <c r="I55" s="597"/>
      <c r="J55" s="597"/>
      <c r="K55" s="597"/>
      <c r="L55" s="597"/>
    </row>
    <row r="56" spans="1:12">
      <c r="A56" s="597"/>
      <c r="B56" s="597"/>
      <c r="C56" s="597"/>
      <c r="D56" s="597"/>
      <c r="E56" s="597"/>
      <c r="F56" s="597"/>
      <c r="G56" s="597"/>
      <c r="H56" s="597"/>
      <c r="I56" s="597"/>
      <c r="J56" s="597"/>
      <c r="K56" s="597"/>
      <c r="L56" s="597"/>
    </row>
    <row r="57" spans="1:12">
      <c r="A57" s="597"/>
      <c r="B57" s="597"/>
      <c r="C57" s="597"/>
      <c r="D57" s="597"/>
      <c r="E57" s="597"/>
      <c r="F57" s="597"/>
      <c r="G57" s="597"/>
      <c r="H57" s="597"/>
      <c r="I57" s="597"/>
      <c r="J57" s="597"/>
      <c r="K57" s="597"/>
      <c r="L57" s="597"/>
    </row>
    <row r="58" spans="1:12">
      <c r="A58" s="597"/>
      <c r="B58" s="597"/>
      <c r="C58" s="597"/>
      <c r="D58" s="597"/>
      <c r="E58" s="597"/>
      <c r="F58" s="597"/>
      <c r="G58" s="597"/>
      <c r="H58" s="597"/>
      <c r="I58" s="597"/>
      <c r="J58" s="597"/>
      <c r="K58" s="597"/>
      <c r="L58" s="597"/>
    </row>
    <row r="59" spans="1:12">
      <c r="A59" s="597"/>
      <c r="B59" s="597"/>
      <c r="C59" s="597"/>
      <c r="D59" s="597"/>
      <c r="E59" s="597"/>
      <c r="F59" s="597"/>
      <c r="G59" s="597"/>
      <c r="H59" s="597"/>
      <c r="I59" s="597"/>
      <c r="J59" s="597"/>
      <c r="K59" s="597"/>
      <c r="L59" s="597"/>
    </row>
  </sheetData>
  <sheetProtection password="C716" sheet="1" objects="1" scenarios="1"/>
  <mergeCells count="4">
    <mergeCell ref="A5:A11"/>
    <mergeCell ref="A13:A17"/>
    <mergeCell ref="A19:A27"/>
    <mergeCell ref="A29:A47"/>
  </mergeCells>
  <phoneticPr fontId="5" type="noConversion"/>
  <pageMargins left="0.75" right="0.75" top="1" bottom="1" header="0.5" footer="0.5"/>
  <pageSetup paperSize="9" scale="49" orientation="portrait" r:id="rId1"/>
  <headerFooter alignWithMargins="0"/>
  <rowBreaks count="1" manualBreakCount="1">
    <brk id="49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6">
    <tabColor indexed="53"/>
  </sheetPr>
  <dimension ref="A1:N59"/>
  <sheetViews>
    <sheetView rightToLeft="1" view="pageBreakPreview" zoomScale="55" zoomScaleNormal="70" workbookViewId="0">
      <selection activeCell="E12" sqref="E12"/>
    </sheetView>
  </sheetViews>
  <sheetFormatPr defaultColWidth="9.109375" defaultRowHeight="21.6"/>
  <cols>
    <col min="1" max="1" width="5.44140625" style="599" customWidth="1"/>
    <col min="2" max="2" width="38.44140625" style="599" bestFit="1" customWidth="1"/>
    <col min="3" max="3" width="10.109375" style="599" bestFit="1" customWidth="1"/>
    <col min="4" max="4" width="8.88671875" style="599" bestFit="1" customWidth="1"/>
    <col min="5" max="5" width="8.6640625" style="599" bestFit="1" customWidth="1"/>
    <col min="6" max="6" width="9.109375" style="599" bestFit="1"/>
    <col min="7" max="7" width="10.6640625" style="599" bestFit="1" customWidth="1"/>
    <col min="8" max="8" width="9.6640625" style="599" bestFit="1" customWidth="1"/>
    <col min="9" max="9" width="10.109375" style="599" bestFit="1" customWidth="1"/>
    <col min="10" max="10" width="9.6640625" style="599" bestFit="1" customWidth="1"/>
    <col min="11" max="11" width="10.5546875" style="599" bestFit="1" customWidth="1"/>
    <col min="12" max="12" width="8.44140625" style="599" bestFit="1" customWidth="1"/>
    <col min="13" max="13" width="8.88671875" style="599" bestFit="1" customWidth="1"/>
    <col min="14" max="14" width="12.109375" style="600" bestFit="1" customWidth="1"/>
    <col min="15" max="16384" width="9.109375" style="599"/>
  </cols>
  <sheetData>
    <row r="1" spans="1:14" ht="11.25" customHeight="1">
      <c r="A1" s="597"/>
      <c r="B1" s="598"/>
      <c r="C1" s="598"/>
      <c r="D1" s="598"/>
      <c r="E1" s="598"/>
      <c r="F1" s="598"/>
      <c r="G1" s="598"/>
      <c r="H1" s="597"/>
      <c r="I1" s="597"/>
      <c r="J1" s="598"/>
      <c r="K1" s="597"/>
      <c r="L1" s="597"/>
    </row>
    <row r="2" spans="1:14" ht="11.25" customHeight="1">
      <c r="A2" s="597"/>
      <c r="B2" s="597"/>
      <c r="C2" s="597"/>
      <c r="D2" s="597"/>
      <c r="E2" s="597"/>
      <c r="F2" s="597"/>
      <c r="G2" s="597"/>
      <c r="H2" s="597"/>
      <c r="I2" s="597"/>
      <c r="J2" s="597"/>
      <c r="K2" s="597"/>
      <c r="L2" s="597"/>
    </row>
    <row r="3" spans="1:14" ht="22.2" thickBot="1">
      <c r="B3" s="601" t="s">
        <v>540</v>
      </c>
      <c r="C3" s="597"/>
      <c r="D3" s="597"/>
      <c r="E3" s="597"/>
      <c r="F3" s="597"/>
      <c r="G3" s="597"/>
      <c r="H3" s="597"/>
      <c r="I3" s="597"/>
      <c r="J3" s="597"/>
      <c r="K3" s="597"/>
      <c r="L3" s="597"/>
    </row>
    <row r="4" spans="1:14" ht="30" customHeight="1" thickBot="1">
      <c r="A4" s="619"/>
      <c r="B4" s="620" t="s">
        <v>365</v>
      </c>
      <c r="C4" s="621" t="str">
        <f>'برآورد فروش'!B2</f>
        <v>سال بهره برداری</v>
      </c>
      <c r="D4" s="621" t="str">
        <f>'برآورد فروش'!C2</f>
        <v xml:space="preserve">سال اول </v>
      </c>
      <c r="E4" s="621" t="str">
        <f>'برآورد فروش'!D2</f>
        <v>سال دوم</v>
      </c>
      <c r="F4" s="621" t="str">
        <f>'برآورد فروش'!E2</f>
        <v>سال سوم</v>
      </c>
      <c r="G4" s="621" t="str">
        <f>'برآورد فروش'!F2</f>
        <v>سال چهارم</v>
      </c>
      <c r="H4" s="621" t="str">
        <f>'برآورد فروش'!G2</f>
        <v>سال پنجم</v>
      </c>
      <c r="I4" s="621" t="str">
        <f>'برآورد فروش'!H2</f>
        <v>سال ششم</v>
      </c>
      <c r="J4" s="621" t="str">
        <f>'برآورد فروش'!I2</f>
        <v>سال هفتم</v>
      </c>
      <c r="K4" s="621" t="str">
        <f>'برآورد فروش'!J2</f>
        <v>سال هشتم</v>
      </c>
      <c r="L4" s="621" t="str">
        <f>'برآورد فروش'!K2</f>
        <v>سال نهم</v>
      </c>
      <c r="M4" s="621" t="str">
        <f>'برآورد فروش'!L2</f>
        <v>سال دهم</v>
      </c>
      <c r="N4" s="622" t="s">
        <v>537</v>
      </c>
    </row>
    <row r="5" spans="1:14" ht="30" customHeight="1">
      <c r="A5" s="1151" t="s">
        <v>366</v>
      </c>
      <c r="B5" s="616" t="s">
        <v>367</v>
      </c>
      <c r="C5" s="626">
        <f>IF('ترازنامه ایجادی'!C16&lt;=0,0,('ترازنامه ایجادی'!C3/'ترازنامه ایجادی'!C16))</f>
        <v>0</v>
      </c>
      <c r="D5" s="626">
        <f>IF('ترازنامه ایجادی'!D16&lt;=0,0,('ترازنامه ایجادی'!D3/'ترازنامه ایجادی'!D16))</f>
        <v>0</v>
      </c>
      <c r="E5" s="626">
        <f>IF('ترازنامه ایجادی'!E16&lt;=0,0,('ترازنامه ایجادی'!E3/'ترازنامه ایجادی'!E16))</f>
        <v>0</v>
      </c>
      <c r="F5" s="626">
        <f>IF('ترازنامه ایجادی'!F16&lt;=0,0,('ترازنامه ایجادی'!F3/'ترازنامه ایجادی'!F16))</f>
        <v>0</v>
      </c>
      <c r="G5" s="626">
        <f>IF('ترازنامه ایجادی'!G16&lt;=0,0,('ترازنامه ایجادی'!G3/'ترازنامه ایجادی'!G16))</f>
        <v>0</v>
      </c>
      <c r="H5" s="626">
        <f>IF('ترازنامه ایجادی'!H16&lt;=0,0,('ترازنامه ایجادی'!H3/'ترازنامه ایجادی'!H16))</f>
        <v>0</v>
      </c>
      <c r="I5" s="626">
        <f>IF('ترازنامه ایجادی'!I16&lt;=0,0,('ترازنامه ایجادی'!I3/'ترازنامه ایجادی'!I16))</f>
        <v>0</v>
      </c>
      <c r="J5" s="626">
        <f>IF('ترازنامه ایجادی'!J16&lt;=0,0,('ترازنامه ایجادی'!J3/'ترازنامه ایجادی'!J16))</f>
        <v>0</v>
      </c>
      <c r="K5" s="626">
        <f>IF('ترازنامه ایجادی'!K16&lt;=0,0,('ترازنامه ایجادی'!K3/'ترازنامه ایجادی'!K16))</f>
        <v>0</v>
      </c>
      <c r="L5" s="626">
        <f>IF('ترازنامه ایجادی'!L16&lt;=0,0,('ترازنامه ایجادی'!L3/'ترازنامه ایجادی'!L16))</f>
        <v>0</v>
      </c>
      <c r="M5" s="626">
        <f>IF('ترازنامه ایجادی'!M16&lt;=0,0,('ترازنامه ایجادی'!M3/'ترازنامه ایجادی'!M16))</f>
        <v>0</v>
      </c>
      <c r="N5" s="627">
        <f>IF(SUM(C5:M5)=0,0,SUM(C5:M5)/N6)</f>
        <v>0</v>
      </c>
    </row>
    <row r="6" spans="1:14" ht="30" hidden="1" customHeight="1">
      <c r="A6" s="1152"/>
      <c r="B6" s="602"/>
      <c r="C6" s="625">
        <f>IF(C5&lt;&gt;0,1,0)</f>
        <v>0</v>
      </c>
      <c r="D6" s="625">
        <f t="shared" ref="D6:M6" si="0">IF(D5&lt;&gt;0,1,0)</f>
        <v>0</v>
      </c>
      <c r="E6" s="625">
        <f t="shared" si="0"/>
        <v>0</v>
      </c>
      <c r="F6" s="625">
        <f t="shared" si="0"/>
        <v>0</v>
      </c>
      <c r="G6" s="625">
        <f t="shared" si="0"/>
        <v>0</v>
      </c>
      <c r="H6" s="625">
        <f t="shared" si="0"/>
        <v>0</v>
      </c>
      <c r="I6" s="625">
        <f t="shared" si="0"/>
        <v>0</v>
      </c>
      <c r="J6" s="625">
        <f t="shared" si="0"/>
        <v>0</v>
      </c>
      <c r="K6" s="625">
        <f t="shared" si="0"/>
        <v>0</v>
      </c>
      <c r="L6" s="625">
        <f t="shared" si="0"/>
        <v>0</v>
      </c>
      <c r="M6" s="625">
        <f t="shared" si="0"/>
        <v>0</v>
      </c>
      <c r="N6" s="628">
        <f>SUM(C6:M6)</f>
        <v>0</v>
      </c>
    </row>
    <row r="7" spans="1:14" ht="30" customHeight="1">
      <c r="A7" s="1152"/>
      <c r="B7" s="602" t="s">
        <v>368</v>
      </c>
      <c r="C7" s="625">
        <f>IF('ترازنامه ایجادی'!C16&lt;=0,0,('ترازنامه ایجادی'!C3-'ترازنامه ایجادی'!C5-'ترازنامه ایجادی'!C9-'ترازنامه ایجادی'!C5)/'ترازنامه ایجادی'!C16)</f>
        <v>0</v>
      </c>
      <c r="D7" s="625">
        <f>IF('ترازنامه ایجادی'!D16&lt;=0,0,('ترازنامه ایجادی'!D3-'ترازنامه ایجادی'!D5-'ترازنامه ایجادی'!D9-'ترازنامه ایجادی'!D5)/'ترازنامه ایجادی'!D16)</f>
        <v>0</v>
      </c>
      <c r="E7" s="625">
        <f>IF('ترازنامه ایجادی'!E16&lt;=0,0,('ترازنامه ایجادی'!E3-'ترازنامه ایجادی'!E5-'ترازنامه ایجادی'!E9-'ترازنامه ایجادی'!E5)/'ترازنامه ایجادی'!E16)</f>
        <v>0</v>
      </c>
      <c r="F7" s="625">
        <f>IF('ترازنامه ایجادی'!F16&lt;=0,0,('ترازنامه ایجادی'!F3-'ترازنامه ایجادی'!F5-'ترازنامه ایجادی'!F9-'ترازنامه ایجادی'!F5)/'ترازنامه ایجادی'!F16)</f>
        <v>0</v>
      </c>
      <c r="G7" s="625">
        <f>IF('ترازنامه ایجادی'!G16&lt;=0,0,('ترازنامه ایجادی'!G3-'ترازنامه ایجادی'!G5-'ترازنامه ایجادی'!G9-'ترازنامه ایجادی'!G5)/'ترازنامه ایجادی'!G16)</f>
        <v>0</v>
      </c>
      <c r="H7" s="625">
        <f>IF('ترازنامه ایجادی'!H16&lt;=0,0,('ترازنامه ایجادی'!H3-'ترازنامه ایجادی'!H5-'ترازنامه ایجادی'!H9-'ترازنامه ایجادی'!H5)/'ترازنامه ایجادی'!H16)</f>
        <v>0</v>
      </c>
      <c r="I7" s="625">
        <f>IF('ترازنامه ایجادی'!I16&lt;=0,0,('ترازنامه ایجادی'!I3-'ترازنامه ایجادی'!I5-'ترازنامه ایجادی'!I9-'ترازنامه ایجادی'!I5)/'ترازنامه ایجادی'!I16)</f>
        <v>0</v>
      </c>
      <c r="J7" s="625">
        <f>IF('ترازنامه ایجادی'!J16&lt;=0,0,('ترازنامه ایجادی'!J3-'ترازنامه ایجادی'!J5-'ترازنامه ایجادی'!J9-'ترازنامه ایجادی'!J5)/'ترازنامه ایجادی'!J16)</f>
        <v>0</v>
      </c>
      <c r="K7" s="625">
        <f>IF('ترازنامه ایجادی'!K16&lt;=0,0,('ترازنامه ایجادی'!K3-'ترازنامه ایجادی'!K5-'ترازنامه ایجادی'!K9-'ترازنامه ایجادی'!K5)/'ترازنامه ایجادی'!K16)</f>
        <v>0</v>
      </c>
      <c r="L7" s="625">
        <f>IF('ترازنامه ایجادی'!L16&lt;=0,0,('ترازنامه ایجادی'!L3-'ترازنامه ایجادی'!L5-'ترازنامه ایجادی'!L9-'ترازنامه ایجادی'!L5)/'ترازنامه ایجادی'!L16)</f>
        <v>0</v>
      </c>
      <c r="M7" s="625">
        <f>IF('ترازنامه ایجادی'!M16&lt;=0,0,('ترازنامه ایجادی'!M3-'ترازنامه ایجادی'!M5-'ترازنامه ایجادی'!M9-'ترازنامه ایجادی'!M5)/'ترازنامه ایجادی'!M16)</f>
        <v>0</v>
      </c>
      <c r="N7" s="629">
        <f>IF(SUM(C7:M7)=0,0,SUM(C7:M7)/N8)</f>
        <v>0</v>
      </c>
    </row>
    <row r="8" spans="1:14" ht="30" hidden="1" customHeight="1">
      <c r="A8" s="1152"/>
      <c r="B8" s="602"/>
      <c r="C8" s="625">
        <f>IF(C7&lt;&gt;0,1,0)</f>
        <v>0</v>
      </c>
      <c r="D8" s="625">
        <f t="shared" ref="D8:M8" si="1">IF(D7&lt;&gt;0,1,0)</f>
        <v>0</v>
      </c>
      <c r="E8" s="625">
        <f t="shared" si="1"/>
        <v>0</v>
      </c>
      <c r="F8" s="625">
        <f t="shared" si="1"/>
        <v>0</v>
      </c>
      <c r="G8" s="625">
        <f t="shared" si="1"/>
        <v>0</v>
      </c>
      <c r="H8" s="625">
        <f t="shared" si="1"/>
        <v>0</v>
      </c>
      <c r="I8" s="625">
        <f t="shared" si="1"/>
        <v>0</v>
      </c>
      <c r="J8" s="625">
        <f t="shared" si="1"/>
        <v>0</v>
      </c>
      <c r="K8" s="625">
        <f t="shared" si="1"/>
        <v>0</v>
      </c>
      <c r="L8" s="625">
        <f t="shared" si="1"/>
        <v>0</v>
      </c>
      <c r="M8" s="625">
        <f t="shared" si="1"/>
        <v>0</v>
      </c>
      <c r="N8" s="628">
        <f>SUM(C8:M8)</f>
        <v>0</v>
      </c>
    </row>
    <row r="9" spans="1:14" ht="30" customHeight="1">
      <c r="A9" s="1152"/>
      <c r="B9" s="602" t="s">
        <v>369</v>
      </c>
      <c r="C9" s="625">
        <f>'ترازنامه ایجادی'!C3/'ترازنامه ایجادی'!C2</f>
        <v>0.19850661972121678</v>
      </c>
      <c r="D9" s="625">
        <f>'ترازنامه ایجادی'!D3/'ترازنامه ایجادی'!D2</f>
        <v>0.54442547176815614</v>
      </c>
      <c r="E9" s="625">
        <f>'ترازنامه ایجادی'!E3/'ترازنامه ایجادی'!E2</f>
        <v>0.94453420626973494</v>
      </c>
      <c r="F9" s="625">
        <f>'ترازنامه ایجادی'!F3/'ترازنامه ایجادی'!F2</f>
        <v>1.251774520557533</v>
      </c>
      <c r="G9" s="625">
        <f>'ترازنامه ایجادی'!G3/'ترازنامه ایجادی'!G2</f>
        <v>1.8198420599884531</v>
      </c>
      <c r="H9" s="625">
        <f>'ترازنامه ایجادی'!H3/'ترازنامه ایجادی'!H2</f>
        <v>1.8786526331935611</v>
      </c>
      <c r="I9" s="625">
        <f>'ترازنامه ایجادی'!I3/'ترازنامه ایجادی'!I2</f>
        <v>1.9455170614229145</v>
      </c>
      <c r="J9" s="625">
        <f>'ترازنامه ایجادی'!J3/'ترازنامه ایجادی'!J2</f>
        <v>2.0222113650544307</v>
      </c>
      <c r="K9" s="625">
        <f>'ترازنامه ایجادی'!K3/'ترازنامه ایجادی'!K2</f>
        <v>2.1110751868260409</v>
      </c>
      <c r="L9" s="625">
        <f>'ترازنامه ایجادی'!L3/'ترازنامه ایجادی'!L2</f>
        <v>2.2152546418843997</v>
      </c>
      <c r="M9" s="625">
        <f>'ترازنامه ایجادی'!M3/'ترازنامه ایجادی'!M2</f>
        <v>2.3354425298048747</v>
      </c>
      <c r="N9" s="629">
        <f>IF(SUM(C9:M9)=0,0,SUM(C9:M9)/N10)</f>
        <v>1.5697487542264832</v>
      </c>
    </row>
    <row r="10" spans="1:14" ht="30" hidden="1" customHeight="1">
      <c r="A10" s="1152"/>
      <c r="B10" s="602"/>
      <c r="C10" s="625">
        <f>IF(C9&lt;&gt;0,1,0)</f>
        <v>1</v>
      </c>
      <c r="D10" s="625">
        <f t="shared" ref="D10:M10" si="2">IF(D9&lt;&gt;0,1,0)</f>
        <v>1</v>
      </c>
      <c r="E10" s="625">
        <f t="shared" si="2"/>
        <v>1</v>
      </c>
      <c r="F10" s="625">
        <f t="shared" si="2"/>
        <v>1</v>
      </c>
      <c r="G10" s="625">
        <f t="shared" si="2"/>
        <v>1</v>
      </c>
      <c r="H10" s="625">
        <f t="shared" si="2"/>
        <v>1</v>
      </c>
      <c r="I10" s="625">
        <f t="shared" si="2"/>
        <v>1</v>
      </c>
      <c r="J10" s="625">
        <f t="shared" si="2"/>
        <v>1</v>
      </c>
      <c r="K10" s="625">
        <f t="shared" si="2"/>
        <v>1</v>
      </c>
      <c r="L10" s="625">
        <f t="shared" si="2"/>
        <v>1</v>
      </c>
      <c r="M10" s="625">
        <f t="shared" si="2"/>
        <v>1</v>
      </c>
      <c r="N10" s="630">
        <f>SUM(C10:M10)</f>
        <v>11</v>
      </c>
    </row>
    <row r="11" spans="1:14" ht="30" customHeight="1">
      <c r="A11" s="1152"/>
      <c r="B11" s="602" t="s">
        <v>527</v>
      </c>
      <c r="C11" s="625">
        <f>IF('ترازنامه ایجادی'!C16&lt;=0,0,'جریان نقدینگی'!C20/'ترازنامه ایجادی'!C16)</f>
        <v>0</v>
      </c>
      <c r="D11" s="625">
        <f>IF('ترازنامه ایجادی'!D16&lt;=0,0,'جریان نقدینگی'!D20/'ترازنامه ایجادی'!D16)</f>
        <v>0</v>
      </c>
      <c r="E11" s="625">
        <f>IF('ترازنامه ایجادی'!E16&lt;=0,0,'جریان نقدینگی'!E20/'ترازنامه ایجادی'!E16)</f>
        <v>0</v>
      </c>
      <c r="F11" s="625">
        <f>IF('ترازنامه ایجادی'!F16&lt;=0,0,'جریان نقدینگی'!F20/'ترازنامه ایجادی'!F16)</f>
        <v>0</v>
      </c>
      <c r="G11" s="625">
        <f>IF('ترازنامه ایجادی'!G16&lt;=0,0,'جریان نقدینگی'!G20/'ترازنامه ایجادی'!G16)</f>
        <v>0</v>
      </c>
      <c r="H11" s="625">
        <f>IF('ترازنامه ایجادی'!H16&lt;=0,0,'جریان نقدینگی'!H20/'ترازنامه ایجادی'!H16)</f>
        <v>0</v>
      </c>
      <c r="I11" s="625">
        <f>IF('ترازنامه ایجادی'!I16&lt;=0,0,'جریان نقدینگی'!I20/'ترازنامه ایجادی'!I16)</f>
        <v>0</v>
      </c>
      <c r="J11" s="625">
        <f>IF('ترازنامه ایجادی'!J16&lt;=0,0,'جریان نقدینگی'!J20/'ترازنامه ایجادی'!J16)</f>
        <v>0</v>
      </c>
      <c r="K11" s="625">
        <f>IF('ترازنامه ایجادی'!K16&lt;=0,0,'جریان نقدینگی'!K20/'ترازنامه ایجادی'!K16)</f>
        <v>0</v>
      </c>
      <c r="L11" s="625">
        <f>IF('ترازنامه ایجادی'!L16&lt;=0,0,'جریان نقدینگی'!L20/'ترازنامه ایجادی'!L16)</f>
        <v>0</v>
      </c>
      <c r="M11" s="625">
        <f>IF('ترازنامه ایجادی'!M16&lt;=0,0,'جریان نقدینگی'!M20/'ترازنامه ایجادی'!M16)</f>
        <v>0</v>
      </c>
      <c r="N11" s="629">
        <f>IF(SUM(C11:M11)=0,0,SUM(C11:M11)/N12)</f>
        <v>0</v>
      </c>
    </row>
    <row r="12" spans="1:14" ht="30" hidden="1" customHeight="1">
      <c r="A12" s="608"/>
      <c r="B12" s="602"/>
      <c r="C12" s="625">
        <f>IF(C11&lt;&gt;0,1,0)</f>
        <v>0</v>
      </c>
      <c r="D12" s="625">
        <f t="shared" ref="D12:M12" si="3">IF(D11&lt;&gt;0,1,0)</f>
        <v>0</v>
      </c>
      <c r="E12" s="625">
        <f t="shared" si="3"/>
        <v>0</v>
      </c>
      <c r="F12" s="625">
        <f t="shared" si="3"/>
        <v>0</v>
      </c>
      <c r="G12" s="625">
        <f t="shared" si="3"/>
        <v>0</v>
      </c>
      <c r="H12" s="625">
        <f t="shared" si="3"/>
        <v>0</v>
      </c>
      <c r="I12" s="625">
        <f t="shared" si="3"/>
        <v>0</v>
      </c>
      <c r="J12" s="625">
        <f t="shared" si="3"/>
        <v>0</v>
      </c>
      <c r="K12" s="625">
        <f t="shared" si="3"/>
        <v>0</v>
      </c>
      <c r="L12" s="625">
        <f t="shared" si="3"/>
        <v>0</v>
      </c>
      <c r="M12" s="625">
        <f t="shared" si="3"/>
        <v>0</v>
      </c>
      <c r="N12" s="630">
        <f>SUM(C12:M12)</f>
        <v>0</v>
      </c>
    </row>
    <row r="13" spans="1:14" ht="30" customHeight="1">
      <c r="A13" s="1152" t="s">
        <v>370</v>
      </c>
      <c r="B13" s="602" t="s">
        <v>371</v>
      </c>
      <c r="C13" s="625">
        <f>360/('پيش بيني عملكرد سود و زيان'!C16/(('ترازنامه ایجادی'!B9+'ترازنامه ایجادی'!B6+'ترازنامه ایجادی'!B5+'ترازنامه ایجادی'!C5+'ترازنامه ایجادی'!C6+'ترازنامه ایجادی'!C9)/2))</f>
        <v>1.664113783003226</v>
      </c>
      <c r="D13" s="625">
        <f>360/('پيش بيني عملكرد سود و زيان'!D16/(('ترازنامه ایجادی'!C9+'ترازنامه ایجادی'!C6+'ترازنامه ایجادی'!C5+'ترازنامه ایجادی'!D5+'ترازنامه ایجادی'!D6+'ترازنامه ایجادی'!D9)/2))</f>
        <v>3.328227566006452</v>
      </c>
      <c r="E13" s="625">
        <f>360/('پيش بيني عملكرد سود و زيان'!E16/(('ترازنامه ایجادی'!D9+'ترازنامه ایجادی'!D6+'ترازنامه ایجادی'!D5+'ترازنامه ایجادی'!E5+'ترازنامه ایجادی'!E6+'ترازنامه ایجادی'!E9)/2))</f>
        <v>3.328227566006452</v>
      </c>
      <c r="F13" s="625">
        <f>360/('پيش بيني عملكرد سود و زيان'!F16/(('ترازنامه ایجادی'!E9+'ترازنامه ایجادی'!E6+'ترازنامه ایجادی'!E5+'ترازنامه ایجادی'!F5+'ترازنامه ایجادی'!F6+'ترازنامه ایجادی'!F9)/2))</f>
        <v>3.328227566006452</v>
      </c>
      <c r="G13" s="625">
        <f>360/('پيش بيني عملكرد سود و زيان'!G16/(('ترازنامه ایجادی'!F9+'ترازنامه ایجادی'!F6+'ترازنامه ایجادی'!F5+'ترازنامه ایجادی'!G5+'ترازنامه ایجادی'!G6+'ترازنامه ایجادی'!G9)/2))</f>
        <v>3.328227566006452</v>
      </c>
      <c r="H13" s="625">
        <f>360/('پيش بيني عملكرد سود و زيان'!H16/(('ترازنامه ایجادی'!G9+'ترازنامه ایجادی'!G6+'ترازنامه ایجادی'!G5+'ترازنامه ایجادی'!H5+'ترازنامه ایجادی'!H6+'ترازنامه ایجادی'!H9)/2))</f>
        <v>24.800691501296825</v>
      </c>
      <c r="I13" s="625">
        <f>360/('پيش بيني عملكرد سود و زيان'!I16/(('ترازنامه ایجادی'!H9+'ترازنامه ایجادی'!H6+'ترازنامه ایجادی'!H5+'ترازنامه ایجادی'!I5+'ترازنامه ایجادی'!I6+'ترازنامه ایجادی'!I9)/2))</f>
        <v>24.800691501296825</v>
      </c>
      <c r="J13" s="625">
        <f>360/('پيش بيني عملكرد سود و زيان'!J16/(('ترازنامه ایجادی'!I9+'ترازنامه ایجادی'!I6+'ترازنامه ایجادی'!I5+'ترازنامه ایجادی'!J5+'ترازنامه ایجادی'!J6+'ترازنامه ایجادی'!J9)/2))</f>
        <v>24.800691501296825</v>
      </c>
      <c r="K13" s="625">
        <f>360/('پيش بيني عملكرد سود و زيان'!K16/(('ترازنامه ایجادی'!J9+'ترازنامه ایجادی'!J6+'ترازنامه ایجادی'!J5+'ترازنامه ایجادی'!K5+'ترازنامه ایجادی'!K6+'ترازنامه ایجادی'!K9)/2))</f>
        <v>24.800691501296825</v>
      </c>
      <c r="L13" s="625">
        <f>360/('پيش بيني عملكرد سود و زيان'!L16/(('ترازنامه ایجادی'!K9+'ترازنامه ایجادی'!K6+'ترازنامه ایجادی'!K5+'ترازنامه ایجادی'!L5+'ترازنامه ایجادی'!L6+'ترازنامه ایجادی'!L9)/2))</f>
        <v>24.800691501296825</v>
      </c>
      <c r="M13" s="625">
        <f>360/('پيش بيني عملكرد سود و زيان'!M16/(('ترازنامه ایجادی'!L9+'ترازنامه ایجادی'!L6+'ترازنامه ایجادی'!L5+'ترازنامه ایجادی'!M5+'ترازنامه ایجادی'!M6+'ترازنامه ایجادی'!M9)/2))</f>
        <v>25.548546244042807</v>
      </c>
      <c r="N13" s="629">
        <f>IF(SUM(C13:M13)=0,0,SUM(C13:M13)/N14)</f>
        <v>14.95718434523236</v>
      </c>
    </row>
    <row r="14" spans="1:14" ht="30" hidden="1" customHeight="1">
      <c r="A14" s="1152"/>
      <c r="B14" s="602"/>
      <c r="C14" s="625">
        <f>IF(C13&lt;&gt;0,1,0)</f>
        <v>1</v>
      </c>
      <c r="D14" s="625">
        <f t="shared" ref="D14:M14" si="4">IF(D13&lt;&gt;0,1,0)</f>
        <v>1</v>
      </c>
      <c r="E14" s="625">
        <f t="shared" si="4"/>
        <v>1</v>
      </c>
      <c r="F14" s="625">
        <f t="shared" si="4"/>
        <v>1</v>
      </c>
      <c r="G14" s="625">
        <f t="shared" si="4"/>
        <v>1</v>
      </c>
      <c r="H14" s="625">
        <f t="shared" si="4"/>
        <v>1</v>
      </c>
      <c r="I14" s="625">
        <f t="shared" si="4"/>
        <v>1</v>
      </c>
      <c r="J14" s="625">
        <f t="shared" si="4"/>
        <v>1</v>
      </c>
      <c r="K14" s="625">
        <f t="shared" si="4"/>
        <v>1</v>
      </c>
      <c r="L14" s="625">
        <f t="shared" si="4"/>
        <v>1</v>
      </c>
      <c r="M14" s="625">
        <f t="shared" si="4"/>
        <v>1</v>
      </c>
      <c r="N14" s="630">
        <f>SUM(C14:M14)</f>
        <v>11</v>
      </c>
    </row>
    <row r="15" spans="1:14" ht="30" customHeight="1">
      <c r="A15" s="1152"/>
      <c r="B15" s="602" t="s">
        <v>372</v>
      </c>
      <c r="C15" s="625">
        <f>360/('پيش بيني عملكرد سود و زيان'!C4/(('ترازنامه ایجادی'!C7+'ترازنامه ایجادی'!B7)/2))</f>
        <v>2.8651796310000002</v>
      </c>
      <c r="D15" s="625">
        <f>360/('پيش بيني عملكرد سود و زيان'!D4/(('ترازنامه ایجادی'!D7+'ترازنامه ایجادی'!C7)/2))</f>
        <v>3.8202395080000007</v>
      </c>
      <c r="E15" s="625">
        <f>360/('پيش بيني عملكرد سود و زيان'!E4/(('ترازنامه ایجادی'!E7+'ترازنامه ایجادی'!D7)/2))</f>
        <v>2.8651796310000002</v>
      </c>
      <c r="F15" s="625">
        <f>360/('پيش بيني عملكرد سود و زيان'!F4/(('ترازنامه ایجادی'!F7+'ترازنامه ایجادی'!E7)/2))</f>
        <v>2.0224797395294121</v>
      </c>
      <c r="G15" s="625">
        <f>360/('پيش بيني عملكرد سود و زيان'!G4/(('ترازنامه ایجادی'!G7+'ترازنامه ایجادی'!F7)/2))</f>
        <v>143258981.55000004</v>
      </c>
      <c r="H15" s="625">
        <f>360/('پيش بيني عملكرد سود و زيان'!H4/(('ترازنامه ایجادی'!H7+'ترازنامه ایجادی'!G7)/2))</f>
        <v>143258981.55000001</v>
      </c>
      <c r="I15" s="625">
        <f>360/('پيش بيني عملكرد سود و زيان'!I4/(('ترازنامه ایجادی'!I7+'ترازنامه ایجادی'!H7)/2))</f>
        <v>143258981.55000001</v>
      </c>
      <c r="J15" s="625">
        <f>360/('پيش بيني عملكرد سود و زيان'!J4/(('ترازنامه ایجادی'!J7+'ترازنامه ایجادی'!I7)/2))</f>
        <v>143258981.55000001</v>
      </c>
      <c r="K15" s="625">
        <f>360/('پيش بيني عملكرد سود و زيان'!K4/(('ترازنامه ایجادی'!K7+'ترازنامه ایجادی'!J7)/2))</f>
        <v>143258981.55000001</v>
      </c>
      <c r="L15" s="625">
        <f>360/('پيش بيني عملكرد سود و زيان'!L4/(('ترازنامه ایجادی'!L7+'ترازنامه ایجادی'!K7)/2))</f>
        <v>143258981.55000001</v>
      </c>
      <c r="M15" s="625">
        <f>360/('پيش بيني عملكرد سود و زيان'!M4/(('ترازنامه ایجادی'!M7+'ترازنامه ایجادی'!L7)/2))</f>
        <v>143258981.55000001</v>
      </c>
      <c r="N15" s="629">
        <f>IF(SUM(C15:M15)=0,0,SUM(C15:M15)/N16)</f>
        <v>91164807.493007138</v>
      </c>
    </row>
    <row r="16" spans="1:14" ht="30" hidden="1" customHeight="1">
      <c r="A16" s="1152"/>
      <c r="B16" s="602"/>
      <c r="C16" s="625">
        <f>IF(C15&lt;&gt;0,1,0)</f>
        <v>1</v>
      </c>
      <c r="D16" s="625">
        <f t="shared" ref="D16:M16" si="5">IF(D15&lt;&gt;0,1,0)</f>
        <v>1</v>
      </c>
      <c r="E16" s="625">
        <f t="shared" si="5"/>
        <v>1</v>
      </c>
      <c r="F16" s="625">
        <f t="shared" si="5"/>
        <v>1</v>
      </c>
      <c r="G16" s="625">
        <f t="shared" si="5"/>
        <v>1</v>
      </c>
      <c r="H16" s="625">
        <f t="shared" si="5"/>
        <v>1</v>
      </c>
      <c r="I16" s="625">
        <f t="shared" si="5"/>
        <v>1</v>
      </c>
      <c r="J16" s="625">
        <f t="shared" si="5"/>
        <v>1</v>
      </c>
      <c r="K16" s="625">
        <f t="shared" si="5"/>
        <v>1</v>
      </c>
      <c r="L16" s="625">
        <f t="shared" si="5"/>
        <v>1</v>
      </c>
      <c r="M16" s="625">
        <f t="shared" si="5"/>
        <v>1</v>
      </c>
      <c r="N16" s="630">
        <f>SUM(C16:M16)</f>
        <v>11</v>
      </c>
    </row>
    <row r="17" spans="1:14" ht="30" customHeight="1">
      <c r="A17" s="1152"/>
      <c r="B17" s="602" t="s">
        <v>528</v>
      </c>
      <c r="C17" s="625">
        <f>'پيش بيني عملكرد سود و زيان'!C4/'سرمايه در گردش'!C20</f>
        <v>41.401588625325331</v>
      </c>
      <c r="D17" s="625">
        <f>'پيش بيني عملكرد سود و زيان'!D4/'سرمايه در گردش'!D20</f>
        <v>62.10238293798799</v>
      </c>
      <c r="E17" s="625">
        <f>'پيش بيني عملكرد سود و زيان'!E4/'سرمايه در گردش'!E20</f>
        <v>82.803177250650663</v>
      </c>
      <c r="F17" s="625">
        <f>'پيش بيني عملكرد سود و زيان'!F4/'سرمايه در گردش'!F20</f>
        <v>117.30450110508843</v>
      </c>
      <c r="G17" s="625">
        <f>'پيش بيني عملكرد سود و زيان'!G4/'سرمايه در گردش'!G20</f>
        <v>1.6560635450130131E-6</v>
      </c>
      <c r="H17" s="625">
        <f>'پيش بيني عملكرد سود و زيان'!H4/'سرمايه در گردش'!H20</f>
        <v>1.6560635450130133E-6</v>
      </c>
      <c r="I17" s="625">
        <f>'پيش بيني عملكرد سود و زيان'!I4/'سرمايه در گردش'!I20</f>
        <v>1.6560635450130133E-6</v>
      </c>
      <c r="J17" s="625">
        <f>'پيش بيني عملكرد سود و زيان'!J4/'سرمايه در گردش'!J20</f>
        <v>1.6560635450130133E-6</v>
      </c>
      <c r="K17" s="625">
        <f>'پيش بيني عملكرد سود و زيان'!K4/'سرمايه در گردش'!K20</f>
        <v>1.6560635450130133E-6</v>
      </c>
      <c r="L17" s="625">
        <f>'پيش بيني عملكرد سود و زيان'!L4/'سرمايه در گردش'!L20</f>
        <v>1.6560635450130133E-6</v>
      </c>
      <c r="M17" s="625">
        <f>'پيش بيني عملكرد سود و زيان'!M4/'سرمايه در گردش'!M20</f>
        <v>1.6560635450130133E-6</v>
      </c>
      <c r="N17" s="629">
        <f>IF(SUM(C17:M17)=0,0,SUM(C17:M17)/N18)</f>
        <v>27.60106013740884</v>
      </c>
    </row>
    <row r="18" spans="1:14" ht="30" hidden="1" customHeight="1">
      <c r="A18" s="608"/>
      <c r="B18" s="602"/>
      <c r="C18" s="625">
        <f>IF(C17&lt;&gt;0,1,0)</f>
        <v>1</v>
      </c>
      <c r="D18" s="625">
        <f t="shared" ref="D18:M18" si="6">IF(D17&lt;&gt;0,1,0)</f>
        <v>1</v>
      </c>
      <c r="E18" s="625">
        <f t="shared" si="6"/>
        <v>1</v>
      </c>
      <c r="F18" s="625">
        <f t="shared" si="6"/>
        <v>1</v>
      </c>
      <c r="G18" s="625">
        <f t="shared" si="6"/>
        <v>1</v>
      </c>
      <c r="H18" s="625">
        <f t="shared" si="6"/>
        <v>1</v>
      </c>
      <c r="I18" s="625">
        <f t="shared" si="6"/>
        <v>1</v>
      </c>
      <c r="J18" s="625">
        <f t="shared" si="6"/>
        <v>1</v>
      </c>
      <c r="K18" s="625">
        <f t="shared" si="6"/>
        <v>1</v>
      </c>
      <c r="L18" s="625">
        <f t="shared" si="6"/>
        <v>1</v>
      </c>
      <c r="M18" s="625">
        <f t="shared" si="6"/>
        <v>1</v>
      </c>
      <c r="N18" s="630">
        <f>SUM(C18:M18)</f>
        <v>11</v>
      </c>
    </row>
    <row r="19" spans="1:14" ht="30" customHeight="1">
      <c r="A19" s="1152" t="s">
        <v>373</v>
      </c>
      <c r="B19" s="605" t="s">
        <v>374</v>
      </c>
      <c r="C19" s="625">
        <f>'پيش بيني عملكرد سود و زيان'!C17/'پيش بيني عملكرد سود و زيان'!C4*100</f>
        <v>10.914767959882578</v>
      </c>
      <c r="D19" s="625">
        <f>'پيش بيني عملكرد سود و زيان'!D17/'پيش بيني عملكرد سود و زيان'!D4*100</f>
        <v>40.609845306588383</v>
      </c>
      <c r="E19" s="625">
        <f>'پيش بيني عملكرد سود و زيان'!E17/'پيش بيني عملكرد سود و زيان'!E4*100</f>
        <v>55.457383979941291</v>
      </c>
      <c r="F19" s="625">
        <f>'پيش بيني عملكرد سود و زيان'!F17/'پيش بيني عملكرد سود و زيان'!F4*100</f>
        <v>68.558153397605608</v>
      </c>
      <c r="G19" s="625">
        <f>'پيش بيني عملكرد سود و زيان'!G17/'پيش بيني عملكرد سود و زيان'!G4*100</f>
        <v>-2227130701.0029359</v>
      </c>
      <c r="H19" s="625">
        <f>'پيش بيني عملكرد سود و زيان'!H17/'پيش بيني عملكرد سود و زيان'!H4*100</f>
        <v>-298878587.5</v>
      </c>
      <c r="I19" s="625">
        <f>'پيش بيني عملكرد سود و زيان'!I17/'پيش بيني عملكرد سود و زيان'!I4*100</f>
        <v>-298878587.5</v>
      </c>
      <c r="J19" s="625">
        <f>'پيش بيني عملكرد سود و زيان'!J17/'پيش بيني عملكرد سود و زيان'!J4*100</f>
        <v>-298878587.5</v>
      </c>
      <c r="K19" s="625">
        <f>'پيش بيني عملكرد سود و زيان'!K17/'پيش بيني عملكرد سود و زيان'!K4*100</f>
        <v>-298878587.5</v>
      </c>
      <c r="L19" s="625">
        <f>'پيش بيني عملكرد سود و زيان'!L17/'پيش بيني عملكرد سود و زيان'!L4*100</f>
        <v>-298878587.5</v>
      </c>
      <c r="M19" s="625">
        <f>'پيش بيني عملكرد سود و زيان'!M17/'پيش بيني عملكرد سود و زيان'!M4*100</f>
        <v>-290129837.5</v>
      </c>
      <c r="N19" s="629">
        <f>IF(SUM(C19:M19)=0,0,SUM(C19:M19)/N20)</f>
        <v>-364695754.5875259</v>
      </c>
    </row>
    <row r="20" spans="1:14" ht="30" hidden="1" customHeight="1">
      <c r="A20" s="1152"/>
      <c r="B20" s="605"/>
      <c r="C20" s="625">
        <f>IF(C19&lt;&gt;0,1,0)</f>
        <v>1</v>
      </c>
      <c r="D20" s="625">
        <f t="shared" ref="D20:M20" si="7">IF(D19&lt;&gt;0,1,0)</f>
        <v>1</v>
      </c>
      <c r="E20" s="625">
        <f t="shared" si="7"/>
        <v>1</v>
      </c>
      <c r="F20" s="625">
        <f t="shared" si="7"/>
        <v>1</v>
      </c>
      <c r="G20" s="625">
        <f t="shared" si="7"/>
        <v>1</v>
      </c>
      <c r="H20" s="625">
        <f t="shared" si="7"/>
        <v>1</v>
      </c>
      <c r="I20" s="625">
        <f t="shared" si="7"/>
        <v>1</v>
      </c>
      <c r="J20" s="625">
        <f t="shared" si="7"/>
        <v>1</v>
      </c>
      <c r="K20" s="625">
        <f t="shared" si="7"/>
        <v>1</v>
      </c>
      <c r="L20" s="625">
        <f t="shared" si="7"/>
        <v>1</v>
      </c>
      <c r="M20" s="625">
        <f t="shared" si="7"/>
        <v>1</v>
      </c>
      <c r="N20" s="630">
        <f>SUM(C20:M20)</f>
        <v>11</v>
      </c>
    </row>
    <row r="21" spans="1:14" ht="30" customHeight="1">
      <c r="A21" s="1152"/>
      <c r="B21" s="602" t="s">
        <v>375</v>
      </c>
      <c r="C21" s="625">
        <f>IF('پيش بيني عملكرد سود و زيان'!C28&gt;0,('پيش بيني عملكرد سود و زيان'!C26/'پيش بيني عملكرد سود و زيان'!C4)*100,0)</f>
        <v>0</v>
      </c>
      <c r="D21" s="625">
        <f>IF('پيش بيني عملكرد سود و زيان'!D28&gt;0,('پيش بيني عملكرد سود و زيان'!D26/'پيش بيني عملكرد سود و زيان'!D4)*100,0)</f>
        <v>0</v>
      </c>
      <c r="E21" s="625">
        <f>IF('پيش بيني عملكرد سود و زيان'!E28&gt;0,('پيش بيني عملكرد سود و زيان'!E26/'پيش بيني عملكرد سود و زيان'!E4)*100,0)</f>
        <v>12.598341689882576</v>
      </c>
      <c r="F21" s="625">
        <f>IF('پيش بيني عملكرد سود و زيان'!F28&gt;0,('پيش بيني عملكرد سود و زيان'!F26/'پيش بيني عملكرد سود و زيان'!F4)*100,0)</f>
        <v>38.30471178109358</v>
      </c>
      <c r="G21" s="625">
        <f>IF('پيش بيني عملكرد سود و زيان'!G28&gt;0,('پيش بيني عملكرد سود و زيان'!G26/'پيش بيني عملكرد سود و زيان'!G4)*100,0)</f>
        <v>0</v>
      </c>
      <c r="H21" s="625">
        <f>IF('پيش بيني عملكرد سود و زيان'!H28&gt;0,('پيش بيني عملكرد سود و زيان'!H26/'پيش بيني عملكرد سود و زيان'!H4)*100,0)</f>
        <v>0</v>
      </c>
      <c r="I21" s="625">
        <f>IF('پيش بيني عملكرد سود و زيان'!I28&gt;0,('پيش بيني عملكرد سود و زيان'!I26/'پيش بيني عملكرد سود و زيان'!I4)*100,0)</f>
        <v>0</v>
      </c>
      <c r="J21" s="625">
        <f>IF('پيش بيني عملكرد سود و زيان'!J28&gt;0,('پيش بيني عملكرد سود و زيان'!J26/'پيش بيني عملكرد سود و زيان'!J4)*100,0)</f>
        <v>0</v>
      </c>
      <c r="K21" s="625">
        <f>IF('پيش بيني عملكرد سود و زيان'!K28&gt;0,('پيش بيني عملكرد سود و زيان'!K26/'پيش بيني عملكرد سود و زيان'!K4)*100,0)</f>
        <v>0</v>
      </c>
      <c r="L21" s="625">
        <f>IF('پيش بيني عملكرد سود و زيان'!L28&gt;0,('پيش بيني عملكرد سود و زيان'!L26/'پيش بيني عملكرد سود و زيان'!L4)*100,0)</f>
        <v>0</v>
      </c>
      <c r="M21" s="625">
        <f>IF('پيش بيني عملكرد سود و زيان'!M28&gt;0,('پيش بيني عملكرد سود و زيان'!M26/'پيش بيني عملكرد سود و زيان'!M4)*100,0)</f>
        <v>0</v>
      </c>
      <c r="N21" s="629">
        <f>IF(SUM(C21:M21)=0,0,SUM(C21:M21)/N22)</f>
        <v>25.451526735488077</v>
      </c>
    </row>
    <row r="22" spans="1:14" ht="30" hidden="1" customHeight="1">
      <c r="A22" s="1152"/>
      <c r="B22" s="602"/>
      <c r="C22" s="625">
        <f>IF(C21&lt;&gt;0,1,0)</f>
        <v>0</v>
      </c>
      <c r="D22" s="625">
        <f t="shared" ref="D22:M22" si="8">IF(D21&lt;&gt;0,1,0)</f>
        <v>0</v>
      </c>
      <c r="E22" s="625">
        <f t="shared" si="8"/>
        <v>1</v>
      </c>
      <c r="F22" s="625">
        <f t="shared" si="8"/>
        <v>1</v>
      </c>
      <c r="G22" s="625">
        <f t="shared" si="8"/>
        <v>0</v>
      </c>
      <c r="H22" s="625">
        <f t="shared" si="8"/>
        <v>0</v>
      </c>
      <c r="I22" s="625">
        <f t="shared" si="8"/>
        <v>0</v>
      </c>
      <c r="J22" s="625">
        <f t="shared" si="8"/>
        <v>0</v>
      </c>
      <c r="K22" s="625">
        <f t="shared" si="8"/>
        <v>0</v>
      </c>
      <c r="L22" s="625">
        <f t="shared" si="8"/>
        <v>0</v>
      </c>
      <c r="M22" s="625">
        <f t="shared" si="8"/>
        <v>0</v>
      </c>
      <c r="N22" s="630">
        <f>SUM(C22:M22)</f>
        <v>2</v>
      </c>
    </row>
    <row r="23" spans="1:14" ht="30" customHeight="1">
      <c r="A23" s="1152"/>
      <c r="B23" s="602" t="s">
        <v>376</v>
      </c>
      <c r="C23" s="625">
        <f>IF('پيش بيني عملكرد سود و زيان'!C28&gt;0,('پيش بيني عملكرد سود و زيان'!C26/'ترازنامه ایجادی'!C2)*100,0)</f>
        <v>0</v>
      </c>
      <c r="D23" s="625">
        <f>IF('پيش بيني عملكرد سود و زيان'!D28&gt;0,('پيش بيني عملكرد سود و زيان'!D26/'ترازنامه ایجادی'!D2)*100,0)</f>
        <v>0</v>
      </c>
      <c r="E23" s="625">
        <f>IF('پيش بيني عملكرد سود و زيان'!E28&gt;0,('پيش بيني عملكرد سود و زيان'!E26/'ترازنامه ایجادی'!E2)*100,0)</f>
        <v>6.0302354341736777</v>
      </c>
      <c r="F23" s="625">
        <f>IF('پيش بيني عملكرد سود و زيان'!F28&gt;0,('پيش بيني عملكرد سود و زيان'!F26/'ترازنامه ایجادی'!F2)*100,0)</f>
        <v>20.618612818200052</v>
      </c>
      <c r="G23" s="625">
        <f>IF('پيش بيني عملكرد سود و زيان'!G28&gt;0,('پيش بيني عملكرد سود و زيان'!G26/'ترازنامه ایجادی'!G2)*100,0)</f>
        <v>0</v>
      </c>
      <c r="H23" s="625">
        <f>IF('پيش بيني عملكرد سود و زيان'!H28&gt;0,('پيش بيني عملكرد سود و زيان'!H26/'ترازنامه ایجادی'!H2)*100,0)</f>
        <v>0</v>
      </c>
      <c r="I23" s="625">
        <f>IF('پيش بيني عملكرد سود و زيان'!I28&gt;0,('پيش بيني عملكرد سود و زيان'!I26/'ترازنامه ایجادی'!I2)*100,0)</f>
        <v>0</v>
      </c>
      <c r="J23" s="625">
        <f>IF('پيش بيني عملكرد سود و زيان'!J28&gt;0,('پيش بيني عملكرد سود و زيان'!J26/'ترازنامه ایجادی'!J2)*100,0)</f>
        <v>0</v>
      </c>
      <c r="K23" s="625">
        <f>IF('پيش بيني عملكرد سود و زيان'!K28&gt;0,('پيش بيني عملكرد سود و زيان'!K26/'ترازنامه ایجادی'!K2)*100,0)</f>
        <v>0</v>
      </c>
      <c r="L23" s="625">
        <f>IF('پيش بيني عملكرد سود و زيان'!L28&gt;0,('پيش بيني عملكرد سود و زيان'!L26/'ترازنامه ایجادی'!L2)*100,0)</f>
        <v>0</v>
      </c>
      <c r="M23" s="625">
        <f>IF('پيش بيني عملكرد سود و زيان'!M28&gt;0,('پيش بيني عملكرد سود و زيان'!M26/'ترازنامه ایجادی'!M2)*100,0)</f>
        <v>0</v>
      </c>
      <c r="N23" s="629">
        <f>IF(SUM(C23:M23)=0,0,SUM(C23:M23)/N24)</f>
        <v>13.324424126186866</v>
      </c>
    </row>
    <row r="24" spans="1:14" ht="30" hidden="1" customHeight="1">
      <c r="A24" s="1152"/>
      <c r="B24" s="602"/>
      <c r="C24" s="625">
        <f>IF(C23&lt;&gt;0,1,0)</f>
        <v>0</v>
      </c>
      <c r="D24" s="625">
        <f t="shared" ref="D24:M24" si="9">IF(D23&lt;&gt;0,1,0)</f>
        <v>0</v>
      </c>
      <c r="E24" s="625">
        <f t="shared" si="9"/>
        <v>1</v>
      </c>
      <c r="F24" s="625">
        <f t="shared" si="9"/>
        <v>1</v>
      </c>
      <c r="G24" s="625">
        <f t="shared" si="9"/>
        <v>0</v>
      </c>
      <c r="H24" s="625">
        <f t="shared" si="9"/>
        <v>0</v>
      </c>
      <c r="I24" s="625">
        <f t="shared" si="9"/>
        <v>0</v>
      </c>
      <c r="J24" s="625">
        <f t="shared" si="9"/>
        <v>0</v>
      </c>
      <c r="K24" s="625">
        <f t="shared" si="9"/>
        <v>0</v>
      </c>
      <c r="L24" s="625">
        <f t="shared" si="9"/>
        <v>0</v>
      </c>
      <c r="M24" s="625">
        <f t="shared" si="9"/>
        <v>0</v>
      </c>
      <c r="N24" s="630">
        <f>SUM(C24:M24)</f>
        <v>2</v>
      </c>
    </row>
    <row r="25" spans="1:14" ht="30" customHeight="1">
      <c r="A25" s="1152"/>
      <c r="B25" s="602" t="s">
        <v>536</v>
      </c>
      <c r="C25" s="625" t="e">
        <f t="shared" ref="C25:M25" si="10">C27/C23</f>
        <v>#DIV/0!</v>
      </c>
      <c r="D25" s="625" t="e">
        <f t="shared" si="10"/>
        <v>#DIV/0!</v>
      </c>
      <c r="E25" s="625">
        <f t="shared" si="10"/>
        <v>-5.8787144373243372</v>
      </c>
      <c r="F25" s="625">
        <f t="shared" si="10"/>
        <v>14.053974961913065</v>
      </c>
      <c r="G25" s="625" t="e">
        <f t="shared" si="10"/>
        <v>#DIV/0!</v>
      </c>
      <c r="H25" s="625" t="e">
        <f t="shared" si="10"/>
        <v>#DIV/0!</v>
      </c>
      <c r="I25" s="625" t="e">
        <f t="shared" si="10"/>
        <v>#DIV/0!</v>
      </c>
      <c r="J25" s="625" t="e">
        <f t="shared" si="10"/>
        <v>#DIV/0!</v>
      </c>
      <c r="K25" s="625" t="e">
        <f t="shared" si="10"/>
        <v>#DIV/0!</v>
      </c>
      <c r="L25" s="625" t="e">
        <f t="shared" si="10"/>
        <v>#DIV/0!</v>
      </c>
      <c r="M25" s="625" t="e">
        <f t="shared" si="10"/>
        <v>#DIV/0!</v>
      </c>
      <c r="N25" s="629" t="e">
        <f>IF(SUM(C25:M25)=0,0,SUM(C25:M25)/N26)</f>
        <v>#DIV/0!</v>
      </c>
    </row>
    <row r="26" spans="1:14" ht="30" hidden="1" customHeight="1">
      <c r="A26" s="1152"/>
      <c r="B26" s="602"/>
      <c r="C26" s="625" t="e">
        <f>IF(C25&lt;&gt;0,1,0)</f>
        <v>#DIV/0!</v>
      </c>
      <c r="D26" s="625" t="e">
        <f t="shared" ref="D26:M26" si="11">IF(D25&lt;&gt;0,1,0)</f>
        <v>#DIV/0!</v>
      </c>
      <c r="E26" s="625">
        <f t="shared" si="11"/>
        <v>1</v>
      </c>
      <c r="F26" s="625">
        <f t="shared" si="11"/>
        <v>1</v>
      </c>
      <c r="G26" s="625" t="e">
        <f t="shared" si="11"/>
        <v>#DIV/0!</v>
      </c>
      <c r="H26" s="625" t="e">
        <f t="shared" si="11"/>
        <v>#DIV/0!</v>
      </c>
      <c r="I26" s="625" t="e">
        <f t="shared" si="11"/>
        <v>#DIV/0!</v>
      </c>
      <c r="J26" s="625" t="e">
        <f t="shared" si="11"/>
        <v>#DIV/0!</v>
      </c>
      <c r="K26" s="625" t="e">
        <f t="shared" si="11"/>
        <v>#DIV/0!</v>
      </c>
      <c r="L26" s="625" t="e">
        <f t="shared" si="11"/>
        <v>#DIV/0!</v>
      </c>
      <c r="M26" s="625" t="e">
        <f t="shared" si="11"/>
        <v>#DIV/0!</v>
      </c>
      <c r="N26" s="630" t="e">
        <f>SUM(C26:M26)</f>
        <v>#DIV/0!</v>
      </c>
    </row>
    <row r="27" spans="1:14" ht="30" customHeight="1">
      <c r="A27" s="1152"/>
      <c r="B27" s="606" t="s">
        <v>377</v>
      </c>
      <c r="C27" s="625">
        <f>IF('پيش بيني عملكرد سود و زيان'!C28&gt;0,('پيش بيني عملكرد سود و زيان'!C26/('ترازنامه توسعه'!D30))*100,0)</f>
        <v>0</v>
      </c>
      <c r="D27" s="625">
        <f>IF('پيش بيني عملكرد سود و زيان'!D28&gt;0,('پيش بيني عملكرد سود و زيان'!D26/('ترازنامه توسعه'!E30))*100,0)</f>
        <v>0</v>
      </c>
      <c r="E27" s="625">
        <f>IF('پيش بيني عملكرد سود و زيان'!E28&gt;0,('پيش بيني عملكرد سود و زيان'!E26/('ترازنامه توسعه'!F30))*100,0)</f>
        <v>-35.450032107341592</v>
      </c>
      <c r="F27" s="625">
        <f>IF('پيش بيني عملكرد سود و زيان'!F28&gt;0,('پيش بيني عملكرد سود و زيان'!F26/('ترازنامه توسعه'!G30))*100,0)</f>
        <v>289.77346829636332</v>
      </c>
      <c r="G27" s="625">
        <f>IF('پيش بيني عملكرد سود و زيان'!G28&gt;0,('پيش بيني عملكرد سود و زيان'!G26/('ترازنامه توسعه'!H30))*100,0)</f>
        <v>0</v>
      </c>
      <c r="H27" s="625">
        <f>IF('پيش بيني عملكرد سود و زيان'!H28&gt;0,('پيش بيني عملكرد سود و زيان'!H26/('ترازنامه توسعه'!I30))*100,0)</f>
        <v>0</v>
      </c>
      <c r="I27" s="625">
        <f>IF('پيش بيني عملكرد سود و زيان'!I28&gt;0,('پيش بيني عملكرد سود و زيان'!I26/('ترازنامه توسعه'!J30))*100,0)</f>
        <v>0</v>
      </c>
      <c r="J27" s="625">
        <f>IF('پيش بيني عملكرد سود و زيان'!J28&gt;0,('پيش بيني عملكرد سود و زيان'!J26/('ترازنامه توسعه'!K30))*100,0)</f>
        <v>0</v>
      </c>
      <c r="K27" s="625">
        <f>IF('پيش بيني عملكرد سود و زيان'!K28&gt;0,('پيش بيني عملكرد سود و زيان'!K26/('ترازنامه توسعه'!L30))*100,0)</f>
        <v>0</v>
      </c>
      <c r="L27" s="625">
        <f>IF('پيش بيني عملكرد سود و زيان'!L28&gt;0,('پيش بيني عملكرد سود و زيان'!L26/('ترازنامه توسعه'!M30))*100,0)</f>
        <v>0</v>
      </c>
      <c r="M27" s="625">
        <f>IF('پيش بيني عملكرد سود و زيان'!M28&gt;0,('پيش بيني عملكرد سود و زيان'!M26/('ترازنامه توسعه'!N30))*100,0)</f>
        <v>0</v>
      </c>
      <c r="N27" s="629">
        <f>IF(SUM(C27:M27)=0,0,SUM(C27:M27)/N28)</f>
        <v>127.16171809451086</v>
      </c>
    </row>
    <row r="28" spans="1:14" ht="30" hidden="1" customHeight="1">
      <c r="A28" s="608"/>
      <c r="B28" s="606"/>
      <c r="C28" s="625">
        <f>IF(C27&lt;&gt;0,1,0)</f>
        <v>0</v>
      </c>
      <c r="D28" s="625">
        <f t="shared" ref="D28:M28" si="12">IF(D27&lt;&gt;0,1,0)</f>
        <v>0</v>
      </c>
      <c r="E28" s="625">
        <f t="shared" si="12"/>
        <v>1</v>
      </c>
      <c r="F28" s="625">
        <f t="shared" si="12"/>
        <v>1</v>
      </c>
      <c r="G28" s="625">
        <f t="shared" si="12"/>
        <v>0</v>
      </c>
      <c r="H28" s="625">
        <f t="shared" si="12"/>
        <v>0</v>
      </c>
      <c r="I28" s="625">
        <f t="shared" si="12"/>
        <v>0</v>
      </c>
      <c r="J28" s="625">
        <f t="shared" si="12"/>
        <v>0</v>
      </c>
      <c r="K28" s="625">
        <f t="shared" si="12"/>
        <v>0</v>
      </c>
      <c r="L28" s="625">
        <f t="shared" si="12"/>
        <v>0</v>
      </c>
      <c r="M28" s="625">
        <f t="shared" si="12"/>
        <v>0</v>
      </c>
      <c r="N28" s="630">
        <f>SUM(C28:M28)</f>
        <v>2</v>
      </c>
    </row>
    <row r="29" spans="1:14" ht="30" customHeight="1">
      <c r="A29" s="1152" t="s">
        <v>378</v>
      </c>
      <c r="B29" s="602" t="s">
        <v>379</v>
      </c>
      <c r="C29" s="625">
        <f>(('ترازنامه توسعه'!D30)/'ترازنامه ایجادی'!C2)*100</f>
        <v>-17.120782933561365</v>
      </c>
      <c r="D29" s="625">
        <f>(('ترازنامه توسعه'!E30)/'ترازنامه ایجادی'!D2)*100</f>
        <v>-24.519330579327093</v>
      </c>
      <c r="E29" s="625">
        <f>(('ترازنامه توسعه'!F30)/'ترازنامه ایجادی'!E2)*100</f>
        <v>-17.01052178433665</v>
      </c>
      <c r="F29" s="625">
        <f>(('ترازنامه توسعه'!G30)/'ترازنامه ایجادی'!F2)*100</f>
        <v>7.1154246589313495</v>
      </c>
      <c r="G29" s="625">
        <f>(('ترازنامه توسعه'!H30)/'ترازنامه ایجادی'!G2)*100</f>
        <v>-39.068048836666435</v>
      </c>
      <c r="H29" s="625">
        <f>(('ترازنامه توسعه'!I30)/'ترازنامه ایجادی'!H2)*100</f>
        <v>-47.980194379145424</v>
      </c>
      <c r="I29" s="625">
        <f>(('ترازنامه توسعه'!J30)/'ترازنامه ایجادی'!I2)*100</f>
        <v>-58.112819917691958</v>
      </c>
      <c r="J29" s="625">
        <f>(('ترازنامه توسعه'!K30)/'ترازنامه ایجادی'!J2)*100</f>
        <v>-69.735063317009434</v>
      </c>
      <c r="K29" s="625">
        <f>(('ترازنامه توسعه'!L30)/'ترازنامه ایجادی'!K2)*100</f>
        <v>-83.201473690658347</v>
      </c>
      <c r="L29" s="625">
        <f>(('ترازنامه توسعه'!M30)/'ترازنامه ایجادی'!L2)*100</f>
        <v>-98.988812861424947</v>
      </c>
      <c r="M29" s="625">
        <f>(('ترازنامه توسعه'!N30)/'ترازنامه ایجادی'!M2)*100</f>
        <v>-117.41481441801346</v>
      </c>
      <c r="N29" s="629">
        <f>IF(SUM(C29:M29)=0,0,SUM(C29:M29)/N30)</f>
        <v>-51.457858005354886</v>
      </c>
    </row>
    <row r="30" spans="1:14" ht="30" hidden="1" customHeight="1">
      <c r="A30" s="1152"/>
      <c r="B30" s="602"/>
      <c r="C30" s="625">
        <f>IF(C29&lt;&gt;0,1,0)</f>
        <v>1</v>
      </c>
      <c r="D30" s="625">
        <f t="shared" ref="D30:M30" si="13">IF(D29&lt;&gt;0,1,0)</f>
        <v>1</v>
      </c>
      <c r="E30" s="625">
        <f t="shared" si="13"/>
        <v>1</v>
      </c>
      <c r="F30" s="625">
        <f t="shared" si="13"/>
        <v>1</v>
      </c>
      <c r="G30" s="625">
        <f t="shared" si="13"/>
        <v>1</v>
      </c>
      <c r="H30" s="625">
        <f t="shared" si="13"/>
        <v>1</v>
      </c>
      <c r="I30" s="625">
        <f t="shared" si="13"/>
        <v>1</v>
      </c>
      <c r="J30" s="625">
        <f t="shared" si="13"/>
        <v>1</v>
      </c>
      <c r="K30" s="625">
        <f t="shared" si="13"/>
        <v>1</v>
      </c>
      <c r="L30" s="625">
        <f t="shared" si="13"/>
        <v>1</v>
      </c>
      <c r="M30" s="625">
        <f t="shared" si="13"/>
        <v>1</v>
      </c>
      <c r="N30" s="630">
        <f>SUM(C30:M30)</f>
        <v>11</v>
      </c>
    </row>
    <row r="31" spans="1:14" ht="30" customHeight="1">
      <c r="A31" s="1152"/>
      <c r="B31" s="602" t="s">
        <v>380</v>
      </c>
      <c r="C31" s="625">
        <f>IF(100-C29&gt;=0,100-C29,0)</f>
        <v>117.12078293356137</v>
      </c>
      <c r="D31" s="625">
        <f t="shared" ref="D31:M31" si="14">IF(100-D29&gt;=0,100-D29,0)</f>
        <v>124.51933057932709</v>
      </c>
      <c r="E31" s="625">
        <f t="shared" si="14"/>
        <v>117.01052178433665</v>
      </c>
      <c r="F31" s="625">
        <f t="shared" si="14"/>
        <v>92.884575341068654</v>
      </c>
      <c r="G31" s="625">
        <f t="shared" si="14"/>
        <v>139.06804883666643</v>
      </c>
      <c r="H31" s="625">
        <f t="shared" si="14"/>
        <v>147.98019437914542</v>
      </c>
      <c r="I31" s="625">
        <f t="shared" si="14"/>
        <v>158.11281991769195</v>
      </c>
      <c r="J31" s="625">
        <f t="shared" si="14"/>
        <v>169.73506331700943</v>
      </c>
      <c r="K31" s="625">
        <f t="shared" si="14"/>
        <v>183.20147369065836</v>
      </c>
      <c r="L31" s="625">
        <f t="shared" si="14"/>
        <v>198.98881286142495</v>
      </c>
      <c r="M31" s="625">
        <f t="shared" si="14"/>
        <v>217.41481441801346</v>
      </c>
      <c r="N31" s="629">
        <f>IF(SUM(C31:M31)=0,0,SUM(C31:M31)/N32)</f>
        <v>151.45785800535489</v>
      </c>
    </row>
    <row r="32" spans="1:14" ht="30" hidden="1" customHeight="1">
      <c r="A32" s="1152"/>
      <c r="B32" s="602"/>
      <c r="C32" s="625">
        <f>IF(C31&lt;&gt;0,1,0)</f>
        <v>1</v>
      </c>
      <c r="D32" s="625">
        <f t="shared" ref="D32:M32" si="15">IF(D31&lt;&gt;0,1,0)</f>
        <v>1</v>
      </c>
      <c r="E32" s="625">
        <f t="shared" si="15"/>
        <v>1</v>
      </c>
      <c r="F32" s="625">
        <f t="shared" si="15"/>
        <v>1</v>
      </c>
      <c r="G32" s="625">
        <f t="shared" si="15"/>
        <v>1</v>
      </c>
      <c r="H32" s="625">
        <f t="shared" si="15"/>
        <v>1</v>
      </c>
      <c r="I32" s="625">
        <f t="shared" si="15"/>
        <v>1</v>
      </c>
      <c r="J32" s="625">
        <f t="shared" si="15"/>
        <v>1</v>
      </c>
      <c r="K32" s="625">
        <f t="shared" si="15"/>
        <v>1</v>
      </c>
      <c r="L32" s="625">
        <f t="shared" si="15"/>
        <v>1</v>
      </c>
      <c r="M32" s="625">
        <f t="shared" si="15"/>
        <v>1</v>
      </c>
      <c r="N32" s="630">
        <f>SUM(C32:M32)</f>
        <v>11</v>
      </c>
    </row>
    <row r="33" spans="1:14" ht="30" customHeight="1">
      <c r="A33" s="1152"/>
      <c r="B33" s="602" t="s">
        <v>381</v>
      </c>
      <c r="C33" s="625">
        <f>('ترازنامه ایجادی'!C16/'ترازنامه ایجادی'!C2)*100</f>
        <v>0</v>
      </c>
      <c r="D33" s="625">
        <f>('ترازنامه ایجادی'!D16/'ترازنامه ایجادی'!D2)*100</f>
        <v>0</v>
      </c>
      <c r="E33" s="625">
        <f>('ترازنامه ایجادی'!E16/'ترازنامه ایجادی'!E2)*100</f>
        <v>0</v>
      </c>
      <c r="F33" s="625">
        <f>('ترازنامه ایجادی'!F16/'ترازنامه ایجادی'!F2)*100</f>
        <v>0</v>
      </c>
      <c r="G33" s="625">
        <f>('ترازنامه ایجادی'!G16/'ترازنامه ایجادی'!G2)*100</f>
        <v>0</v>
      </c>
      <c r="H33" s="625">
        <f>('ترازنامه ایجادی'!H16/'ترازنامه ایجادی'!H2)*100</f>
        <v>0</v>
      </c>
      <c r="I33" s="625">
        <f>('ترازنامه ایجادی'!I16/'ترازنامه ایجادی'!I2)*100</f>
        <v>0</v>
      </c>
      <c r="J33" s="625">
        <f>('ترازنامه ایجادی'!J16/'ترازنامه ایجادی'!J2)*100</f>
        <v>0</v>
      </c>
      <c r="K33" s="625">
        <f>('ترازنامه ایجادی'!K16/'ترازنامه ایجادی'!K2)*100</f>
        <v>0</v>
      </c>
      <c r="L33" s="625">
        <f>('ترازنامه ایجادی'!L16/'ترازنامه ایجادی'!L2)*100</f>
        <v>0</v>
      </c>
      <c r="M33" s="625">
        <f>('ترازنامه ایجادی'!M16/'ترازنامه ایجادی'!M2)*100</f>
        <v>0</v>
      </c>
      <c r="N33" s="629">
        <f>IF(SUM(C33:M33)=0,0,SUM(C33:M33)/N34)</f>
        <v>0</v>
      </c>
    </row>
    <row r="34" spans="1:14" ht="30" hidden="1" customHeight="1">
      <c r="A34" s="1152"/>
      <c r="B34" s="602"/>
      <c r="C34" s="625">
        <f>IF(C33&lt;&gt;0,1,0)</f>
        <v>0</v>
      </c>
      <c r="D34" s="625">
        <f t="shared" ref="D34:M34" si="16">IF(D33&lt;&gt;0,1,0)</f>
        <v>0</v>
      </c>
      <c r="E34" s="625">
        <f t="shared" si="16"/>
        <v>0</v>
      </c>
      <c r="F34" s="625">
        <f t="shared" si="16"/>
        <v>0</v>
      </c>
      <c r="G34" s="625">
        <f t="shared" si="16"/>
        <v>0</v>
      </c>
      <c r="H34" s="625">
        <f t="shared" si="16"/>
        <v>0</v>
      </c>
      <c r="I34" s="625">
        <f t="shared" si="16"/>
        <v>0</v>
      </c>
      <c r="J34" s="625">
        <f t="shared" si="16"/>
        <v>0</v>
      </c>
      <c r="K34" s="625">
        <f t="shared" si="16"/>
        <v>0</v>
      </c>
      <c r="L34" s="625">
        <f t="shared" si="16"/>
        <v>0</v>
      </c>
      <c r="M34" s="625">
        <f t="shared" si="16"/>
        <v>0</v>
      </c>
      <c r="N34" s="630">
        <f>SUM(C34:M34)</f>
        <v>0</v>
      </c>
    </row>
    <row r="35" spans="1:14" ht="30" customHeight="1">
      <c r="A35" s="1152"/>
      <c r="B35" s="602" t="s">
        <v>529</v>
      </c>
      <c r="C35" s="625">
        <f>'ترازنامه ایجادی'!C11/('ترازنامه توسعه'!D30)</f>
        <v>-4.6814061213733362</v>
      </c>
      <c r="D35" s="625">
        <f>'ترازنامه ایجادی'!D11/('ترازنامه توسعه'!E30)</f>
        <v>-1.8580218850507735</v>
      </c>
      <c r="E35" s="625">
        <f>'ترازنامه ایجادی'!E11/('ترازنامه توسعه'!F30)</f>
        <v>-0.32606756237976309</v>
      </c>
      <c r="F35" s="625">
        <f>'ترازنامه ایجادی'!F11/('ترازنامه توسعه'!G30)</f>
        <v>-3.5384328079632361</v>
      </c>
      <c r="G35" s="625">
        <f>'ترازنامه ایجادی'!G11/('ترازنامه توسعه'!H30)</f>
        <v>2.0984975815301246</v>
      </c>
      <c r="H35" s="625">
        <f>'ترازنامه ایجادی'!H11/('ترازنامه توسعه'!I30)</f>
        <v>1.8312819373976261</v>
      </c>
      <c r="I35" s="625">
        <f>'ترازنامه ایجادی'!I11/('ترازنامه توسعه'!J30)</f>
        <v>1.6270369649280432</v>
      </c>
      <c r="J35" s="625">
        <f>'ترازنامه ایجادی'!J11/('ترازنامه توسعه'!K30)</f>
        <v>1.4658499131312868</v>
      </c>
      <c r="K35" s="625">
        <f>'ترازنامه ایجادی'!K11/('ترازنامه توسعه'!L30)</f>
        <v>1.3354032537416338</v>
      </c>
      <c r="L35" s="625">
        <f>'ترازنامه ایجادی'!L11/('ترازنامه توسعه'!M30)</f>
        <v>1.2276686695754622</v>
      </c>
      <c r="M35" s="625">
        <f>'ترازنامه ایجادی'!M11/('ترازنامه توسعه'!N30)</f>
        <v>1.1373714095825329</v>
      </c>
      <c r="N35" s="629">
        <f>IF(SUM(C35:M35)=0,0,SUM(C35:M35)/N36)</f>
        <v>2.9016486647236439E-2</v>
      </c>
    </row>
    <row r="36" spans="1:14" ht="30" hidden="1" customHeight="1">
      <c r="A36" s="1152"/>
      <c r="B36" s="602"/>
      <c r="C36" s="625">
        <f>IF(C35&lt;&gt;0,1,0)</f>
        <v>1</v>
      </c>
      <c r="D36" s="625">
        <f t="shared" ref="D36:M36" si="17">IF(D35&lt;&gt;0,1,0)</f>
        <v>1</v>
      </c>
      <c r="E36" s="625">
        <f t="shared" si="17"/>
        <v>1</v>
      </c>
      <c r="F36" s="625">
        <f t="shared" si="17"/>
        <v>1</v>
      </c>
      <c r="G36" s="625">
        <f t="shared" si="17"/>
        <v>1</v>
      </c>
      <c r="H36" s="625">
        <f t="shared" si="17"/>
        <v>1</v>
      </c>
      <c r="I36" s="625">
        <f t="shared" si="17"/>
        <v>1</v>
      </c>
      <c r="J36" s="625">
        <f t="shared" si="17"/>
        <v>1</v>
      </c>
      <c r="K36" s="625">
        <f t="shared" si="17"/>
        <v>1</v>
      </c>
      <c r="L36" s="625">
        <f t="shared" si="17"/>
        <v>1</v>
      </c>
      <c r="M36" s="625">
        <f t="shared" si="17"/>
        <v>1</v>
      </c>
      <c r="N36" s="630">
        <f>SUM(C36:M36)</f>
        <v>11</v>
      </c>
    </row>
    <row r="37" spans="1:14" ht="30" customHeight="1">
      <c r="A37" s="1152"/>
      <c r="B37" s="602" t="s">
        <v>530</v>
      </c>
      <c r="C37" s="625">
        <f>'ترازنامه ایجادی'!C15/('ترازنامه توسعه'!D30)</f>
        <v>-5.8408543807872793</v>
      </c>
      <c r="D37" s="625">
        <f>'ترازنامه ایجادی'!D15/('ترازنامه توسعه'!E30)</f>
        <v>-4.0784147706019631</v>
      </c>
      <c r="E37" s="625">
        <f>'ترازنامه ایجادی'!E15/('ترازنامه توسعه'!F30)</f>
        <v>-5.8787144373243372</v>
      </c>
      <c r="F37" s="625">
        <f>'ترازنامه ایجادی'!F15/('ترازنامه توسعه'!G30)</f>
        <v>14.053974961913067</v>
      </c>
      <c r="G37" s="625">
        <f>'ترازنامه ایجادی'!G15/('ترازنامه توسعه'!H30)</f>
        <v>-2.5596364030892489</v>
      </c>
      <c r="H37" s="625">
        <f>'ترازنامه ایجادی'!H15/('ترازنامه توسعه'!I30)</f>
        <v>-2.0841933071339316</v>
      </c>
      <c r="I37" s="625">
        <f>'ترازنامه ایجادی'!I15/('ترازنامه توسعه'!J30)</f>
        <v>-1.720790698879092</v>
      </c>
      <c r="J37" s="625">
        <f>'ترازنامه ایجادی'!J15/('ترازنامه توسعه'!K30)</f>
        <v>-1.4339988413778131</v>
      </c>
      <c r="K37" s="625">
        <f>'ترازنامه ایجادی'!K15/('ترازنامه توسعه'!L30)</f>
        <v>-1.2019017880836849</v>
      </c>
      <c r="L37" s="625">
        <f>'ترازنامه ایجادی'!L15/('ترازنامه توسعه'!M30)</f>
        <v>-1.0102151658287946</v>
      </c>
      <c r="M37" s="625">
        <f>'ترازنامه ایجادی'!M15/('ترازنامه توسعه'!N30)</f>
        <v>-0.85168128481628935</v>
      </c>
      <c r="N37" s="629">
        <f>IF(SUM(C37:M37)=0,0,SUM(C37:M37)/N38)</f>
        <v>-1.1460387378190333</v>
      </c>
    </row>
    <row r="38" spans="1:14" ht="30" hidden="1" customHeight="1">
      <c r="A38" s="1152"/>
      <c r="B38" s="602"/>
      <c r="C38" s="625">
        <f>IF(C37&lt;&gt;0,1,0)</f>
        <v>1</v>
      </c>
      <c r="D38" s="625">
        <f t="shared" ref="D38:M38" si="18">IF(D37&lt;&gt;0,1,0)</f>
        <v>1</v>
      </c>
      <c r="E38" s="625">
        <f t="shared" si="18"/>
        <v>1</v>
      </c>
      <c r="F38" s="625">
        <f t="shared" si="18"/>
        <v>1</v>
      </c>
      <c r="G38" s="625">
        <f t="shared" si="18"/>
        <v>1</v>
      </c>
      <c r="H38" s="625">
        <f t="shared" si="18"/>
        <v>1</v>
      </c>
      <c r="I38" s="625">
        <f t="shared" si="18"/>
        <v>1</v>
      </c>
      <c r="J38" s="625">
        <f t="shared" si="18"/>
        <v>1</v>
      </c>
      <c r="K38" s="625">
        <f t="shared" si="18"/>
        <v>1</v>
      </c>
      <c r="L38" s="625">
        <f t="shared" si="18"/>
        <v>1</v>
      </c>
      <c r="M38" s="625">
        <f t="shared" si="18"/>
        <v>1</v>
      </c>
      <c r="N38" s="630">
        <f>SUM(C38:M38)</f>
        <v>11</v>
      </c>
    </row>
    <row r="39" spans="1:14" ht="30" customHeight="1">
      <c r="A39" s="1152"/>
      <c r="B39" s="602" t="s">
        <v>531</v>
      </c>
      <c r="C39" s="625">
        <f>'ترازنامه ایجادی'!C16/('ترازنامه توسعه'!D30)</f>
        <v>0</v>
      </c>
      <c r="D39" s="625">
        <f>'ترازنامه ایجادی'!D16/('ترازنامه توسعه'!E30)</f>
        <v>0</v>
      </c>
      <c r="E39" s="625">
        <f>'ترازنامه ایجادی'!E16/('ترازنامه توسعه'!F30)</f>
        <v>0</v>
      </c>
      <c r="F39" s="625">
        <f>'ترازنامه ایجادی'!F16/('ترازنامه توسعه'!G30)</f>
        <v>0</v>
      </c>
      <c r="G39" s="625">
        <f>'ترازنامه ایجادی'!G16/('ترازنامه توسعه'!H30)</f>
        <v>0</v>
      </c>
      <c r="H39" s="625">
        <f>'ترازنامه ایجادی'!H16/('ترازنامه توسعه'!I30)</f>
        <v>0</v>
      </c>
      <c r="I39" s="625">
        <f>'ترازنامه ایجادی'!I16/('ترازنامه توسعه'!J30)</f>
        <v>0</v>
      </c>
      <c r="J39" s="625">
        <f>'ترازنامه ایجادی'!J16/('ترازنامه توسعه'!K30)</f>
        <v>0</v>
      </c>
      <c r="K39" s="625">
        <f>'ترازنامه ایجادی'!K16/('ترازنامه توسعه'!L30)</f>
        <v>0</v>
      </c>
      <c r="L39" s="625">
        <f>'ترازنامه ایجادی'!L16/('ترازنامه توسعه'!M30)</f>
        <v>0</v>
      </c>
      <c r="M39" s="625">
        <f>'ترازنامه ایجادی'!M16/('ترازنامه توسعه'!N30)</f>
        <v>0</v>
      </c>
      <c r="N39" s="629">
        <f>IF(SUM(C39:M39)=0,0,SUM(C39:M39)/N40)</f>
        <v>0</v>
      </c>
    </row>
    <row r="40" spans="1:14" ht="30" hidden="1" customHeight="1">
      <c r="A40" s="1152"/>
      <c r="B40" s="602"/>
      <c r="C40" s="625">
        <f>IF(C39&lt;&gt;0,1,0)</f>
        <v>0</v>
      </c>
      <c r="D40" s="625">
        <f t="shared" ref="D40:M40" si="19">IF(D39&lt;&gt;0,1,0)</f>
        <v>0</v>
      </c>
      <c r="E40" s="625">
        <f t="shared" si="19"/>
        <v>0</v>
      </c>
      <c r="F40" s="625">
        <f t="shared" si="19"/>
        <v>0</v>
      </c>
      <c r="G40" s="625">
        <f t="shared" si="19"/>
        <v>0</v>
      </c>
      <c r="H40" s="625">
        <f t="shared" si="19"/>
        <v>0</v>
      </c>
      <c r="I40" s="625">
        <f t="shared" si="19"/>
        <v>0</v>
      </c>
      <c r="J40" s="625">
        <f t="shared" si="19"/>
        <v>0</v>
      </c>
      <c r="K40" s="625">
        <f t="shared" si="19"/>
        <v>0</v>
      </c>
      <c r="L40" s="625">
        <f t="shared" si="19"/>
        <v>0</v>
      </c>
      <c r="M40" s="625">
        <f t="shared" si="19"/>
        <v>0</v>
      </c>
      <c r="N40" s="630">
        <f>SUM(C40:M40)</f>
        <v>0</v>
      </c>
    </row>
    <row r="41" spans="1:14" ht="30" customHeight="1">
      <c r="A41" s="1152"/>
      <c r="B41" s="602" t="s">
        <v>532</v>
      </c>
      <c r="C41" s="625">
        <f>'ترازنامه ایجادی'!C19/'سرمايه در گردش'!C20</f>
        <v>0</v>
      </c>
      <c r="D41" s="625">
        <f>'ترازنامه ایجادی'!D19/'سرمايه در گردش'!D20</f>
        <v>0</v>
      </c>
      <c r="E41" s="625">
        <f>'ترازنامه ایجادی'!E19/'سرمايه در گردش'!E20</f>
        <v>0</v>
      </c>
      <c r="F41" s="625">
        <f>'ترازنامه ایجادی'!F19/'سرمايه در گردش'!F20</f>
        <v>0</v>
      </c>
      <c r="G41" s="625">
        <f>'ترازنامه ایجادی'!G19/'سرمايه در گردش'!G20</f>
        <v>0</v>
      </c>
      <c r="H41" s="625">
        <f>'ترازنامه ایجادی'!H19/'سرمايه در گردش'!H20</f>
        <v>0</v>
      </c>
      <c r="I41" s="625">
        <f>'ترازنامه ایجادی'!I19/'سرمايه در گردش'!I20</f>
        <v>0</v>
      </c>
      <c r="J41" s="625">
        <f>'ترازنامه ایجادی'!J19/'سرمايه در گردش'!J20</f>
        <v>0</v>
      </c>
      <c r="K41" s="625">
        <f>'ترازنامه ایجادی'!K19/'سرمايه در گردش'!K20</f>
        <v>0</v>
      </c>
      <c r="L41" s="625">
        <f>'ترازنامه ایجادی'!L19/'سرمايه در گردش'!L20</f>
        <v>0</v>
      </c>
      <c r="M41" s="625">
        <f>'ترازنامه ایجادی'!M19/'سرمايه در گردش'!M20</f>
        <v>0</v>
      </c>
      <c r="N41" s="629">
        <f>IF(SUM(C41:M41)=0,0,SUM(C41:M41)/N42)</f>
        <v>0</v>
      </c>
    </row>
    <row r="42" spans="1:14" ht="30" hidden="1" customHeight="1">
      <c r="A42" s="1152"/>
      <c r="B42" s="602"/>
      <c r="C42" s="625">
        <f>IF(C41&lt;&gt;0,1,0)</f>
        <v>0</v>
      </c>
      <c r="D42" s="625">
        <f t="shared" ref="D42:M42" si="20">IF(D41&lt;&gt;0,1,0)</f>
        <v>0</v>
      </c>
      <c r="E42" s="625">
        <f t="shared" si="20"/>
        <v>0</v>
      </c>
      <c r="F42" s="625">
        <f t="shared" si="20"/>
        <v>0</v>
      </c>
      <c r="G42" s="625">
        <f t="shared" si="20"/>
        <v>0</v>
      </c>
      <c r="H42" s="625">
        <f t="shared" si="20"/>
        <v>0</v>
      </c>
      <c r="I42" s="625">
        <f t="shared" si="20"/>
        <v>0</v>
      </c>
      <c r="J42" s="625">
        <f t="shared" si="20"/>
        <v>0</v>
      </c>
      <c r="K42" s="625">
        <f t="shared" si="20"/>
        <v>0</v>
      </c>
      <c r="L42" s="625">
        <f t="shared" si="20"/>
        <v>0</v>
      </c>
      <c r="M42" s="625">
        <f t="shared" si="20"/>
        <v>0</v>
      </c>
      <c r="N42" s="630">
        <f>SUM(C42:M42)</f>
        <v>0</v>
      </c>
    </row>
    <row r="43" spans="1:14" ht="30" customHeight="1">
      <c r="A43" s="1152"/>
      <c r="B43" s="602" t="s">
        <v>533</v>
      </c>
      <c r="C43" s="625">
        <f>IF(('پيش بيني عملكرد سود و زيان'!C24+'پيش بيني عملكرد سود و زيان'!C25)=0,0,('پيش بيني عملكرد سود و زيان'!C28+'پيش بيني عملكرد سود و زيان'!C27+'پيش بيني عملكرد سود و زيان'!C25+'پيش بيني عملكرد سود و زيان'!C24)/('پيش بيني عملكرد سود و زيان'!C24+'پيش بيني عملكرد سود و زيان'!C25))</f>
        <v>0</v>
      </c>
      <c r="D43" s="625">
        <f>IF(('پيش بيني عملكرد سود و زيان'!D24+'پيش بيني عملكرد سود و زيان'!D25)=0,0,('پيش بيني عملكرد سود و زيان'!D28+'پيش بيني عملكرد سود و زيان'!D27+'پيش بيني عملكرد سود و زيان'!D25+'پيش بيني عملكرد سود و زيان'!D24)/('پيش بيني عملكرد سود و زيان'!D24+'پيش بيني عملكرد سود و زيان'!D25))</f>
        <v>0</v>
      </c>
      <c r="E43" s="625">
        <f>IF(('پيش بيني عملكرد سود و زيان'!E24+'پيش بيني عملكرد سود و زيان'!E25)=0,0,('پيش بيني عملكرد سود و زيان'!E28+'پيش بيني عملكرد سود و زيان'!E27+'پيش بيني عملكرد سود و زيان'!E25+'پيش بيني عملكرد سود و زيان'!E24)/('پيش بيني عملكرد سود و زيان'!E24+'پيش بيني عملكرد سود و زيان'!E25))</f>
        <v>0</v>
      </c>
      <c r="F43" s="625">
        <f>IF(('پيش بيني عملكرد سود و زيان'!F24+'پيش بيني عملكرد سود و زيان'!F25)=0,0,('پيش بيني عملكرد سود و زيان'!F28+'پيش بيني عملكرد سود و زيان'!F27+'پيش بيني عملكرد سود و زيان'!F25+'پيش بيني عملكرد سود و زيان'!F24)/('پيش بيني عملكرد سود و زيان'!F24+'پيش بيني عملكرد سود و زيان'!F25))</f>
        <v>0</v>
      </c>
      <c r="G43" s="625">
        <f>IF(('پيش بيني عملكرد سود و زيان'!G24+'پيش بيني عملكرد سود و زيان'!G25)=0,0,('پيش بيني عملكرد سود و زيان'!G28+'پيش بيني عملكرد سود و زيان'!G27+'پيش بيني عملكرد سود و زيان'!G25+'پيش بيني عملكرد سود و زيان'!G24)/('پيش بيني عملكرد سود و زيان'!G24+'پيش بيني عملكرد سود و زيان'!G25))</f>
        <v>0</v>
      </c>
      <c r="H43" s="625">
        <f>IF(('پيش بيني عملكرد سود و زيان'!H24+'پيش بيني عملكرد سود و زيان'!H25)=0,0,('پيش بيني عملكرد سود و زيان'!H28+'پيش بيني عملكرد سود و زيان'!H27+'پيش بيني عملكرد سود و زيان'!H25+'پيش بيني عملكرد سود و زيان'!H24)/('پيش بيني عملكرد سود و زيان'!H24+'پيش بيني عملكرد سود و زيان'!H25))</f>
        <v>0</v>
      </c>
      <c r="I43" s="625">
        <f>IF(('پيش بيني عملكرد سود و زيان'!I24+'پيش بيني عملكرد سود و زيان'!I25)=0,0,('پيش بيني عملكرد سود و زيان'!I28+'پيش بيني عملكرد سود و زيان'!I27+'پيش بيني عملكرد سود و زيان'!I25+'پيش بيني عملكرد سود و زيان'!I24)/('پيش بيني عملكرد سود و زيان'!I24+'پيش بيني عملكرد سود و زيان'!I25))</f>
        <v>0</v>
      </c>
      <c r="J43" s="625">
        <f>IF(('پيش بيني عملكرد سود و زيان'!J24+'پيش بيني عملكرد سود و زيان'!J25)=0,0,('پيش بيني عملكرد سود و زيان'!J28+'پيش بيني عملكرد سود و زيان'!J27+'پيش بيني عملكرد سود و زيان'!J25+'پيش بيني عملكرد سود و زيان'!J24)/('پيش بيني عملكرد سود و زيان'!J24+'پيش بيني عملكرد سود و زيان'!J25))</f>
        <v>0</v>
      </c>
      <c r="K43" s="625">
        <f>IF(('پيش بيني عملكرد سود و زيان'!K24+'پيش بيني عملكرد سود و زيان'!K25)=0,0,('پيش بيني عملكرد سود و زيان'!K28+'پيش بيني عملكرد سود و زيان'!K27+'پيش بيني عملكرد سود و زيان'!K25+'پيش بيني عملكرد سود و زيان'!K24)/('پيش بيني عملكرد سود و زيان'!K24+'پيش بيني عملكرد سود و زيان'!K25))</f>
        <v>0</v>
      </c>
      <c r="L43" s="625">
        <f>IF(('پيش بيني عملكرد سود و زيان'!L24+'پيش بيني عملكرد سود و زيان'!L25)=0,0,('پيش بيني عملكرد سود و زيان'!L28+'پيش بيني عملكرد سود و زيان'!L27+'پيش بيني عملكرد سود و زيان'!L25+'پيش بيني عملكرد سود و زيان'!L24)/('پيش بيني عملكرد سود و زيان'!L24+'پيش بيني عملكرد سود و زيان'!L25))</f>
        <v>0</v>
      </c>
      <c r="M43" s="625">
        <f>IF(('پيش بيني عملكرد سود و زيان'!M24+'پيش بيني عملكرد سود و زيان'!M25)=0,0,('پيش بيني عملكرد سود و زيان'!M28+'پيش بيني عملكرد سود و زيان'!M27+'پيش بيني عملكرد سود و زيان'!M25+'پيش بيني عملكرد سود و زيان'!M24)/('پيش بيني عملكرد سود و زيان'!M24+'پيش بيني عملكرد سود و زيان'!M25))</f>
        <v>0</v>
      </c>
      <c r="N43" s="629">
        <f>IF(SUM(C43:M43)=0,0,SUM(C43:M43)/N44)</f>
        <v>0</v>
      </c>
    </row>
    <row r="44" spans="1:14" ht="30" hidden="1" customHeight="1">
      <c r="A44" s="1152"/>
      <c r="B44" s="602"/>
      <c r="C44" s="625">
        <f>IF(C43&lt;&gt;0,1,0)</f>
        <v>0</v>
      </c>
      <c r="D44" s="625">
        <f t="shared" ref="D44:M44" si="21">IF(D43&lt;&gt;0,1,0)</f>
        <v>0</v>
      </c>
      <c r="E44" s="625">
        <f t="shared" si="21"/>
        <v>0</v>
      </c>
      <c r="F44" s="625">
        <f t="shared" si="21"/>
        <v>0</v>
      </c>
      <c r="G44" s="625">
        <f t="shared" si="21"/>
        <v>0</v>
      </c>
      <c r="H44" s="625">
        <f t="shared" si="21"/>
        <v>0</v>
      </c>
      <c r="I44" s="625">
        <f t="shared" si="21"/>
        <v>0</v>
      </c>
      <c r="J44" s="625">
        <f t="shared" si="21"/>
        <v>0</v>
      </c>
      <c r="K44" s="625">
        <f t="shared" si="21"/>
        <v>0</v>
      </c>
      <c r="L44" s="625">
        <f t="shared" si="21"/>
        <v>0</v>
      </c>
      <c r="M44" s="625">
        <f t="shared" si="21"/>
        <v>0</v>
      </c>
      <c r="N44" s="630">
        <f>SUM(C44:M44)</f>
        <v>0</v>
      </c>
    </row>
    <row r="45" spans="1:14" ht="30" customHeight="1">
      <c r="A45" s="1152"/>
      <c r="B45" s="602" t="s">
        <v>534</v>
      </c>
      <c r="C45" s="625">
        <f>IF(('پيش بيني عملكرد سود و زيان'!C24+'پيش بيني عملكرد سود و زيان'!C25)=0,0,('پيش بيني عملكرد سود و زيان'!C28+'پيش بيني عملكرد سود و زيان'!C27+'پيش بيني عملكرد سود و زيان'!C25+'پيش بيني عملكرد سود و زيان'!C24)/(('پيش بيني عملكرد سود و زيان'!C24+'پيش بيني عملكرد سود و زيان'!C25)+(('پيش بيني عملكرد سود و زيان'!C33+'پيش بيني عملكرد سود و زيان'!C45)/1-مفروضات!B5)))</f>
        <v>0</v>
      </c>
      <c r="D45" s="625">
        <f>IF(('پيش بيني عملكرد سود و زيان'!D24+'پيش بيني عملكرد سود و زيان'!D25)=0,0,('پيش بيني عملكرد سود و زيان'!D28+'پيش بيني عملكرد سود و زيان'!D27+'پيش بيني عملكرد سود و زيان'!D25+'پيش بيني عملكرد سود و زيان'!D24)/(('پيش بيني عملكرد سود و زيان'!D24+'پيش بيني عملكرد سود و زيان'!D25)+(('پيش بيني عملكرد سود و زيان'!D33+'پيش بيني عملكرد سود و زيان'!D45)/1-مفروضات!C5)))</f>
        <v>0</v>
      </c>
      <c r="E45" s="625">
        <f>IF(('پيش بيني عملكرد سود و زيان'!E24+'پيش بيني عملكرد سود و زيان'!E25)=0,0,('پيش بيني عملكرد سود و زيان'!E28+'پيش بيني عملكرد سود و زيان'!E27+'پيش بيني عملكرد سود و زيان'!E25+'پيش بيني عملكرد سود و زيان'!E24)/(('پيش بيني عملكرد سود و زيان'!E24+'پيش بيني عملكرد سود و زيان'!E25)+(('پيش بيني عملكرد سود و زيان'!E33+'پيش بيني عملكرد سود و زيان'!E45)/1-مفروضات!D5)))</f>
        <v>0</v>
      </c>
      <c r="F45" s="625">
        <f>IF(('پيش بيني عملكرد سود و زيان'!F24+'پيش بيني عملكرد سود و زيان'!F25)=0,0,('پيش بيني عملكرد سود و زيان'!F28+'پيش بيني عملكرد سود و زيان'!F27+'پيش بيني عملكرد سود و زيان'!F25+'پيش بيني عملكرد سود و زيان'!F24)/(('پيش بيني عملكرد سود و زيان'!F24+'پيش بيني عملكرد سود و زيان'!F25)+(('پيش بيني عملكرد سود و زيان'!F33+'پيش بيني عملكرد سود و زيان'!F45)/1-مفروضات!E5)))</f>
        <v>0</v>
      </c>
      <c r="G45" s="625">
        <f>IF(('پيش بيني عملكرد سود و زيان'!G24+'پيش بيني عملكرد سود و زيان'!G25)=0,0,('پيش بيني عملكرد سود و زيان'!G28+'پيش بيني عملكرد سود و زيان'!G27+'پيش بيني عملكرد سود و زيان'!G25+'پيش بيني عملكرد سود و زيان'!G24)/(('پيش بيني عملكرد سود و زيان'!G24+'پيش بيني عملكرد سود و زيان'!G25)+(('پيش بيني عملكرد سود و زيان'!G33+'پيش بيني عملكرد سود و زيان'!G45)/1-مفروضات!F5)))</f>
        <v>0</v>
      </c>
      <c r="H45" s="625">
        <f>IF(('پيش بيني عملكرد سود و زيان'!H24+'پيش بيني عملكرد سود و زيان'!H25)=0,0,('پيش بيني عملكرد سود و زيان'!H28+'پيش بيني عملكرد سود و زيان'!H27+'پيش بيني عملكرد سود و زيان'!H25+'پيش بيني عملكرد سود و زيان'!H24)/(('پيش بيني عملكرد سود و زيان'!H24+'پيش بيني عملكرد سود و زيان'!H25)+(('پيش بيني عملكرد سود و زيان'!H33+'پيش بيني عملكرد سود و زيان'!H45)/1-مفروضات!G5)))</f>
        <v>0</v>
      </c>
      <c r="I45" s="625">
        <f>IF(('پيش بيني عملكرد سود و زيان'!I24+'پيش بيني عملكرد سود و زيان'!I25)=0,0,('پيش بيني عملكرد سود و زيان'!I28+'پيش بيني عملكرد سود و زيان'!I27+'پيش بيني عملكرد سود و زيان'!I25+'پيش بيني عملكرد سود و زيان'!I24)/(('پيش بيني عملكرد سود و زيان'!I24+'پيش بيني عملكرد سود و زيان'!I25)+(('پيش بيني عملكرد سود و زيان'!I33+'پيش بيني عملكرد سود و زيان'!I45)/1-مفروضات!H5)))</f>
        <v>0</v>
      </c>
      <c r="J45" s="625">
        <f>IF(('پيش بيني عملكرد سود و زيان'!J24+'پيش بيني عملكرد سود و زيان'!J25)=0,0,('پيش بيني عملكرد سود و زيان'!J28+'پيش بيني عملكرد سود و زيان'!J27+'پيش بيني عملكرد سود و زيان'!J25+'پيش بيني عملكرد سود و زيان'!J24)/(('پيش بيني عملكرد سود و زيان'!J24+'پيش بيني عملكرد سود و زيان'!J25)+(('پيش بيني عملكرد سود و زيان'!J33+'پيش بيني عملكرد سود و زيان'!J45)/1-مفروضات!I5)))</f>
        <v>0</v>
      </c>
      <c r="K45" s="625">
        <f>IF(('پيش بيني عملكرد سود و زيان'!K24+'پيش بيني عملكرد سود و زيان'!K25)=0,0,('پيش بيني عملكرد سود و زيان'!K28+'پيش بيني عملكرد سود و زيان'!K27+'پيش بيني عملكرد سود و زيان'!K25+'پيش بيني عملكرد سود و زيان'!K24)/(('پيش بيني عملكرد سود و زيان'!K24+'پيش بيني عملكرد سود و زيان'!K25)+(('پيش بيني عملكرد سود و زيان'!K33+'پيش بيني عملكرد سود و زيان'!K45)/1-مفروضات!J5)))</f>
        <v>0</v>
      </c>
      <c r="L45" s="625">
        <f>IF(('پيش بيني عملكرد سود و زيان'!L24+'پيش بيني عملكرد سود و زيان'!L25)=0,0,('پيش بيني عملكرد سود و زيان'!L28+'پيش بيني عملكرد سود و زيان'!L27+'پيش بيني عملكرد سود و زيان'!L25+'پيش بيني عملكرد سود و زيان'!L24)/(('پيش بيني عملكرد سود و زيان'!L24+'پيش بيني عملكرد سود و زيان'!L25)+(('پيش بيني عملكرد سود و زيان'!L33+'پيش بيني عملكرد سود و زيان'!L45)/1-مفروضات!K5)))</f>
        <v>0</v>
      </c>
      <c r="M45" s="625">
        <f>IF(('پيش بيني عملكرد سود و زيان'!M24+'پيش بيني عملكرد سود و زيان'!M25)=0,0,('پيش بيني عملكرد سود و زيان'!M28+'پيش بيني عملكرد سود و زيان'!M27+'پيش بيني عملكرد سود و زيان'!M25+'پيش بيني عملكرد سود و زيان'!M24)/(('پيش بيني عملكرد سود و زيان'!M24+'پيش بيني عملكرد سود و زيان'!M25)+(('پيش بيني عملكرد سود و زيان'!M33+'پيش بيني عملكرد سود و زيان'!M45)/1-مفروضات!L5)))</f>
        <v>0</v>
      </c>
      <c r="N45" s="629">
        <f>IF(SUM(C45:M45)=0,0,SUM(C45:M45)/N46)</f>
        <v>0</v>
      </c>
    </row>
    <row r="46" spans="1:14" ht="30" hidden="1" customHeight="1">
      <c r="A46" s="1152"/>
      <c r="B46" s="602"/>
      <c r="C46" s="625">
        <f>IF(C45&lt;&gt;0,1,0)</f>
        <v>0</v>
      </c>
      <c r="D46" s="625">
        <f t="shared" ref="D46:M46" si="22">IF(D45&lt;&gt;0,1,0)</f>
        <v>0</v>
      </c>
      <c r="E46" s="625">
        <f t="shared" si="22"/>
        <v>0</v>
      </c>
      <c r="F46" s="625">
        <f t="shared" si="22"/>
        <v>0</v>
      </c>
      <c r="G46" s="625">
        <f t="shared" si="22"/>
        <v>0</v>
      </c>
      <c r="H46" s="625">
        <f t="shared" si="22"/>
        <v>0</v>
      </c>
      <c r="I46" s="625">
        <f t="shared" si="22"/>
        <v>0</v>
      </c>
      <c r="J46" s="625">
        <f t="shared" si="22"/>
        <v>0</v>
      </c>
      <c r="K46" s="625">
        <f t="shared" si="22"/>
        <v>0</v>
      </c>
      <c r="L46" s="625">
        <f t="shared" si="22"/>
        <v>0</v>
      </c>
      <c r="M46" s="625">
        <f t="shared" si="22"/>
        <v>0</v>
      </c>
      <c r="N46" s="630">
        <f>SUM(C46:M46)</f>
        <v>0</v>
      </c>
    </row>
    <row r="47" spans="1:14" ht="30" customHeight="1" thickBot="1">
      <c r="A47" s="1153"/>
      <c r="B47" s="609" t="s">
        <v>535</v>
      </c>
      <c r="C47" s="631">
        <f>'جریان نقدینگی'!C20/'ترازنامه ایجادی'!C15</f>
        <v>0.19272055969621774</v>
      </c>
      <c r="D47" s="631">
        <f>'جریان نقدینگی'!D20/'ترازنامه ایجادی'!D15</f>
        <v>0.33337914178184963</v>
      </c>
      <c r="E47" s="631">
        <f>'جریان نقدینگی'!E20/'ترازنامه ایجادی'!E15</f>
        <v>0.43293887221280941</v>
      </c>
      <c r="F47" s="631">
        <f>'جریان نقدینگی'!F20/'ترازنامه ایجادی'!F15</f>
        <v>0.50199016521401374</v>
      </c>
      <c r="G47" s="631">
        <f>'جریان نقدینگی'!G20/'ترازنامه ایجادی'!G15</f>
        <v>-5.4331768315845796E-2</v>
      </c>
      <c r="H47" s="631">
        <f>'جریان نقدینگی'!H20/'ترازنامه ایجادی'!H15</f>
        <v>-5.7813607824356975E-2</v>
      </c>
      <c r="I47" s="631">
        <f>'جریان نقدینگی'!I20/'ترازنامه ایجادی'!I15</f>
        <v>-6.1772270276277297E-2</v>
      </c>
      <c r="J47" s="631">
        <f>'جریان نقدینگی'!J20/'ترازنامه ایجادی'!J15</f>
        <v>-6.6312903735683368E-2</v>
      </c>
      <c r="K47" s="631">
        <f>'جریان نقدینگی'!K20/'ترازنامه ایجادی'!K15</f>
        <v>-7.1574025140546935E-2</v>
      </c>
      <c r="L47" s="631">
        <f>'جریان نقدینگی'!L20/'ترازنامه ایجادی'!L15</f>
        <v>-7.7741898072719806E-2</v>
      </c>
      <c r="M47" s="631">
        <f>'جریان نقدینگی'!M20/'ترازنامه ایجادی'!M15</f>
        <v>-8.4940656205407652E-2</v>
      </c>
      <c r="N47" s="632">
        <f>IF(SUM(C47:M47)=0,0,SUM(C47:M47)/N48)</f>
        <v>8.9685600848550248E-2</v>
      </c>
    </row>
    <row r="48" spans="1:14" ht="30" hidden="1" customHeight="1">
      <c r="A48" s="597"/>
      <c r="B48" s="597"/>
      <c r="C48" s="598">
        <f>IF(C47&lt;&gt;0,1,0)</f>
        <v>1</v>
      </c>
      <c r="D48" s="598">
        <f t="shared" ref="D48:M48" si="23">IF(D47&lt;&gt;0,1,0)</f>
        <v>1</v>
      </c>
      <c r="E48" s="598">
        <f t="shared" si="23"/>
        <v>1</v>
      </c>
      <c r="F48" s="598">
        <f t="shared" si="23"/>
        <v>1</v>
      </c>
      <c r="G48" s="598">
        <f t="shared" si="23"/>
        <v>1</v>
      </c>
      <c r="H48" s="598">
        <f t="shared" si="23"/>
        <v>1</v>
      </c>
      <c r="I48" s="598">
        <f t="shared" si="23"/>
        <v>1</v>
      </c>
      <c r="J48" s="598">
        <f t="shared" si="23"/>
        <v>1</v>
      </c>
      <c r="K48" s="598">
        <f t="shared" si="23"/>
        <v>1</v>
      </c>
      <c r="L48" s="598">
        <f t="shared" si="23"/>
        <v>1</v>
      </c>
      <c r="M48" s="598">
        <f t="shared" si="23"/>
        <v>1</v>
      </c>
      <c r="N48" s="600">
        <f>SUM(C48:M48)</f>
        <v>11</v>
      </c>
    </row>
    <row r="49" spans="1:12">
      <c r="A49" s="597"/>
      <c r="B49" s="597"/>
      <c r="C49" s="597"/>
      <c r="D49" s="597"/>
      <c r="E49" s="597"/>
      <c r="F49" s="597"/>
      <c r="G49" s="597"/>
      <c r="H49" s="597"/>
      <c r="I49" s="597"/>
      <c r="J49" s="597"/>
      <c r="K49" s="597"/>
      <c r="L49" s="597"/>
    </row>
    <row r="50" spans="1:12">
      <c r="A50" s="597"/>
      <c r="B50" s="597"/>
      <c r="C50" s="597"/>
      <c r="D50" s="597"/>
      <c r="E50" s="597"/>
      <c r="F50" s="597"/>
      <c r="G50" s="597"/>
      <c r="H50" s="597"/>
      <c r="I50" s="597"/>
      <c r="J50" s="597"/>
      <c r="K50" s="597"/>
      <c r="L50" s="597"/>
    </row>
    <row r="51" spans="1:12">
      <c r="A51" s="597"/>
      <c r="B51" s="597"/>
      <c r="C51" s="597"/>
      <c r="D51" s="597"/>
      <c r="E51" s="597"/>
      <c r="F51" s="597"/>
      <c r="G51" s="597"/>
      <c r="H51" s="597"/>
      <c r="I51" s="597"/>
      <c r="J51" s="597"/>
      <c r="K51" s="597"/>
      <c r="L51" s="597"/>
    </row>
    <row r="52" spans="1:12">
      <c r="A52" s="597"/>
      <c r="B52" s="597"/>
      <c r="C52" s="597"/>
      <c r="D52" s="597"/>
      <c r="E52" s="597"/>
      <c r="F52" s="597"/>
      <c r="G52" s="597"/>
      <c r="H52" s="597"/>
      <c r="I52" s="597"/>
      <c r="J52" s="597"/>
      <c r="K52" s="597"/>
      <c r="L52" s="597"/>
    </row>
    <row r="53" spans="1:12">
      <c r="A53" s="597"/>
      <c r="B53" s="597"/>
      <c r="C53" s="597"/>
      <c r="D53" s="597"/>
      <c r="E53" s="597"/>
      <c r="F53" s="597"/>
      <c r="G53" s="597"/>
      <c r="H53" s="597"/>
      <c r="I53" s="597"/>
      <c r="J53" s="597"/>
      <c r="K53" s="597"/>
      <c r="L53" s="597"/>
    </row>
    <row r="54" spans="1:12">
      <c r="A54" s="597"/>
      <c r="B54" s="597"/>
      <c r="C54" s="597"/>
      <c r="D54" s="597"/>
      <c r="E54" s="597"/>
      <c r="F54" s="597"/>
      <c r="G54" s="597"/>
      <c r="H54" s="597"/>
      <c r="I54" s="597"/>
      <c r="J54" s="597"/>
      <c r="K54" s="597"/>
      <c r="L54" s="597"/>
    </row>
    <row r="55" spans="1:12">
      <c r="A55" s="597"/>
      <c r="B55" s="597"/>
      <c r="C55" s="597"/>
      <c r="D55" s="597"/>
      <c r="E55" s="597"/>
      <c r="F55" s="597"/>
      <c r="G55" s="597"/>
      <c r="H55" s="597"/>
      <c r="I55" s="597"/>
      <c r="J55" s="597"/>
      <c r="K55" s="597"/>
      <c r="L55" s="597"/>
    </row>
    <row r="56" spans="1:12">
      <c r="A56" s="597"/>
      <c r="B56" s="597"/>
      <c r="C56" s="597"/>
      <c r="D56" s="597"/>
      <c r="E56" s="597"/>
      <c r="F56" s="597"/>
      <c r="G56" s="597"/>
      <c r="H56" s="597"/>
      <c r="I56" s="597"/>
      <c r="J56" s="597"/>
      <c r="K56" s="597"/>
      <c r="L56" s="597"/>
    </row>
    <row r="57" spans="1:12">
      <c r="A57" s="597"/>
      <c r="B57" s="597"/>
      <c r="C57" s="597"/>
      <c r="D57" s="597"/>
      <c r="E57" s="597"/>
      <c r="F57" s="597"/>
      <c r="G57" s="597"/>
      <c r="H57" s="597"/>
      <c r="I57" s="597"/>
      <c r="J57" s="597"/>
      <c r="K57" s="597"/>
      <c r="L57" s="597"/>
    </row>
    <row r="58" spans="1:12">
      <c r="A58" s="597"/>
      <c r="B58" s="597"/>
      <c r="C58" s="597"/>
      <c r="D58" s="597"/>
      <c r="E58" s="597"/>
      <c r="F58" s="597"/>
      <c r="G58" s="597"/>
      <c r="H58" s="597"/>
      <c r="I58" s="597"/>
      <c r="J58" s="597"/>
      <c r="K58" s="597"/>
      <c r="L58" s="597"/>
    </row>
    <row r="59" spans="1:12">
      <c r="A59" s="597"/>
      <c r="B59" s="597"/>
      <c r="C59" s="597"/>
      <c r="D59" s="597"/>
      <c r="E59" s="597"/>
      <c r="F59" s="597"/>
      <c r="G59" s="597"/>
      <c r="H59" s="597"/>
      <c r="I59" s="597"/>
      <c r="J59" s="597"/>
      <c r="K59" s="597"/>
      <c r="L59" s="597"/>
    </row>
  </sheetData>
  <sheetProtection password="C716" sheet="1" objects="1" scenarios="1"/>
  <mergeCells count="4">
    <mergeCell ref="A5:A11"/>
    <mergeCell ref="A13:A17"/>
    <mergeCell ref="A19:A27"/>
    <mergeCell ref="A29:A47"/>
  </mergeCells>
  <phoneticPr fontId="5" type="noConversion"/>
  <pageMargins left="0.75" right="0.75" top="1" bottom="1" header="0.5" footer="0.5"/>
  <pageSetup paperSize="9" scale="35" orientation="landscape" r:id="rId1"/>
  <headerFooter alignWithMargins="0"/>
  <rowBreaks count="1" manualBreakCount="1">
    <brk id="47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7"/>
  <dimension ref="A1:M16"/>
  <sheetViews>
    <sheetView rightToLeft="1" view="pageBreakPreview" zoomScale="90" zoomScaleNormal="115" zoomScaleSheetLayoutView="90" workbookViewId="0">
      <selection activeCell="C10" sqref="C10"/>
    </sheetView>
  </sheetViews>
  <sheetFormatPr defaultColWidth="9.109375" defaultRowHeight="17.399999999999999"/>
  <cols>
    <col min="1" max="1" width="5.5546875" style="180" bestFit="1" customWidth="1"/>
    <col min="2" max="2" width="33.109375" style="180" customWidth="1"/>
    <col min="3" max="3" width="14.33203125" style="180" bestFit="1" customWidth="1"/>
    <col min="4" max="13" width="13.88671875" style="180" bestFit="1" customWidth="1"/>
    <col min="14" max="14" width="8.33203125" style="180" customWidth="1"/>
    <col min="15" max="25" width="19.33203125" style="180" customWidth="1"/>
    <col min="26" max="27" width="8.88671875" style="180" customWidth="1"/>
    <col min="28" max="16384" width="9.109375" style="180"/>
  </cols>
  <sheetData>
    <row r="1" spans="1:13" ht="42.75" customHeight="1" thickBot="1">
      <c r="A1" s="1144" t="s">
        <v>297</v>
      </c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</row>
    <row r="2" spans="1:13" ht="42.75" customHeight="1">
      <c r="A2" s="181" t="s">
        <v>295</v>
      </c>
      <c r="B2" s="182" t="s">
        <v>139</v>
      </c>
      <c r="C2" s="183" t="str">
        <f>'برآورد فروش'!B2</f>
        <v>سال بهره برداری</v>
      </c>
      <c r="D2" s="183" t="str">
        <f>'برآورد فروش'!C2</f>
        <v xml:space="preserve">سال اول </v>
      </c>
      <c r="E2" s="183" t="str">
        <f>'برآورد فروش'!D2</f>
        <v>سال دوم</v>
      </c>
      <c r="F2" s="183" t="str">
        <f>'برآورد فروش'!E2</f>
        <v>سال سوم</v>
      </c>
      <c r="G2" s="183" t="str">
        <f>'برآورد فروش'!F2</f>
        <v>سال چهارم</v>
      </c>
      <c r="H2" s="183" t="str">
        <f>'برآورد فروش'!G2</f>
        <v>سال پنجم</v>
      </c>
      <c r="I2" s="183" t="str">
        <f>'برآورد فروش'!H2</f>
        <v>سال ششم</v>
      </c>
      <c r="J2" s="183" t="str">
        <f>'برآورد فروش'!I2</f>
        <v>سال هفتم</v>
      </c>
      <c r="K2" s="183" t="str">
        <f>'برآورد فروش'!J2</f>
        <v>سال هشتم</v>
      </c>
      <c r="L2" s="183" t="str">
        <f>'برآورد فروش'!K2</f>
        <v>سال نهم</v>
      </c>
      <c r="M2" s="184" t="str">
        <f>'برآورد فروش'!L2</f>
        <v>سال دهم</v>
      </c>
    </row>
    <row r="3" spans="1:13" ht="42.75" customHeight="1">
      <c r="A3" s="185">
        <v>1</v>
      </c>
      <c r="B3" s="186" t="s">
        <v>293</v>
      </c>
      <c r="C3" s="755">
        <f>'هزينه هاي ثابت و متغير'!J18/('برآورد فروش'!B34-'هزينه هاي ثابت و متغير'!W18)</f>
        <v>1.779925662280482</v>
      </c>
      <c r="D3" s="755">
        <f>'هزينه هاي ثابت و متغير'!K18/('برآورد فروش'!C34-'هزينه هاي ثابت و متغير'!X18)</f>
        <v>1.1699895534515268</v>
      </c>
      <c r="E3" s="755">
        <f>'هزينه هاي ثابت و متغير'!L18/('برآورد فروش'!D34-'هزينه هاي ثابت و متغير'!Y18)</f>
        <v>0.87138697976732971</v>
      </c>
      <c r="F3" s="755">
        <f>'هزينه هاي ثابت و متغير'!M18/('برآورد فروش'!E34-'هزينه هاي ثابت و متغير'!Z18)</f>
        <v>0.61134365026786497</v>
      </c>
      <c r="G3" s="755">
        <f>'هزينه هاي ثابت و متغير'!N18/('برآورد فروش'!F34-'هزينه هاي ثابت و متغير'!AA18)</f>
        <v>-41.747899816586973</v>
      </c>
      <c r="H3" s="755">
        <f>'هزينه هاي ثابت و متغير'!O18/('برآورد فروش'!G34-'هزينه هاي ثابت و متغير'!AB18)</f>
        <v>-4.1778619368415919</v>
      </c>
      <c r="I3" s="755">
        <f>'هزينه هاي ثابت و متغير'!P18/('برآورد فروش'!H34-'هزينه هاي ثابت و متغير'!AC18)</f>
        <v>-4.1778619368415919</v>
      </c>
      <c r="J3" s="755">
        <f>'هزينه هاي ثابت و متغير'!Q18/('برآورد فروش'!I34-'هزينه هاي ثابت و متغير'!AD18)</f>
        <v>-4.1778619368415919</v>
      </c>
      <c r="K3" s="755">
        <f>'هزينه هاي ثابت و متغير'!R18/('برآورد فروش'!J34-'هزينه هاي ثابت و متغير'!AE18)</f>
        <v>-4.1778619368415919</v>
      </c>
      <c r="L3" s="755">
        <f>'هزينه هاي ثابت و متغير'!S18/('برآورد فروش'!K34-'هزينه هاي ثابت و متغير'!AF18)</f>
        <v>-4.1778619368415919</v>
      </c>
      <c r="M3" s="756">
        <f>'هزينه هاي ثابت و متغير'!T18/('برآورد فروش'!L34-'هزينه هاي ثابت و متغير'!AG18)</f>
        <v>-4.0922821654026214</v>
      </c>
    </row>
    <row r="4" spans="1:13" ht="42.75" customHeight="1">
      <c r="A4" s="185">
        <v>2</v>
      </c>
      <c r="B4" s="186" t="s">
        <v>312</v>
      </c>
      <c r="C4" s="652">
        <f>C3*'برآورد فروش'!B34</f>
        <v>533977698.68414462</v>
      </c>
      <c r="D4" s="652">
        <f>D3*'برآورد فروش'!C34</f>
        <v>526495299.05318707</v>
      </c>
      <c r="E4" s="652">
        <f>E3*'برآورد فروش'!D34</f>
        <v>522832187.86039782</v>
      </c>
      <c r="F4" s="652">
        <f>F3*'برآورد فروش'!E34</f>
        <v>519642102.72768521</v>
      </c>
      <c r="G4" s="652">
        <f>G3*'برآورد فروش'!F34</f>
        <v>-500.9747977990437</v>
      </c>
      <c r="H4" s="652">
        <f>H3*'برآورد فروش'!G34</f>
        <v>-50.134343242099106</v>
      </c>
      <c r="I4" s="652">
        <f>I3*'برآورد فروش'!H34</f>
        <v>-50.134343242099106</v>
      </c>
      <c r="J4" s="652">
        <f>J3*'برآورد فروش'!I34</f>
        <v>-50.134343242099106</v>
      </c>
      <c r="K4" s="652">
        <f>K3*'برآورد فروش'!J34</f>
        <v>-50.134343242099106</v>
      </c>
      <c r="L4" s="652">
        <f>L3*'برآورد فروش'!K34</f>
        <v>-50.134343242099106</v>
      </c>
      <c r="M4" s="655">
        <f>M3*'برآورد فروش'!L34</f>
        <v>-49.107385984831453</v>
      </c>
    </row>
    <row r="5" spans="1:13" ht="42.75" customHeight="1" thickBot="1">
      <c r="A5" s="185">
        <v>3</v>
      </c>
      <c r="B5" s="186" t="s">
        <v>313</v>
      </c>
      <c r="C5" s="652">
        <f>C3*'برآورد فروش'!B6</f>
        <v>21.359107947365786</v>
      </c>
      <c r="D5" s="707">
        <f>D3*'برآورد فروش'!C6</f>
        <v>14.039874641418322</v>
      </c>
      <c r="E5" s="707">
        <f>E3*'برآورد فروش'!D6</f>
        <v>10.456643757207956</v>
      </c>
      <c r="F5" s="707">
        <f>F3*'برآورد فروش'!E6</f>
        <v>7.3361238032143792</v>
      </c>
      <c r="G5" s="707">
        <f>G3*'برآورد فروش'!F6</f>
        <v>-500.9747977990437</v>
      </c>
      <c r="H5" s="707">
        <f>H3*'برآورد فروش'!G6</f>
        <v>-50.134343242099106</v>
      </c>
      <c r="I5" s="707">
        <f>I3*'برآورد فروش'!H6</f>
        <v>-50.134343242099106</v>
      </c>
      <c r="J5" s="707">
        <f>J3*'برآورد فروش'!I6</f>
        <v>-50.134343242099106</v>
      </c>
      <c r="K5" s="707">
        <f>K3*'برآورد فروش'!J6</f>
        <v>-50.134343242099106</v>
      </c>
      <c r="L5" s="707">
        <f>L3*'برآورد فروش'!K6</f>
        <v>-50.134343242099106</v>
      </c>
      <c r="M5" s="760">
        <f>M3*'برآورد فروش'!L6</f>
        <v>-49.107385984831453</v>
      </c>
    </row>
    <row r="6" spans="1:13" ht="42.75" customHeight="1">
      <c r="A6" s="185">
        <v>4</v>
      </c>
      <c r="B6" s="857" t="s">
        <v>568</v>
      </c>
      <c r="C6" s="757">
        <f>('منابع تامين سرمايه گذاري'!E18+'منابع تامين سرمايه گذاري'!E41)/'منابع تامين سرمايه گذاري'!H15</f>
        <v>9.5733774467872455E-4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</row>
    <row r="7" spans="1:13" ht="42.75" customHeight="1">
      <c r="A7" s="185">
        <v>5</v>
      </c>
      <c r="B7" s="186" t="s">
        <v>294</v>
      </c>
      <c r="C7" s="757">
        <f>IRR('جریان نقدینگی تنزیل شده1'!B7:'جریان نقدینگی تنزیل شده1'!N7)</f>
        <v>5.9849260425263173E-2</v>
      </c>
      <c r="D7" s="192"/>
      <c r="E7" s="192"/>
      <c r="F7" s="192"/>
      <c r="G7" s="192"/>
      <c r="H7" s="192"/>
      <c r="I7" s="192"/>
      <c r="J7" s="192"/>
      <c r="K7" s="192"/>
      <c r="L7" s="192"/>
      <c r="M7" s="192"/>
    </row>
    <row r="8" spans="1:13" ht="42.75" customHeight="1">
      <c r="A8" s="185">
        <v>6</v>
      </c>
      <c r="B8" s="186" t="s">
        <v>309</v>
      </c>
      <c r="C8" s="757">
        <f>IRR('جریان نقدینگی تنزیل شده2'!B6:'جریان نقدینگی تنزیل شده2'!N6)</f>
        <v>5.9849260425263173E-2</v>
      </c>
      <c r="D8" s="192"/>
      <c r="E8" s="192"/>
      <c r="F8" s="192"/>
      <c r="G8" s="192"/>
      <c r="H8" s="192"/>
      <c r="I8" s="192"/>
      <c r="J8" s="192"/>
      <c r="K8" s="192"/>
      <c r="L8" s="192"/>
      <c r="M8" s="192"/>
    </row>
    <row r="9" spans="1:13" ht="42.75" customHeight="1">
      <c r="A9" s="185">
        <v>7</v>
      </c>
      <c r="B9" s="857" t="s">
        <v>567</v>
      </c>
      <c r="C9" s="757">
        <f>forbiden!B17</f>
        <v>6.1465501550900692E-2</v>
      </c>
      <c r="D9" s="192"/>
      <c r="E9" s="192"/>
      <c r="F9" s="192"/>
      <c r="G9" s="192"/>
      <c r="H9" s="192"/>
      <c r="I9" s="192"/>
      <c r="J9" s="192"/>
      <c r="K9" s="192"/>
      <c r="L9" s="192"/>
      <c r="M9" s="192"/>
    </row>
    <row r="10" spans="1:13" ht="42.75" customHeight="1">
      <c r="A10" s="185">
        <v>7</v>
      </c>
      <c r="B10" s="186" t="s">
        <v>311</v>
      </c>
      <c r="C10" s="758">
        <f>IF('جریان نقدینگی تنزیل شده1'!B7+'جریان نقدینگی تنزیل شده1'!C7&gt;=0,('جریان نقدینگی تنزیل شده1'!B7)/'جریان نقدینگی تنزیل شده1'!C7*-1,IF('جریان نقدینگی تنزیل شده1'!B7+'جریان نقدینگی تنزیل شده1'!C7+'جریان نقدینگی تنزیل شده1'!D7&gt;=0,(('جریان نقدینگی تنزیل شده1'!C7+'جریان نقدینگی تنزیل شده1'!B7)/'جریان نقدینگی تنزیل شده1'!D7*-1)+'جریان نقدینگی تنزیل شده1'!C9,IF('جریان نقدینگی تنزیل شده1'!B7+'جریان نقدینگی تنزیل شده1'!C7+'جریان نقدینگی تنزیل شده1'!D7+'جریان نقدینگی تنزیل شده1'!E7&gt;=0,(('جریان نقدینگی تنزیل شده1'!B7+'جریان نقدینگی تنزیل شده1'!C7+'جریان نقدینگی تنزیل شده1'!D7)/'جریان نقدینگی تنزیل شده1'!E7*-1)+'جریان نقدینگی تنزیل شده1'!D9,D10)))</f>
        <v>3.3784592472337804</v>
      </c>
      <c r="D10" s="195">
        <f>IF('جریان نقدینگی تنزیل شده1'!B7+'جریان نقدینگی تنزیل شده1'!C7+'جریان نقدینگی تنزیل شده1'!D7+'جریان نقدینگی تنزیل شده1'!E7+'جریان نقدینگی تنزیل شده1'!F7&gt;=0,(('جریان نقدینگی تنزیل شده1'!B7+'جریان نقدینگی تنزیل شده1'!C7+'جریان نقدینگی تنزیل شده1'!D7+'جریان نقدینگی تنزیل شده1'!E7)/'جریان نقدینگی تنزیل شده1'!F7*-1)+'جریان نقدینگی تنزیل شده1'!E9,IF('جریان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شده1'!G7&gt;=0,(('جریان نقدینگی تنزیل شده1'!C7+'جریان نقدینگی تنزیل شده1'!B7+'جریان نقدینگی تنزیل شده1'!D7+'جریان نقدینگی تنزیل شده1'!E7+'جریان نقدینگی تنزیل شده1'!F7)/'جریان نقدینگی تنزیل شده1'!G7*-1)+'جریان نقدینگی تنزیل شده1'!F9,E10))</f>
        <v>3.3784592472337804</v>
      </c>
      <c r="E10" s="195">
        <f>IF('جریان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شده1'!G7+'جریان نقدینگی تنزیل شده1'!H7&gt;=0,(('جریان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شده1'!G7)/'جریان نقدینگی تنزیل شده1'!H7*-1)+'جریان نقدینگی تنزیل شده1'!G9,IF('جریان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شده1'!G7+'جریان نقدینگی تنزیل شده1'!H7+'جریان نقدینگی تنزیل شده1'!I7&gt;=0,(('جریان نقدینگی تنزیل شده1'!C7+'جریان نقدینگی تنزیل شده1'!B7+'جریان نقدینگی تنزیل شده1'!D7+'جریان نقدینگی تنزیل شده1'!E7+'جریان نقدینگی تنزیل شده1'!F7+'جریان نقدینگی تنزیل شده1'!G7+'جریان نقدینگی تنزیل شده1'!H7)/'جریان نقدینگی تنزیل شده1'!I7*-1)+'جریان نقدینگی تنزیل شده1'!H9,F10))</f>
        <v>12.597946523189583</v>
      </c>
      <c r="F10" s="195">
        <f>IF('جریان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شده1'!G7+'جریان نقدینگی تنزیل شده1'!H7+'جریان نقدینگی تنزیل شده1'!I7+'جریان نقدینگی تنزیل شده1'!J7&gt;=0,(('جریان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شده1'!G7+'جریان نقدینگی تنزیل شده1'!H7+'جریان نقدینگی تنزیل شده1'!I7)/'جریان نقدینگی تنزیل شده1'!J7*-1)+'جریان نقدینگی تنزیل شده1'!I9,G10)</f>
        <v>12.597946523189583</v>
      </c>
      <c r="G10" s="195">
        <f>IF('جریان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شده1'!G7+'جریان نقدینگی تنزیل شده1'!H7+'جریان نقدینگی تنزیل شده1'!I7+'جریان نقدینگی تنزیل شده1'!J7+'جریان نقدینگی تنزیل شده1'!K7&gt;=0,(('جریان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شده1'!G7+'جریان نقدینگی تنزیل شده1'!H7+'جریان نقدینگی تنزیل شده1'!I7+'جریان نقدینگی تنزیل شده1'!J7)/'جریان نقدینگی تنزیل شده1'!K7*-1)+'جریان نقدینگی تنزیل شده1'!J9,H10)</f>
        <v>12.597946523189583</v>
      </c>
      <c r="H10" s="195">
        <f>IF('جریان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شده1'!G7+'جریان نقدینگی تنزیل شده1'!H7+'جریان نقدینگی تنزیل شده1'!I7+'جریان نقدینگی تنزیل شده1'!J7+'جریان نقدینگی تنزیل شده1'!K7+'جریان نقدینگی تنزیل شده1'!L7&gt;=0,(('جریان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شده1'!G7+'جریان نقدینگی تنزیل شده1'!H7+'جریان نقدینگی تنزیل شده1'!I7+'جریان نقدینگی تنزیل شده1'!J7+'جریان نقدینگی تنزیل شده1'!K7)/'جریان نقدینگی تنزیل شده1'!L7*-1)+'جریان نقدینگی تنزیل شده1'!K9,I10)</f>
        <v>12.597946523189583</v>
      </c>
      <c r="I10" s="195">
        <v>12</v>
      </c>
      <c r="J10" s="195"/>
      <c r="K10" s="192"/>
      <c r="L10" s="192"/>
      <c r="M10" s="192"/>
    </row>
    <row r="11" spans="1:13" ht="42.75" customHeight="1">
      <c r="A11" s="185">
        <v>8</v>
      </c>
      <c r="B11" s="186" t="s">
        <v>310</v>
      </c>
      <c r="C11" s="758">
        <f>IF('جریان نقدینگی تنزیل شده2'!B6+'جریان نقدینگی تنزیل شده2'!C6&gt;=0,('جریان نقدینگی تنزیل شده2'!B6)/'جریان نقدینگی تنزیل شده2'!C6*-1,IF('جریان نقدینگی تنزیل شده2'!B6+'جریان نقدینگی تنزیل شده2'!C6+'جریان نقدینگی تنزیل شده2'!D6&gt;=0,(('جریان نقدینگی تنزیل شده2'!C6+'جریان نقدینگی تنزیل شده2'!B6)/'جریان نقدینگی تنزیل شده2'!D6*-1)+'جریان نقدینگی تنزیل شده2'!C8,IF('جریان نقدینگی تنزیل شده2'!B6+'جریان نقدینگی تنزیل شده2'!C6+'جریان نقدینگی تنزیل شده2'!D6+'جریان نقدینگی تنزیل شده2'!E6&gt;=0,(('جریان نقدینگی تنزیل شده2'!B6+'جریان نقدینگی تنزیل شده2'!C6+'جریان نقدینگی تنزیل شده2'!D6)/'جریان نقدینگی تنزیل شده2'!E6*-1)+'جریان نقدینگی تنزیل شده2'!D8,D11)))</f>
        <v>3.3784592472337804</v>
      </c>
      <c r="D11" s="195">
        <f>IF('جریان نقدینگی تنزیل شده2'!B6+'جریان نقدینگی تنزیل شده2'!C6+'جریان نقدینگی تنزیل شده2'!D6+'جریان نقدینگی تنزیل شده2'!E6+'جریان نقدینگی تنزیل شده2'!F6&gt;=0,(('جریان نقدینگی تنزیل شده2'!B6+'جریان نقدینگی تنزیل شده2'!C6+'جریان نقدینگی تنزیل شده2'!D6+'جریان نقدینگی تنزیل شده2'!E6)/'جریان نقدینگی تنزیل شده2'!F6*-1)+'جریان نقدینگی تنزیل شده2'!E8,IF('جریان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شده2'!G6&gt;=0,(('جریان نقدینگی تنزیل شده2'!B6+'جریان نقدینگی تنزیل شده2'!C6+'جریان نقدینگی تنزیل شده2'!D6+'جریان نقدینگی تنزیل شده2'!E6+'جریان نقدینگی تنزیل شده2'!F6)/'جریان نقدینگی تنزیل شده2'!G6*-1)+'جریان نقدینگی تنزیل شده2'!F8,E11))</f>
        <v>3.3784592472337804</v>
      </c>
      <c r="E11" s="195">
        <f>IF('جریان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شده2'!H6&gt;=0,(('جریان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شده2'!G6)/'جریان نقدینگی تنزیل شده2'!H6*-1)+'جریان نقدینگی تنزیل شده2'!G8,IF('جریان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شده2'!H6+'جریان نقدینگی تنزیل شده2'!I6&gt;=0,(('جریان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شده2'!H6)/'جریان نقدینگی تنزیل شده2'!I6*-1)+'جریان نقدینگی تنزیل شده2'!H8,F11))</f>
        <v>12.597946523189583</v>
      </c>
      <c r="F11" s="195">
        <f>IF('جریان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شده2'!H6+'جریان نقدینگی تنزیل شده2'!I6+'جریان نقدینگی تنزیل شده2'!J6&gt;=0,(('جریان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شده2'!H6+'جریان نقدینگی تنزیل شده2'!I6)/'جریان نقدینگی تنزیل شده2'!J6*-1)+'جریان نقدینگی تنزیل شده2'!I8,G11)</f>
        <v>12.597946523189583</v>
      </c>
      <c r="G11" s="195">
        <f>IF('جریان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شده2'!H6+'جریان نقدینگی تنزیل شده2'!I6+'جریان نقدینگی تنزیل شده2'!J6+'جریان نقدینگی تنزیل شده2'!K6&gt;=0,(('جریان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شده2'!H6+'جریان نقدینگی تنزیل شده2'!I6+'جریان نقدینگی تنزیل شده2'!J6)/'جریان نقدینگی تنزیل شده2'!K6*-1)+'جریان نقدینگی تنزیل شده2'!J8,H11)</f>
        <v>12.597946523189583</v>
      </c>
      <c r="H11" s="195">
        <f>IF('جریان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شده2'!H6+'جریان نقدینگی تنزیل شده2'!I6+'جریان نقدینگی تنزیل شده2'!J6+'جریان نقدینگی تنزیل شده2'!K6+'جریان نقدینگی تنزیل شده2'!L6&gt;=0,(('جریان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شده2'!H6+'جریان نقدینگی تنزیل شده2'!I6+'جریان نقدینگی تنزیل شده2'!J6+'جریان نقدینگی تنزیل شده2'!K6)/'جریان نقدینگی تنزیل شده2'!L6*-1)+'جریان نقدینگی تنزیل شده2'!K8,I11)</f>
        <v>12.597946523189583</v>
      </c>
      <c r="I11" s="195">
        <v>12</v>
      </c>
      <c r="J11" s="195"/>
      <c r="K11" s="192"/>
      <c r="L11" s="192"/>
      <c r="M11" s="192"/>
    </row>
    <row r="12" spans="1:13" ht="42.75" customHeight="1">
      <c r="A12" s="185">
        <v>10</v>
      </c>
      <c r="B12" s="857" t="s">
        <v>569</v>
      </c>
      <c r="C12" s="758">
        <f>forbiden!B16</f>
        <v>3.3710152425277062</v>
      </c>
      <c r="D12" s="195"/>
      <c r="E12" s="195"/>
      <c r="F12" s="195"/>
      <c r="G12" s="195"/>
      <c r="H12" s="195"/>
      <c r="I12" s="195"/>
      <c r="J12" s="195"/>
      <c r="K12" s="192"/>
      <c r="L12" s="192"/>
      <c r="M12" s="192"/>
    </row>
    <row r="13" spans="1:13" ht="43.5" customHeight="1">
      <c r="A13" s="185">
        <v>9</v>
      </c>
      <c r="B13" s="186" t="s">
        <v>484</v>
      </c>
      <c r="C13" s="759">
        <f>'جریان نقدینگی تنزیل شده1'!B12</f>
        <v>-363883499.25896043</v>
      </c>
      <c r="D13" s="192"/>
      <c r="E13" s="192"/>
      <c r="F13" s="192"/>
      <c r="G13" s="192"/>
      <c r="H13" s="192"/>
      <c r="I13" s="192"/>
      <c r="J13" s="192"/>
      <c r="K13" s="192"/>
      <c r="L13" s="192"/>
      <c r="M13" s="192"/>
    </row>
    <row r="14" spans="1:13" ht="43.5" customHeight="1">
      <c r="A14" s="185">
        <v>10</v>
      </c>
      <c r="B14" s="186" t="s">
        <v>485</v>
      </c>
      <c r="C14" s="759">
        <f>'جریان نقدینگی تنزیل شده2'!B11</f>
        <v>-471290056.73647195</v>
      </c>
    </row>
    <row r="15" spans="1:13" ht="43.5" hidden="1" customHeight="1" thickBot="1">
      <c r="A15" s="196">
        <v>13</v>
      </c>
      <c r="B15" s="861" t="s">
        <v>570</v>
      </c>
      <c r="C15" s="190">
        <f>forbiden!B11</f>
        <v>-358924813.72364539</v>
      </c>
    </row>
    <row r="16" spans="1:13" ht="30.75" customHeight="1"/>
  </sheetData>
  <mergeCells count="1">
    <mergeCell ref="A1:M1"/>
  </mergeCells>
  <phoneticPr fontId="0" type="noConversion"/>
  <printOptions horizontalCentered="1" verticalCentered="1"/>
  <pageMargins left="0.78740157480314965" right="1.5748031496062993" top="0.78740157480314965" bottom="0.78740157480314965" header="0.51181102362204722" footer="0.51181102362204722"/>
  <pageSetup paperSize="9" scale="63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7">
    <pageSetUpPr fitToPage="1"/>
  </sheetPr>
  <dimension ref="A1:M56"/>
  <sheetViews>
    <sheetView rightToLeft="1" view="pageBreakPreview" zoomScale="85" zoomScaleNormal="85" workbookViewId="0">
      <pane xSplit="2" ySplit="2" topLeftCell="C3" activePane="bottomRight" state="frozen"/>
      <selection activeCell="C13" sqref="C13"/>
      <selection pane="topRight" activeCell="C13" sqref="C13"/>
      <selection pane="bottomLeft" activeCell="C13" sqref="C13"/>
      <selection pane="bottomRight" activeCell="D2" sqref="D2:M28"/>
    </sheetView>
  </sheetViews>
  <sheetFormatPr defaultColWidth="9.109375" defaultRowHeight="17.399999999999999"/>
  <cols>
    <col min="1" max="1" width="5.6640625" style="203" customWidth="1"/>
    <col min="2" max="2" width="49" style="203" bestFit="1" customWidth="1"/>
    <col min="3" max="3" width="24.33203125" style="203" bestFit="1" customWidth="1"/>
    <col min="4" max="13" width="16.33203125" style="203" bestFit="1" customWidth="1"/>
    <col min="14" max="16384" width="9.109375" style="203"/>
  </cols>
  <sheetData>
    <row r="1" spans="1:13" ht="24.9" customHeight="1" thickBot="1">
      <c r="A1" s="202" t="s">
        <v>144</v>
      </c>
      <c r="B1" s="202"/>
      <c r="C1" s="202"/>
      <c r="D1" s="202"/>
      <c r="E1" s="202"/>
      <c r="F1" s="202"/>
      <c r="G1" s="202"/>
      <c r="H1" s="202"/>
    </row>
    <row r="2" spans="1:13" s="208" customFormat="1" ht="24.9" customHeight="1">
      <c r="A2" s="204" t="s">
        <v>6</v>
      </c>
      <c r="B2" s="205" t="s">
        <v>7</v>
      </c>
      <c r="C2" s="206" t="s">
        <v>557</v>
      </c>
      <c r="D2" s="206" t="s">
        <v>164</v>
      </c>
      <c r="E2" s="206" t="s">
        <v>165</v>
      </c>
      <c r="F2" s="206" t="s">
        <v>166</v>
      </c>
      <c r="G2" s="206" t="s">
        <v>167</v>
      </c>
      <c r="H2" s="206" t="s">
        <v>168</v>
      </c>
      <c r="I2" s="206" t="s">
        <v>243</v>
      </c>
      <c r="J2" s="206" t="s">
        <v>244</v>
      </c>
      <c r="K2" s="206" t="s">
        <v>245</v>
      </c>
      <c r="L2" s="206" t="s">
        <v>246</v>
      </c>
      <c r="M2" s="207" t="s">
        <v>247</v>
      </c>
    </row>
    <row r="3" spans="1:13" s="208" customFormat="1" ht="24.9" customHeight="1">
      <c r="A3" s="528"/>
      <c r="B3" s="529" t="str">
        <f>'برآورد فروش'!A3</f>
        <v>تعداد ماههاي فعاليت</v>
      </c>
      <c r="C3" s="761">
        <f>'برآورد فروش'!B3</f>
        <v>12</v>
      </c>
      <c r="D3" s="761">
        <f>'برآورد فروش'!C3</f>
        <v>12</v>
      </c>
      <c r="E3" s="761">
        <f>'برآورد فروش'!D3</f>
        <v>12</v>
      </c>
      <c r="F3" s="761">
        <f>'برآورد فروش'!E3</f>
        <v>12</v>
      </c>
      <c r="G3" s="761">
        <f>'برآورد فروش'!F3</f>
        <v>12</v>
      </c>
      <c r="H3" s="761">
        <f>'برآورد فروش'!G3</f>
        <v>12</v>
      </c>
      <c r="I3" s="761">
        <f>'برآورد فروش'!H3</f>
        <v>12</v>
      </c>
      <c r="J3" s="761">
        <f>'برآورد فروش'!I3</f>
        <v>12</v>
      </c>
      <c r="K3" s="761">
        <f>'برآورد فروش'!J3</f>
        <v>12</v>
      </c>
      <c r="L3" s="761">
        <f>'برآورد فروش'!K3</f>
        <v>12</v>
      </c>
      <c r="M3" s="762">
        <f>'برآورد فروش'!L3</f>
        <v>12</v>
      </c>
    </row>
    <row r="4" spans="1:13" s="211" customFormat="1" ht="24.9" customHeight="1">
      <c r="A4" s="209">
        <v>1</v>
      </c>
      <c r="B4" s="210" t="s">
        <v>143</v>
      </c>
      <c r="C4" s="763">
        <f>'برآورد فروش'!B36</f>
        <v>300000000</v>
      </c>
      <c r="D4" s="763">
        <f>'برآورد فروش'!C36</f>
        <v>450000000</v>
      </c>
      <c r="E4" s="763">
        <f>'برآورد فروش'!D36</f>
        <v>600000000</v>
      </c>
      <c r="F4" s="763">
        <f>'برآورد فروش'!E36</f>
        <v>850000000</v>
      </c>
      <c r="G4" s="763">
        <f>'برآورد فروش'!F36</f>
        <v>12</v>
      </c>
      <c r="H4" s="763">
        <f>'برآورد فروش'!G36</f>
        <v>12</v>
      </c>
      <c r="I4" s="763">
        <f>'برآورد فروش'!H36</f>
        <v>12</v>
      </c>
      <c r="J4" s="763">
        <f>'برآورد فروش'!I36</f>
        <v>12</v>
      </c>
      <c r="K4" s="763">
        <f>'برآورد فروش'!J36</f>
        <v>12</v>
      </c>
      <c r="L4" s="763">
        <f>'برآورد فروش'!K36</f>
        <v>12</v>
      </c>
      <c r="M4" s="764">
        <f>'برآورد فروش'!L36</f>
        <v>12</v>
      </c>
    </row>
    <row r="5" spans="1:13" ht="20.100000000000001" customHeight="1">
      <c r="A5" s="1158" t="s">
        <v>145</v>
      </c>
      <c r="B5" s="1159"/>
      <c r="C5" s="652"/>
      <c r="D5" s="652"/>
      <c r="E5" s="652"/>
      <c r="F5" s="652"/>
      <c r="G5" s="652"/>
      <c r="H5" s="652"/>
      <c r="I5" s="652"/>
      <c r="J5" s="652"/>
      <c r="K5" s="652"/>
      <c r="L5" s="652"/>
      <c r="M5" s="655"/>
    </row>
    <row r="6" spans="1:13" s="214" customFormat="1" ht="20.100000000000001" customHeight="1">
      <c r="A6" s="212">
        <v>2</v>
      </c>
      <c r="B6" s="213" t="str">
        <f>'هزينه هاي توليد'!B3</f>
        <v xml:space="preserve">مواد اوليه </v>
      </c>
      <c r="C6" s="765">
        <f>'هزينه هاي ثابت و متغير'!AJ4</f>
        <v>0</v>
      </c>
      <c r="D6" s="765">
        <f>'هزينه هاي ثابت و متغير'!AK4</f>
        <v>0</v>
      </c>
      <c r="E6" s="765">
        <f>'هزينه هاي ثابت و متغير'!AL4</f>
        <v>0</v>
      </c>
      <c r="F6" s="765">
        <f>'هزينه هاي ثابت و متغير'!AM4</f>
        <v>0</v>
      </c>
      <c r="G6" s="765">
        <f>'هزينه هاي ثابت و متغير'!AN4</f>
        <v>0</v>
      </c>
      <c r="H6" s="765">
        <f>'هزينه هاي ثابت و متغير'!AO4</f>
        <v>0</v>
      </c>
      <c r="I6" s="765">
        <f>'هزينه هاي ثابت و متغير'!AP4</f>
        <v>0</v>
      </c>
      <c r="J6" s="765">
        <f>'هزينه هاي ثابت و متغير'!AQ4</f>
        <v>0</v>
      </c>
      <c r="K6" s="765">
        <f>'هزينه هاي ثابت و متغير'!AR4</f>
        <v>0</v>
      </c>
      <c r="L6" s="765">
        <f>'هزينه هاي ثابت و متغير'!AS4</f>
        <v>0</v>
      </c>
      <c r="M6" s="766">
        <f>'هزينه هاي ثابت و متغير'!AT4</f>
        <v>0</v>
      </c>
    </row>
    <row r="7" spans="1:13" ht="20.100000000000001" customHeight="1">
      <c r="A7" s="215">
        <v>3</v>
      </c>
      <c r="B7" s="216" t="str">
        <f>'هزينه هاي توليد'!B4</f>
        <v>حقوق و دستمزد پرسنل مستقيم توليد</v>
      </c>
      <c r="C7" s="652">
        <f>'هزينه هاي ثابت و متغير'!AJ5</f>
        <v>5028000</v>
      </c>
      <c r="D7" s="652">
        <f>'هزينه هاي ثابت و متغير'!AK5</f>
        <v>5028000</v>
      </c>
      <c r="E7" s="652">
        <f>'هزينه هاي ثابت و متغير'!AL5</f>
        <v>5028000</v>
      </c>
      <c r="F7" s="652">
        <f>'هزينه هاي ثابت و متغير'!AM5</f>
        <v>5028000</v>
      </c>
      <c r="G7" s="652">
        <f>'هزينه هاي ثابت و متغير'!AN5</f>
        <v>5028000</v>
      </c>
      <c r="H7" s="652">
        <f>'هزينه هاي ثابت و متغير'!AO5</f>
        <v>5028000</v>
      </c>
      <c r="I7" s="652">
        <f>'هزينه هاي ثابت و متغير'!AP5</f>
        <v>5028000</v>
      </c>
      <c r="J7" s="652">
        <f>'هزينه هاي ثابت و متغير'!AQ5</f>
        <v>5028000</v>
      </c>
      <c r="K7" s="652">
        <f>'هزينه هاي ثابت و متغير'!AR5</f>
        <v>5028000</v>
      </c>
      <c r="L7" s="652">
        <f>'هزينه هاي ثابت و متغير'!AS5</f>
        <v>5028000</v>
      </c>
      <c r="M7" s="655">
        <f>'هزينه هاي ثابت و متغير'!AT5</f>
        <v>5028000</v>
      </c>
    </row>
    <row r="8" spans="1:13" s="214" customFormat="1" ht="20.100000000000001" customHeight="1">
      <c r="A8" s="212">
        <v>4</v>
      </c>
      <c r="B8" s="213" t="str">
        <f>'هزينه هاي توليد'!B5</f>
        <v>حقوق و دستمزد پرسنل غير مستقيم توليد</v>
      </c>
      <c r="C8" s="765">
        <f>'هزينه هاي ثابت و متغير'!AJ6</f>
        <v>15084000</v>
      </c>
      <c r="D8" s="765">
        <f>'هزينه هاي ثابت و متغير'!AK6</f>
        <v>15084000</v>
      </c>
      <c r="E8" s="765">
        <f>'هزينه هاي ثابت و متغير'!AL6</f>
        <v>15084000</v>
      </c>
      <c r="F8" s="765">
        <f>'هزينه هاي ثابت و متغير'!AM6</f>
        <v>15084000</v>
      </c>
      <c r="G8" s="765">
        <f>'هزينه هاي ثابت و متغير'!AN6</f>
        <v>15084000</v>
      </c>
      <c r="H8" s="765">
        <f>'هزينه هاي ثابت و متغير'!AO6</f>
        <v>15084000</v>
      </c>
      <c r="I8" s="765">
        <f>'هزينه هاي ثابت و متغير'!AP6</f>
        <v>15084000</v>
      </c>
      <c r="J8" s="765">
        <f>'هزينه هاي ثابت و متغير'!AQ6</f>
        <v>15084000</v>
      </c>
      <c r="K8" s="765">
        <f>'هزينه هاي ثابت و متغير'!AR6</f>
        <v>15084000</v>
      </c>
      <c r="L8" s="765">
        <f>'هزينه هاي ثابت و متغير'!AS6</f>
        <v>15084000</v>
      </c>
      <c r="M8" s="766">
        <f>'هزينه هاي ثابت و متغير'!AT6</f>
        <v>15084000</v>
      </c>
    </row>
    <row r="9" spans="1:13" ht="20.100000000000001" customHeight="1">
      <c r="A9" s="215">
        <v>5</v>
      </c>
      <c r="B9" s="216" t="str">
        <f>'هزينه هاي توليد'!B6</f>
        <v>تاسيسات مصرفي</v>
      </c>
      <c r="C9" s="652">
        <f>'هزينه هاي ثابت و متغير'!AJ7</f>
        <v>0</v>
      </c>
      <c r="D9" s="652">
        <f>'هزينه هاي ثابت و متغير'!AK7</f>
        <v>0</v>
      </c>
      <c r="E9" s="652">
        <f>'هزينه هاي ثابت و متغير'!AL7</f>
        <v>0</v>
      </c>
      <c r="F9" s="652">
        <f>'هزينه هاي ثابت و متغير'!AM7</f>
        <v>0</v>
      </c>
      <c r="G9" s="652">
        <f>'هزينه هاي ثابت و متغير'!AN7</f>
        <v>0</v>
      </c>
      <c r="H9" s="652">
        <f>'هزينه هاي ثابت و متغير'!AO7</f>
        <v>0</v>
      </c>
      <c r="I9" s="652">
        <f>'هزينه هاي ثابت و متغير'!AP7</f>
        <v>0</v>
      </c>
      <c r="J9" s="652">
        <f>'هزينه هاي ثابت و متغير'!AQ7</f>
        <v>0</v>
      </c>
      <c r="K9" s="652">
        <f>'هزينه هاي ثابت و متغير'!AR7</f>
        <v>0</v>
      </c>
      <c r="L9" s="652">
        <f>'هزينه هاي ثابت و متغير'!AS7</f>
        <v>0</v>
      </c>
      <c r="M9" s="655">
        <f>'هزينه هاي ثابت و متغير'!AT7</f>
        <v>0</v>
      </c>
    </row>
    <row r="10" spans="1:13" s="214" customFormat="1" ht="20.100000000000001" customHeight="1">
      <c r="A10" s="212">
        <v>6</v>
      </c>
      <c r="B10" s="213" t="str">
        <f>'هزينه هاي توليد'!B7</f>
        <v>نگهداري و تعميرات</v>
      </c>
      <c r="C10" s="765">
        <f>'هزينه هاي ثابت و متغير'!AJ8</f>
        <v>3904500</v>
      </c>
      <c r="D10" s="765">
        <f>'هزينه هاي ثابت و متغير'!AK8</f>
        <v>3904500</v>
      </c>
      <c r="E10" s="765">
        <f>'هزينه هاي ثابت و متغير'!AL8</f>
        <v>3904500</v>
      </c>
      <c r="F10" s="765">
        <f>'هزينه هاي ثابت و متغير'!AM8</f>
        <v>3904500</v>
      </c>
      <c r="G10" s="765">
        <f>'هزينه هاي ثابت و متغير'!AN8</f>
        <v>3904500</v>
      </c>
      <c r="H10" s="765">
        <f>'هزينه هاي ثابت و متغير'!AO8</f>
        <v>3904500</v>
      </c>
      <c r="I10" s="765">
        <f>'هزينه هاي ثابت و متغير'!AP8</f>
        <v>3904500</v>
      </c>
      <c r="J10" s="765">
        <f>'هزينه هاي ثابت و متغير'!AQ8</f>
        <v>3904500</v>
      </c>
      <c r="K10" s="765">
        <f>'هزينه هاي ثابت و متغير'!AR8</f>
        <v>3904500</v>
      </c>
      <c r="L10" s="765">
        <f>'هزينه هاي ثابت و متغير'!AS8</f>
        <v>3904500</v>
      </c>
      <c r="M10" s="766">
        <f>'هزينه هاي ثابت و متغير'!AT8</f>
        <v>3904500</v>
      </c>
    </row>
    <row r="11" spans="1:13" ht="20.100000000000001" customHeight="1">
      <c r="A11" s="215">
        <v>7</v>
      </c>
      <c r="B11" s="216" t="str">
        <f>'هزينه هاي توليد'!B8</f>
        <v>استهلاك</v>
      </c>
      <c r="C11" s="652">
        <f>'هزينه هاي ثابت و متغير'!AJ9</f>
        <v>237606103.62035227</v>
      </c>
      <c r="D11" s="652">
        <f>'هزينه هاي ثابت و متغير'!AK9</f>
        <v>237606103.62035227</v>
      </c>
      <c r="E11" s="652">
        <f>'هزينه هاي ثابت و متغير'!AL9</f>
        <v>237606103.62035227</v>
      </c>
      <c r="F11" s="652">
        <f>'هزينه هاي ثابت و متغير'!AM9</f>
        <v>237606103.62035227</v>
      </c>
      <c r="G11" s="652">
        <f>'هزينه هاي ثابت و متغير'!AN9</f>
        <v>237606103.62035227</v>
      </c>
      <c r="H11" s="652">
        <f>'هزينه هاي ثابت و متغير'!AO9</f>
        <v>6215850.0000000009</v>
      </c>
      <c r="I11" s="652">
        <f>'هزينه هاي ثابت و متغير'!AP9</f>
        <v>6215850.0000000009</v>
      </c>
      <c r="J11" s="652">
        <f>'هزينه هاي ثابت و متغير'!AQ9</f>
        <v>6215850.0000000009</v>
      </c>
      <c r="K11" s="652">
        <f>'هزينه هاي ثابت و متغير'!AR9</f>
        <v>6215850.0000000009</v>
      </c>
      <c r="L11" s="652">
        <f>'هزينه هاي ثابت و متغير'!AS9</f>
        <v>6215850.0000000009</v>
      </c>
      <c r="M11" s="655">
        <f>'هزينه هاي ثابت و متغير'!AT9</f>
        <v>5166000.0000000009</v>
      </c>
    </row>
    <row r="12" spans="1:13" s="214" customFormat="1" ht="20.100000000000001" customHeight="1">
      <c r="A12" s="212">
        <v>8</v>
      </c>
      <c r="B12" s="213" t="str">
        <f>'هزينه هاي توليد'!B9</f>
        <v>قطعات يدكي (1.5% هزينه هاي سرمايه گذاري بدون زمين)</v>
      </c>
      <c r="C12" s="765">
        <f>'هزينه هاي ثابت و متغير'!AJ10</f>
        <v>2937675</v>
      </c>
      <c r="D12" s="765">
        <f>'هزينه هاي ثابت و متغير'!AK10</f>
        <v>2937675</v>
      </c>
      <c r="E12" s="765">
        <f>'هزينه هاي ثابت و متغير'!AL10</f>
        <v>2937675</v>
      </c>
      <c r="F12" s="765">
        <f>'هزينه هاي ثابت و متغير'!AM10</f>
        <v>2937675</v>
      </c>
      <c r="G12" s="765">
        <f>'هزينه هاي ثابت و متغير'!AN10</f>
        <v>2937675</v>
      </c>
      <c r="H12" s="765">
        <f>'هزينه هاي ثابت و متغير'!AO10</f>
        <v>2937675</v>
      </c>
      <c r="I12" s="765">
        <f>'هزينه هاي ثابت و متغير'!AP10</f>
        <v>2937675</v>
      </c>
      <c r="J12" s="765">
        <f>'هزينه هاي ثابت و متغير'!AQ10</f>
        <v>2937675</v>
      </c>
      <c r="K12" s="765">
        <f>'هزينه هاي ثابت و متغير'!AR10</f>
        <v>2937675</v>
      </c>
      <c r="L12" s="765">
        <f>'هزينه هاي ثابت و متغير'!AS10</f>
        <v>2937675</v>
      </c>
      <c r="M12" s="766">
        <f>'هزينه هاي ثابت و متغير'!AT10</f>
        <v>2937675</v>
      </c>
    </row>
    <row r="13" spans="1:13" ht="20.100000000000001" customHeight="1">
      <c r="A13" s="215">
        <v>9</v>
      </c>
      <c r="B13" s="216" t="str">
        <f>'هزينه هاي توليد'!B10</f>
        <v>پيش بيني نشده بدون احتساب استهلاك</v>
      </c>
      <c r="C13" s="652">
        <f>'هزينه هاي ثابت و متغير'!AJ11</f>
        <v>2695417.5</v>
      </c>
      <c r="D13" s="652">
        <f>'هزينه هاي ثابت و متغير'!AK11</f>
        <v>2695417.5</v>
      </c>
      <c r="E13" s="652">
        <f>'هزينه هاي ثابت و متغير'!AL11</f>
        <v>2695417.5</v>
      </c>
      <c r="F13" s="652">
        <f>'هزينه هاي ثابت و متغير'!AM11</f>
        <v>2695417.5</v>
      </c>
      <c r="G13" s="652">
        <f>'هزينه هاي ثابت و متغير'!AN11</f>
        <v>2695417.5</v>
      </c>
      <c r="H13" s="652">
        <f>'هزينه هاي ثابت و متغير'!AO11</f>
        <v>2695417.5</v>
      </c>
      <c r="I13" s="652">
        <f>'هزينه هاي ثابت و متغير'!AP11</f>
        <v>2695417.5</v>
      </c>
      <c r="J13" s="652">
        <f>'هزينه هاي ثابت و متغير'!AQ11</f>
        <v>2695417.5</v>
      </c>
      <c r="K13" s="652">
        <f>'هزينه هاي ثابت و متغير'!AR11</f>
        <v>2695417.5</v>
      </c>
      <c r="L13" s="652">
        <f>'هزينه هاي ثابت و متغير'!AS11</f>
        <v>2695417.5</v>
      </c>
      <c r="M13" s="655">
        <f>'هزينه هاي ثابت و متغير'!AT11</f>
        <v>2695417.5</v>
      </c>
    </row>
    <row r="14" spans="1:13" s="211" customFormat="1" ht="24.9" customHeight="1">
      <c r="A14" s="1156" t="s">
        <v>39</v>
      </c>
      <c r="B14" s="1157"/>
      <c r="C14" s="763">
        <f t="shared" ref="C14:H14" si="0">SUM(C6:C13)</f>
        <v>267255696.12035227</v>
      </c>
      <c r="D14" s="763">
        <f>SUM(D6:D13)</f>
        <v>267255696.12035227</v>
      </c>
      <c r="E14" s="763">
        <f t="shared" si="0"/>
        <v>267255696.12035227</v>
      </c>
      <c r="F14" s="763">
        <f t="shared" si="0"/>
        <v>267255696.12035227</v>
      </c>
      <c r="G14" s="763">
        <f t="shared" si="0"/>
        <v>267255696.12035227</v>
      </c>
      <c r="H14" s="763">
        <f t="shared" si="0"/>
        <v>35865442.5</v>
      </c>
      <c r="I14" s="763">
        <f>SUM(I6:I13)</f>
        <v>35865442.5</v>
      </c>
      <c r="J14" s="763">
        <f>SUM(J6:J13)</f>
        <v>35865442.5</v>
      </c>
      <c r="K14" s="763">
        <f>SUM(K6:K13)</f>
        <v>35865442.5</v>
      </c>
      <c r="L14" s="763">
        <f>SUM(L6:L13)</f>
        <v>35865442.5</v>
      </c>
      <c r="M14" s="764">
        <f>SUM(M6:M13)</f>
        <v>34815592.5</v>
      </c>
    </row>
    <row r="15" spans="1:13" ht="20.100000000000001" customHeight="1">
      <c r="A15" s="215">
        <v>10</v>
      </c>
      <c r="B15" s="216" t="s">
        <v>494</v>
      </c>
      <c r="C15" s="652">
        <f>IF((C14*مفروضات!$B$23/(C3*30))&lt;0,0,(C14*مفروضات!$B$23/(30*C3)))</f>
        <v>0</v>
      </c>
      <c r="D15" s="652">
        <f>IF(D14&gt;C14,IF((D14*مفروضات!$B$23/(D3*30))&lt;0,0,(D14*مفروضات!$B$23/(30*D3)))-C15,0)</f>
        <v>0</v>
      </c>
      <c r="E15" s="652">
        <f>IF(E14&gt;D14,IF((E14*مفروضات!$B$23/(E3*30))&lt;0,0,(E14*مفروضات!$B$23/(30*E3)))-D15-C15,0)</f>
        <v>0</v>
      </c>
      <c r="F15" s="652">
        <f>IF(F14&gt;E14,IF((F14*مفروضات!$B$23/(F3*30))&lt;0,0,(F14*مفروضات!$B$23/(30*F3)))-E15-D15-C15,0)</f>
        <v>0</v>
      </c>
      <c r="G15" s="652">
        <f>IF(G14&gt;F14,IF((G14*مفروضات!$B$23/(G3*30))&lt;0,0,(G14*مفروضات!$B$23/(30*G3)))-F15-E15-D15-C15,0)</f>
        <v>0</v>
      </c>
      <c r="H15" s="652">
        <f>IF(H14&gt;G14,IF((H14*مفروضات!$B$23/(H3*30))&lt;0,0,(H14*مفروضات!$B$23/(30*H3)))-G15-F15-E15-D15-C15,0)</f>
        <v>0</v>
      </c>
      <c r="I15" s="652">
        <f>IF(I14&gt;H14,IF((I14*مفروضات!$B$23/(I3*30))&lt;0,0,(I14*مفروضات!$B$23/(30*I3)))-H15-G15-F15-E15-D15-C15,0)</f>
        <v>0</v>
      </c>
      <c r="J15" s="652">
        <f>IF(J14&gt;I14,IF((J14*مفروضات!$B$23/(J3*30))&lt;0,0,(J14*مفروضات!$B$23/(30*J3)))-I15-H15-G15-F15-E15-D15-C15,0)</f>
        <v>0</v>
      </c>
      <c r="K15" s="652">
        <f>IF(K14&gt;J14,IF((K14*مفروضات!$B$23/(K3*30))&lt;0,0,(K14*مفروضات!$B$23/(30*K3)))-J15-I15-H15-G15-F15-E15-D15-C15,0)</f>
        <v>0</v>
      </c>
      <c r="L15" s="652">
        <f>IF(L14&gt;K14,IF((L14*مفروضات!$B$23/(L3*30))&lt;0,0,(L14*مفروضات!$B$23/(30*L3)))-K15-J15-I15-H15-G15-F15-E15-D15-C15,0)</f>
        <v>0</v>
      </c>
      <c r="M15" s="652">
        <f>IF(M14&gt;L14,IF((M14*مفروضات!$B$23/(M3*30))&lt;0,0,(M14*مفروضات!$B$23/(30*M3)))-L15-K15-J15-I15-H15-G15-F15-E15-D15-C15,0)</f>
        <v>0</v>
      </c>
    </row>
    <row r="16" spans="1:13" s="214" customFormat="1" ht="24.9" customHeight="1">
      <c r="A16" s="212">
        <v>11</v>
      </c>
      <c r="B16" s="538" t="s">
        <v>498</v>
      </c>
      <c r="C16" s="765">
        <f>C14-C15</f>
        <v>267255696.12035227</v>
      </c>
      <c r="D16" s="765">
        <f t="shared" ref="D16:M16" si="1">D14-D15</f>
        <v>267255696.12035227</v>
      </c>
      <c r="E16" s="765">
        <f t="shared" si="1"/>
        <v>267255696.12035227</v>
      </c>
      <c r="F16" s="765">
        <f t="shared" si="1"/>
        <v>267255696.12035227</v>
      </c>
      <c r="G16" s="765">
        <f t="shared" si="1"/>
        <v>267255696.12035227</v>
      </c>
      <c r="H16" s="765">
        <f t="shared" si="1"/>
        <v>35865442.5</v>
      </c>
      <c r="I16" s="765">
        <f t="shared" si="1"/>
        <v>35865442.5</v>
      </c>
      <c r="J16" s="765">
        <f t="shared" si="1"/>
        <v>35865442.5</v>
      </c>
      <c r="K16" s="765">
        <f t="shared" si="1"/>
        <v>35865442.5</v>
      </c>
      <c r="L16" s="765">
        <f t="shared" si="1"/>
        <v>35865442.5</v>
      </c>
      <c r="M16" s="766">
        <f t="shared" si="1"/>
        <v>34815592.5</v>
      </c>
    </row>
    <row r="17" spans="1:13" ht="20.100000000000001" customHeight="1">
      <c r="A17" s="1160" t="s">
        <v>499</v>
      </c>
      <c r="B17" s="1161"/>
      <c r="C17" s="652">
        <f>C4-C16</f>
        <v>32744303.879647732</v>
      </c>
      <c r="D17" s="652">
        <f t="shared" ref="D17:M17" si="2">D4-D16</f>
        <v>182744303.87964773</v>
      </c>
      <c r="E17" s="652">
        <f t="shared" si="2"/>
        <v>332744303.87964773</v>
      </c>
      <c r="F17" s="652">
        <f t="shared" si="2"/>
        <v>582744303.87964773</v>
      </c>
      <c r="G17" s="652">
        <f t="shared" si="2"/>
        <v>-267255684.12035227</v>
      </c>
      <c r="H17" s="652">
        <f t="shared" si="2"/>
        <v>-35865430.5</v>
      </c>
      <c r="I17" s="652">
        <f t="shared" si="2"/>
        <v>-35865430.5</v>
      </c>
      <c r="J17" s="652">
        <f t="shared" si="2"/>
        <v>-35865430.5</v>
      </c>
      <c r="K17" s="652">
        <f t="shared" si="2"/>
        <v>-35865430.5</v>
      </c>
      <c r="L17" s="652">
        <f t="shared" si="2"/>
        <v>-35865430.5</v>
      </c>
      <c r="M17" s="655">
        <f t="shared" si="2"/>
        <v>-34815580.5</v>
      </c>
    </row>
    <row r="18" spans="1:13" s="214" customFormat="1" ht="20.100000000000001" customHeight="1">
      <c r="A18" s="212">
        <v>12</v>
      </c>
      <c r="B18" s="217" t="str">
        <f>'هزينه هاي توليد'!B12</f>
        <v>حقوق و دستمزد پرسنل اداري</v>
      </c>
      <c r="C18" s="765">
        <f>'هزينه هاي ثابت و متغير'!AJ12</f>
        <v>27654000</v>
      </c>
      <c r="D18" s="765">
        <f>'هزينه هاي ثابت و متغير'!AK12</f>
        <v>27654000</v>
      </c>
      <c r="E18" s="765">
        <f>'هزينه هاي ثابت و متغير'!AL12</f>
        <v>27654000</v>
      </c>
      <c r="F18" s="765">
        <f>'هزينه هاي ثابت و متغير'!AM12</f>
        <v>27654000</v>
      </c>
      <c r="G18" s="765">
        <f>'هزينه هاي ثابت و متغير'!AN12</f>
        <v>27654000</v>
      </c>
      <c r="H18" s="765">
        <f>'هزينه هاي ثابت و متغير'!AO12</f>
        <v>27654000</v>
      </c>
      <c r="I18" s="765">
        <f>'هزينه هاي ثابت و متغير'!AP12</f>
        <v>27654000</v>
      </c>
      <c r="J18" s="765">
        <f>'هزينه هاي ثابت و متغير'!AQ12</f>
        <v>27654000</v>
      </c>
      <c r="K18" s="765">
        <f>'هزينه هاي ثابت و متغير'!AR12</f>
        <v>27654000</v>
      </c>
      <c r="L18" s="765">
        <f>'هزينه هاي ثابت و متغير'!AS12</f>
        <v>27654000</v>
      </c>
      <c r="M18" s="766">
        <f>'هزينه هاي ثابت و متغير'!AT12</f>
        <v>27654000</v>
      </c>
    </row>
    <row r="19" spans="1:13" ht="20.100000000000001" customHeight="1">
      <c r="A19" s="215">
        <v>13</v>
      </c>
      <c r="B19" s="216" t="str">
        <f>'هزينه هاي توليد'!B13</f>
        <v>هزينه هاي توزيع و فروش تبلیغات و اداری (درصدی از فروش)</v>
      </c>
      <c r="C19" s="652">
        <f>'هزينه هاي ثابت و متغير'!AJ13</f>
        <v>0.12</v>
      </c>
      <c r="D19" s="652">
        <f>'هزينه هاي ثابت و متغير'!AK13</f>
        <v>0.12</v>
      </c>
      <c r="E19" s="652">
        <f>'هزينه هاي ثابت و متغير'!AL13</f>
        <v>0.12</v>
      </c>
      <c r="F19" s="652">
        <f>'هزينه هاي ثابت و متغير'!AM13</f>
        <v>0.12</v>
      </c>
      <c r="G19" s="652">
        <f>'هزينه هاي ثابت و متغير'!AN13</f>
        <v>0.12</v>
      </c>
      <c r="H19" s="652">
        <f>'هزينه هاي ثابت و متغير'!AO13</f>
        <v>0.12</v>
      </c>
      <c r="I19" s="652">
        <f>'هزينه هاي ثابت و متغير'!AP13</f>
        <v>0.12</v>
      </c>
      <c r="J19" s="652">
        <f>'هزينه هاي ثابت و متغير'!AQ13</f>
        <v>0.12</v>
      </c>
      <c r="K19" s="652">
        <f>'هزينه هاي ثابت و متغير'!AR13</f>
        <v>0.12</v>
      </c>
      <c r="L19" s="652">
        <f>'هزينه هاي ثابت و متغير'!AS13</f>
        <v>0.12</v>
      </c>
      <c r="M19" s="655">
        <f>'هزينه هاي ثابت و متغير'!AT13</f>
        <v>0.12</v>
      </c>
    </row>
    <row r="20" spans="1:13" s="211" customFormat="1" ht="20.100000000000001" customHeight="1">
      <c r="A20" s="1156" t="s">
        <v>146</v>
      </c>
      <c r="B20" s="1157"/>
      <c r="C20" s="763">
        <f t="shared" ref="C20:M20" si="3">C17-(C18+C19)</f>
        <v>5090303.7596477307</v>
      </c>
      <c r="D20" s="763">
        <f t="shared" si="3"/>
        <v>155090303.75964773</v>
      </c>
      <c r="E20" s="763">
        <f t="shared" si="3"/>
        <v>305090303.75964773</v>
      </c>
      <c r="F20" s="763">
        <f t="shared" si="3"/>
        <v>555090303.75964773</v>
      </c>
      <c r="G20" s="763">
        <f t="shared" si="3"/>
        <v>-294909684.24035227</v>
      </c>
      <c r="H20" s="763">
        <f t="shared" si="3"/>
        <v>-63519430.620000005</v>
      </c>
      <c r="I20" s="763">
        <f t="shared" si="3"/>
        <v>-63519430.620000005</v>
      </c>
      <c r="J20" s="763">
        <f t="shared" si="3"/>
        <v>-63519430.620000005</v>
      </c>
      <c r="K20" s="763">
        <f t="shared" si="3"/>
        <v>-63519430.620000005</v>
      </c>
      <c r="L20" s="763">
        <f t="shared" si="3"/>
        <v>-63519430.620000005</v>
      </c>
      <c r="M20" s="764">
        <f t="shared" si="3"/>
        <v>-62469580.620000005</v>
      </c>
    </row>
    <row r="21" spans="1:13" ht="20.100000000000001" customHeight="1">
      <c r="A21" s="215">
        <v>14</v>
      </c>
      <c r="B21" s="216" t="s">
        <v>88</v>
      </c>
      <c r="C21" s="652">
        <f>'هزينه هاي ثابت و متغير'!AJ14</f>
        <v>229500253.62035227</v>
      </c>
      <c r="D21" s="652">
        <f>'هزينه هاي ثابت و متغير'!AK14</f>
        <v>229500253.62035227</v>
      </c>
      <c r="E21" s="652">
        <f>'هزينه هاي ثابت و متغير'!AL14</f>
        <v>229500253.62035227</v>
      </c>
      <c r="F21" s="652">
        <f>'هزينه هاي ثابت و متغير'!AM14</f>
        <v>229500253.62035227</v>
      </c>
      <c r="G21" s="652">
        <f>'هزينه هاي ثابت و متغير'!AN14</f>
        <v>229500253.62035227</v>
      </c>
      <c r="H21" s="652">
        <f>'هزينه هاي ثابت و متغير'!AO14</f>
        <v>0</v>
      </c>
      <c r="I21" s="652">
        <f>'هزينه هاي ثابت و متغير'!AP14</f>
        <v>0</v>
      </c>
      <c r="J21" s="652">
        <f>'هزينه هاي ثابت و متغير'!AQ14</f>
        <v>0</v>
      </c>
      <c r="K21" s="652">
        <f>'هزينه هاي ثابت و متغير'!AR14</f>
        <v>0</v>
      </c>
      <c r="L21" s="652">
        <f>'هزينه هاي ثابت و متغير'!AS14</f>
        <v>0</v>
      </c>
      <c r="M21" s="655">
        <f>'هزينه هاي ثابت و متغير'!AT14</f>
        <v>0</v>
      </c>
    </row>
    <row r="22" spans="1:13" ht="20.100000000000001" customHeight="1">
      <c r="A22" s="212">
        <v>15</v>
      </c>
      <c r="B22" s="217" t="str">
        <f>'هزينه هاي توليد'!B17</f>
        <v>هزینه های اجاره</v>
      </c>
      <c r="C22" s="765">
        <f>'هزينه هاي ثابت و متغير'!AJ16</f>
        <v>0</v>
      </c>
      <c r="D22" s="765">
        <f>'هزينه هاي ثابت و متغير'!AK16</f>
        <v>0</v>
      </c>
      <c r="E22" s="765">
        <f>'هزينه هاي ثابت و متغير'!AL16</f>
        <v>0</v>
      </c>
      <c r="F22" s="765">
        <f>'هزينه هاي ثابت و متغير'!AM16</f>
        <v>0</v>
      </c>
      <c r="G22" s="765">
        <f>'هزينه هاي ثابت و متغير'!AN16</f>
        <v>0</v>
      </c>
      <c r="H22" s="765">
        <f>'هزينه هاي ثابت و متغير'!AO16</f>
        <v>0</v>
      </c>
      <c r="I22" s="765">
        <f>'هزينه هاي ثابت و متغير'!AP16</f>
        <v>0</v>
      </c>
      <c r="J22" s="765">
        <f>'هزينه هاي ثابت و متغير'!AQ16</f>
        <v>0</v>
      </c>
      <c r="K22" s="765">
        <f>'هزينه هاي ثابت و متغير'!AR16</f>
        <v>0</v>
      </c>
      <c r="L22" s="765">
        <f>'هزينه هاي ثابت و متغير'!AS16</f>
        <v>0</v>
      </c>
      <c r="M22" s="766">
        <f>'هزينه هاي ثابت و متغير'!AT16</f>
        <v>0</v>
      </c>
    </row>
    <row r="23" spans="1:13" ht="20.100000000000001" customHeight="1">
      <c r="A23" s="215">
        <v>16</v>
      </c>
      <c r="B23" s="216" t="str">
        <f>'هزينه هاي توليد'!B18</f>
        <v>هزینه های بیمه</v>
      </c>
      <c r="C23" s="652">
        <f>'هزينه هاي ثابت و متغير'!AJ17</f>
        <v>0</v>
      </c>
      <c r="D23" s="652">
        <f>'هزينه هاي ثابت و متغير'!AK17</f>
        <v>0</v>
      </c>
      <c r="E23" s="652">
        <f>'هزينه هاي ثابت و متغير'!AL17</f>
        <v>0</v>
      </c>
      <c r="F23" s="652">
        <f>'هزينه هاي ثابت و متغير'!AM17</f>
        <v>0</v>
      </c>
      <c r="G23" s="652">
        <f>'هزينه هاي ثابت و متغير'!AN17</f>
        <v>0</v>
      </c>
      <c r="H23" s="652">
        <f>'هزينه هاي ثابت و متغير'!AO17</f>
        <v>0</v>
      </c>
      <c r="I23" s="652">
        <f>'هزينه هاي ثابت و متغير'!AP17</f>
        <v>0</v>
      </c>
      <c r="J23" s="652">
        <f>'هزينه هاي ثابت و متغير'!AQ17</f>
        <v>0</v>
      </c>
      <c r="K23" s="652">
        <f>'هزينه هاي ثابت و متغير'!AR17</f>
        <v>0</v>
      </c>
      <c r="L23" s="652">
        <f>'هزينه هاي ثابت و متغير'!AS17</f>
        <v>0</v>
      </c>
      <c r="M23" s="655">
        <f>'هزينه هاي ثابت و متغير'!AT17</f>
        <v>0</v>
      </c>
    </row>
    <row r="24" spans="1:13" s="214" customFormat="1" ht="20.100000000000001" customHeight="1">
      <c r="A24" s="212">
        <v>17</v>
      </c>
      <c r="B24" s="217" t="s">
        <v>147</v>
      </c>
      <c r="C24" s="720">
        <f>IF(مفروضات!T4=TRUE,IF('منابع تامين سرمايه گذاري'!E24&gt;='پيش بيني عملكرد سود و زيان'!C3,0,'منابع تامين سرمايه گذاري'!E34*('پيش بيني عملكرد سود و زيان'!C3-'منابع تامين سرمايه گذاري'!E24)/12),تسهیلات!Q7)</f>
        <v>0</v>
      </c>
      <c r="D24" s="720">
        <f>IF(مفروضات!$T$4=TRUE,IF(('منابع تامين سرمايه گذاري'!$E$32-C3)&gt;=0,IF(('منابع تامين سرمايه گذاري'!$E$32-C3)&gt;=12,'منابع تامين سرمايه گذاري'!E34*D3/12,IF('منابع تامين سرمايه گذاري'!$E$31-'پيش بيني عملكرد سود و زيان'!$C$24&gt;='منابع تامين سرمايه گذاري'!$E$34,'منابع تامين سرمايه گذاري'!$E$34(,'منابع تامين سرمايه گذاري'!$E$31-'پيش بيني عملكرد سود و زيان'!$C$24))),IF('منابع تامين سرمايه گذاري'!$E$32-C3=0,IF(C24='منابع تامين سرمايه گذاري'!$E$31,0,'منابع تامين سرمايه گذاري'!E31-'پيش بيني عملكرد سود و زيان'!C24),0)),تسهیلات!R7)</f>
        <v>0</v>
      </c>
      <c r="E24" s="720">
        <f>IF(مفروضات!$T$4=TRUE,IF(('منابع تامين سرمايه گذاري'!$E$32-C3-D3)&gt;=0,IF(('منابع تامين سرمايه گذاري'!$E$32-C3-D3)&gt;=12,'منابع تامين سرمايه گذاري'!$E$34*E3/12,IF('منابع تامين سرمايه گذاري'!$E$31-'پيش بيني عملكرد سود و زيان'!$C$24-'منابع تامين سرمايه گذاري'!$E$34*D32&gt;='منابع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گذاري'!$E$34*D32))),IF('منابع تامين سرمايه گذاري'!$E$32-C3-D3=0,IF(D24='منابع تامين سرمايه گذاري'!$E$31,0,'منابع تامين سرمايه گذاري'!E31-'پيش بيني عملكرد سود و زيان'!D24),0)),تسهیلات!S7)</f>
        <v>0</v>
      </c>
      <c r="F24" s="720">
        <f>IF(مفروضات!$T$4=TRUE,IF(('منابع تامين سرمايه گذاري'!$E$32-C3-D3-E3)&gt;=0,IF(('منابع تامين سرمايه گذاري'!$E$32-C3-D3-E3)&gt;=12,'منابع تامين سرمايه گذاري'!$E$34*F3/12,IF('منابع تامين سرمايه گذاري'!$E$31-'پيش بيني عملكرد سود و زيان'!$C$24-'منابع تامين سرمايه گذاري'!$E$34*E32&gt;='منابع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گذاري'!$E$34*E32))),IF('منابع تامين سرمايه گذاري'!$E$32-C3-D3-E3=0,IF(E24='منابع تامين سرمايه گذاري'!$E$31,0,'منابع تامين سرمايه گذاري'!E31-'پيش بيني عملكرد سود و زيان'!E24),0)),تسهیلات!T7)</f>
        <v>0</v>
      </c>
      <c r="G24" s="720">
        <f>IF(مفروضات!$T$4=TRUE,IF(('منابع تامين سرمايه گذاري'!$E$32-C3-D3-E3-F3)&gt;=0,IF(('منابع تامين سرمايه گذاري'!$E$32-C3-D3-E3-F3)&gt;=12,'منابع تامين سرمايه گذاري'!$E$34*G3/12,IF('منابع تامين سرمايه گذاري'!$E$31-'پيش بيني عملكرد سود و زيان'!$C$24-'منابع تامين سرمايه گذاري'!$E$34*F32&gt;='منابع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گذاري'!$E$34*F32))),IF('منابع تامين سرمايه گذاري'!$E$32-C3-D3-E3-F3=0,IF(F24='منابع تامين سرمايه گذاري'!$E$31,0,'منابع تامين سرمايه گذاري'!E31-'پيش بيني عملكرد سود و زيان'!F24),0)),تسهیلات!U7)</f>
        <v>0</v>
      </c>
      <c r="H24" s="720">
        <f>IF(مفروضات!$T$4=TRUE,IF(('منابع تامين سرمايه گذاري'!$E$32-C3-D3-E3-F3-G3)&gt;=0,IF(('منابع تامين سرمايه گذاري'!$E$32-C3-D3-E3-F3-G3)&gt;=12,'منابع تامين سرمايه گذاري'!$E$34*H3/12,IF('منابع تامين سرمايه گذاري'!$E$31-'پيش بيني عملكرد سود و زيان'!$C$24-'منابع تامين سرمايه گذاري'!$E$34*G32&gt;='منابع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گذاري'!$E$34*G32))),IF('منابع تامين سرمايه گذاري'!$E$32-C3-D3-E3-F3-G3=0,IF(G24='منابع تامين سرمايه گذاري'!$E$31,0,'منابع تامين سرمايه گذاري'!E31-'پيش بيني عملكرد سود و زيان'!G24),0)),تسهیلات!V7)</f>
        <v>0</v>
      </c>
      <c r="I24" s="720">
        <f>IF(مفروضات!$T$4=TRUE,IF(('منابع تامين سرمايه گذاري'!$E$32-C3-D3-E3-F3-G3-H3)&gt;=0,IF(('منابع تامين سرمايه گذاري'!$E$32-C3-D3-E3-F3-G3-H3)&gt;=12,'منابع تامين سرمايه گذاري'!$E$34*I3/12,IF('منابع تامين سرمايه گذاري'!$E$31-'پيش بيني عملكرد سود و زيان'!$C$24-'منابع تامين سرمايه گذاري'!$E$34*H32&gt;='منابع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گذاري'!$E$34*H32))),IF('منابع تامين سرمايه گذاري'!$E$32-C3-D3-E3-F3-G3-H3=0,IF(H24='منابع تامين سرمايه گذاري'!$E$31,0,'منابع تامين سرمايه گذاري'!E31-'پيش بيني عملكرد سود و زيان'!H24),0)),تسهیلات!W7)</f>
        <v>0</v>
      </c>
      <c r="J24" s="720">
        <f>IF(مفروضات!$T$4=TRUE,IF(('منابع تامين سرمايه گذاري'!$E$32-C3-D3-E3-F3-G3-H3-I3)&gt;=0,IF(('منابع تامين سرمايه گذاري'!$E$32-C3-D3-E3-F3-G3-H3-I3)&gt;=12,'منابع تامين سرمايه گذاري'!$E$34*J3/12,IF('منابع تامين سرمايه گذاري'!$E$31-'پيش بيني عملكرد سود و زيان'!$C$24-'منابع تامين سرمايه گذاري'!$E$34*I32&gt;='منابع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گذاري'!$E$34*I32))),IF('منابع تامين سرمايه گذاري'!$E$32-C3-D3-E3-F3-G3-H3-I3=0,IF(I24='منابع تامين سرمايه گذاري'!$E$31,0,'منابع تامين سرمايه گذاري'!E31-'پيش بيني عملكرد سود و زيان'!I24),0)),تسهیلات!X7)</f>
        <v>0</v>
      </c>
      <c r="K24" s="720">
        <f>IF(مفروضات!$T$4=TRUE,IF(('منابع تامين سرمايه گذاري'!$E$32-C3-D3-E3-F3-G3-H3-I3-J3)&gt;=0,IF(('منابع تامين سرمايه گذاري'!$E$32-C3-D3-E3-F3-G3-H3-I3-J3)&gt;=12,'منابع تامين سرمايه گذاري'!$E$34*K3/12,IF('منابع تامين سرمايه گذاري'!$E$31-'پيش بيني عملكرد سود و زيان'!$C$24-'منابع تامين سرمايه گذاري'!$E$34*J32&gt;='منابع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گذاري'!$E$34*J32))),IF('منابع تامين سرمايه گذاري'!$E$32-C3-D3-E3-F3-G3-H3-I3-J3=0,IF(J24='منابع تامين سرمايه گذاري'!$E$31,0,'منابع تامين سرمايه گذاري'!E31-'پيش بيني عملكرد سود و زيان'!J24),0)),تسهیلات!Y7)</f>
        <v>0</v>
      </c>
      <c r="L24" s="720">
        <f>IF(مفروضات!$T$4=TRUE,IF(('منابع تامين سرمايه گذاري'!$E$32-C3-D3-E3-F3-G3-H3-I3-J3-K3)&gt;=0,IF(('منابع تامين سرمايه گذاري'!$E$32-C3-D3-E3-F3-G3-H3-I3-J3-K3)&gt;=12,'منابع تامين سرمايه گذاري'!$E$34*L3/12,IF('منابع تامين سرمايه گذاري'!$E$31-'پيش بيني عملكرد سود و زيان'!$C$24-'منابع تامين سرمايه گذاري'!$E$34*K32&gt;='منابع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گذاري'!$E$34*K32))),IF('منابع تامين سرمايه گذاري'!$E$32-C3-D3-E3-F3-G3-H3-I3-J3-K3=0,IF(K24='منابع تامين سرمايه گذاري'!$E$31,0,'منابع تامين سرمايه گذاري'!E31-'پيش بيني عملكرد سود و زيان'!K24),0)),تسهیلات!Z7)</f>
        <v>0</v>
      </c>
      <c r="M24" s="721">
        <f>IF(مفروضات!$T$4=TRUE,IF(('منابع تامين سرمايه گذاري'!$E$32-C3-D3-E3-F3-G3-H3-I3-J3-K3-L3)&gt;=0,IF(('منابع تامين سرمايه گذاري'!$E$32-C3-D3-E3-F3-G3-H3-I3-J3-K3-L3)&gt;=12,'منابع تامين سرمايه گذاري'!$E$34*M3/12,IF('منابع تامين سرمايه گذاري'!$E$31-'پيش بيني عملكرد سود و زيان'!$C$24-'منابع تامين سرمايه گذاري'!$E$34*L32&gt;='منابع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گذاري'!$E$34*L32))),IF('منابع تامين سرمايه گذاري'!$E$32-C3-D3-E3-F3-G3-H3-I3-J3-K3-L3=0,IF(L24='منابع تامين سرمايه گذاري'!$E$31,0,'منابع تامين سرمايه گذاري'!E31-'پيش بيني عملكرد سود و زيان'!L24),0)),تسهیلات!AA7)</f>
        <v>0</v>
      </c>
    </row>
    <row r="25" spans="1:13" ht="20.100000000000001" customHeight="1">
      <c r="A25" s="215">
        <v>18</v>
      </c>
      <c r="B25" s="216" t="s">
        <v>148</v>
      </c>
      <c r="C25" s="720">
        <f>'منابع تامين سرمايه گذاري'!E50*'برآورد فروش'!B3/12</f>
        <v>0</v>
      </c>
      <c r="D25" s="720">
        <f>IF(('منابع تامين سرمايه گذاري'!E48-C3)&gt;=0,IF(('منابع تامين سرمايه گذاري'!E48-C3)&gt;=12,'منابع تامين سرمايه گذاري'!E50*D3/12,IF('منابع تامين سرمايه گذاري'!E47-'پيش بيني عملكرد سود و زيان'!$C$25&gt;='منابع تامين سرمايه گذاري'!E50,'منابع تامين سرمايه گذاري'!E50,('منابع تامين سرمايه گذاري'!E47-'پيش بيني عملكرد سود و زيان'!$C$25))),IF('منابع تامين سرمايه گذاري'!E48-C3=0,IF(C25='منابع تامين سرمايه گذاري'!E47,0,'منابع تامين سرمايه گذاري'!E47-'پيش بيني عملكرد سود و زيان'!C25),0))</f>
        <v>0</v>
      </c>
      <c r="E25" s="720">
        <f>IF(('منابع تامين سرمايه گذاري'!E48-C3-D3)&gt;=0,IF(('منابع تامين سرمايه گذاري'!E48-C3-D3)&gt;=12,'منابع تامين سرمايه گذاري'!E50*E3/12,IF('منابع تامين سرمايه گذاري'!E47-'پيش بيني عملكرد سود و زيان'!$C$25*D32&gt;='منابع تامين سرمايه گذاري'!E50,'منابع تامين سرمايه گذاري'!E50,('منابع تامين سرمايه گذاري'!E47-'پيش بيني عملكرد سود و زيان'!$C$25*D32))),IF('منابع تامين سرمايه گذاري'!E48-C3-D3=0,IF(C25+D25='منابع تامين سرمايه گذاري'!E47,0,'منابع تامين سرمايه گذاري'!E47-'پيش بيني عملكرد سود و زيان'!C25-D25),0))</f>
        <v>0</v>
      </c>
      <c r="F25" s="720">
        <f>IF(('منابع تامين سرمايه گذاري'!E48-C3-D3-E3)&gt;=0,IF(('منابع تامين سرمايه گذاري'!E48-C3-D3-E3)&gt;=12,'منابع تامين سرمايه گذاري'!E50*F3/12,IF('منابع تامين سرمايه گذاري'!E47-'پيش بيني عملكرد سود و زيان'!$C$25*E32&gt;='منابع تامين سرمايه گذاري'!E50,'منابع تامين سرمايه گذاري'!E50,('منابع تامين سرمايه گذاري'!E47-'پيش بيني عملكرد سود و زيان'!$C$25*E32))),IF('منابع تامين سرمايه گذاري'!E48-C3-D3-E3=0,IF(C25+D25+E25='منابع تامين سرمايه گذاري'!E47,0,'منابع تامين سرمايه گذاري'!E47-'پيش بيني عملكرد سود و زيان'!C25-D25-E25),0))</f>
        <v>0</v>
      </c>
      <c r="G25" s="720">
        <f>IF(('منابع تامين سرمايه گذاري'!E48-C3-D3-E3-F3)&gt;=0,IF(('منابع تامين سرمايه گذاري'!E48-C3-D3-E3-F3)&gt;=12,'منابع تامين سرمايه گذاري'!E50*G3/12,IF('منابع تامين سرمايه گذاري'!E47-'پيش بيني عملكرد سود و زيان'!$C$25*F32&gt;='منابع تامين سرمايه گذاري'!E50,'منابع تامين سرمايه گذاري'!E50,('منابع تامين سرمايه گذاري'!E47-'پيش بيني عملكرد سود و زيان'!$C$25*F32))),IF('منابع تامين سرمايه گذاري'!E48-C3-D3-E3-F3=0,IF(C25+D25+E25+F25='منابع تامين سرمايه گذاري'!E47,0,'منابع تامين سرمايه گذاري'!E47-'پيش بيني عملكرد سود و زيان'!C25-D25-E25-F25),0))</f>
        <v>0</v>
      </c>
      <c r="H25" s="720">
        <f>IF(('منابع تامين سرمايه گذاري'!E48-C3-D3-E3-F3-G3)&gt;=0,IF(('منابع تامين سرمايه گذاري'!E48-C3-D3-E3-F3-G3)&gt;=12,'منابع تامين سرمايه گذاري'!E50*H3/12,IF('منابع تامين سرمايه گذاري'!E47-'پيش بيني عملكرد سود و زيان'!$C$25*G32&gt;='منابع تامين سرمايه گذاري'!E50,'منابع تامين سرمايه گذاري'!E50,('منابع تامين سرمايه گذاري'!E47-'پيش بيني عملكرد سود و زيان'!$C$25*G32))),IF('منابع تامين سرمايه گذاري'!E48-C3-D3-E3-F3-G3=0,IF(C25+D25+E25+F25+G25='منابع تامين سرمايه گذاري'!E47,0,'منابع تامين سرمايه گذاري'!E47-'پيش بيني عملكرد سود و زيان'!C25-D25-E25-F25-G25),0))</f>
        <v>0</v>
      </c>
      <c r="I25" s="720">
        <f>IF(('منابع تامين سرمايه گذاري'!E48-C3-D3-E3-F3-G3-H3)&gt;=0,IF(('منابع تامين سرمايه گذاري'!E48-C3-D3-E3-F3-G3-H3)&gt;=12,'منابع تامين سرمايه گذاري'!E50*I3/12,IF('منابع تامين سرمايه گذاري'!E47-'پيش بيني عملكرد سود و زيان'!$C$25*H32&gt;='منابع تامين سرمايه گذاري'!E50,'منابع تامين سرمايه گذاري'!E50,('منابع تامين سرمايه گذاري'!E47-'پيش بيني عملكرد سود و زيان'!$C$25*H32))),IF('منابع تامين سرمايه گذاري'!E48-C3-D3-E3-F3-G3-H3=0,IF(C25+D25+E25+F25+G25+H25='منابع تامين سرمايه گذاري'!E47,0,'منابع تامين سرمايه گذاري'!E47-'پيش بيني عملكرد سود و زيان'!C25-D25-E25-F25-G25-H25),0))</f>
        <v>0</v>
      </c>
      <c r="J25" s="720">
        <f>IF(('منابع تامين سرمايه گذاري'!E48-C3-D3-E3-F3-G3-H3-I3)&gt;=0,IF(('منابع تامين سرمايه گذاري'!E48-C3-D3-E3-F3-G3-H3-I3)&gt;=12,'منابع تامين سرمايه گذاري'!E50*J3/12,IF('منابع تامين سرمايه گذاري'!E47-'پيش بيني عملكرد سود و زيان'!$C$25*I32&gt;='منابع تامين سرمايه گذاري'!E50,'منابع تامين سرمايه گذاري'!E50,('منابع تامين سرمايه گذاري'!E47-'پيش بيني عملكرد سود و زيان'!$C$25*I32))),IF('منابع تامين سرمايه گذاري'!E48-C3-D3-E3-F3-G3-H3-I3=0,IF(C25+D25+E25+F25+G25+H25+I25='منابع تامين سرمايه گذاري'!E47,0,'منابع تامين سرمايه گذاري'!E47-'پيش بيني عملكرد سود و زيان'!C25-D25-E25-F25-G25-H25-I25),0))</f>
        <v>0</v>
      </c>
      <c r="K25" s="720">
        <f>IF(('منابع تامين سرمايه گذاري'!E48-C3-D3-E3-F3-G3-H3-I3-J3)&gt;=0,IF(('منابع تامين سرمايه گذاري'!E48-C3-D3-E3-F3-G3-H3-I3-J3)&gt;=12,'منابع تامين سرمايه گذاري'!E50*K3/12,IF('منابع تامين سرمايه گذاري'!E47-'پيش بيني عملكرد سود و زيان'!$C$25*J32&gt;='منابع تامين سرمايه گذاري'!E50,'منابع تامين سرمايه گذاري'!E50,('منابع تامين سرمايه گذاري'!E47-'پيش بيني عملكرد سود و زيان'!$C$25*J32))),IF('منابع تامين سرمايه گذاري'!E48-C3-D3-E3-F3-G3-H3-I3-J3=0,IF(C25+D25+E25+F25+G25+H25+I25+J25='منابع تامين سرمايه گذاري'!E47,0,'منابع تامين سرمايه گذاري'!E47-'پيش بيني عملكرد سود و زيان'!C25-D25-E25-F25-G25-H25-I25-J25),0))</f>
        <v>0</v>
      </c>
      <c r="L25" s="720">
        <f>IF(('منابع تامين سرمايه گذاري'!E48-C3-D3-E3-F3-G3-H3-I3-J3-K3)&gt;=0,IF(('منابع تامين سرمايه گذاري'!E48-C3-D3-E3-F3-G3-H3-I3-J3-K3)&gt;=12,'منابع تامين سرمايه گذاري'!E50*L3/12,IF('منابع تامين سرمايه گذاري'!E47-'پيش بيني عملكرد سود و زيان'!$C$25*K32&gt;='منابع تامين سرمايه گذاري'!E50,'منابع تامين سرمايه گذاري'!E50,('منابع تامين سرمايه گذاري'!E47-'پيش بيني عملكرد سود و زيان'!$C$25*K32))),IF('منابع تامين سرمايه گذاري'!E48-C3-D3-E3-F3-G3-H3-I3-J3-K3=0,IF(C25+D25+E25+F25+G25+H25+I25+J25+K25='منابع تامين سرمايه گذاري'!E47,0,'منابع تامين سرمايه گذاري'!E47-'پيش بيني عملكرد سود و زيان'!C25-D25-E25-F25-G25-H25-I25-J25-K25),0))</f>
        <v>0</v>
      </c>
      <c r="M25" s="721">
        <f>IF(('منابع تامين سرمايه گذاري'!E48-C3-D3-E3-F3-G3-H3-I3-J3-K3-L3)&gt;=0,IF(('منابع تامين سرمايه گذاري'!E48-C3-D3-E3-F3-G3-H3-I3-J3-K3-L3)&gt;=12,'منابع تامين سرمايه گذاري'!E50*M3/12,IF('منابع تامين سرمايه گذاري'!E47-'پيش بيني عملكرد سود و زيان'!$C$25*L32&gt;='منابع تامين سرمايه گذاري'!E50,'منابع تامين سرمايه گذاري'!E50,('منابع تامين سرمايه گذاري'!E47-'پيش بيني عملكرد سود و زيان'!$C$25*L32))),IF('منابع تامين سرمايه گذاري'!E48-C3-D3-E3-F3-G3-H3-I3-J3-K3-L3=0,IF(C25+D25+E25+F25+G25+H25+I25+J25+K25+L25='منابع تامين سرمايه گذاري'!E47,0,'منابع تامين سرمايه گذاري'!E47-'پيش بيني عملكرد سود و زيان'!C25-D25-E25-F25-G25-H25-I25-J25-K25-L25),0))</f>
        <v>0</v>
      </c>
    </row>
    <row r="26" spans="1:13" s="214" customFormat="1" ht="20.100000000000001" customHeight="1">
      <c r="A26" s="212">
        <v>19</v>
      </c>
      <c r="B26" s="217" t="s">
        <v>149</v>
      </c>
      <c r="C26" s="765">
        <f>C20-(C21+C22+C23+C24+C25)</f>
        <v>-224409949.86070454</v>
      </c>
      <c r="D26" s="765">
        <f t="shared" ref="D26:M26" si="4">D20-(D21+D22+D23+D24+D25)</f>
        <v>-74409949.860704541</v>
      </c>
      <c r="E26" s="765">
        <f t="shared" si="4"/>
        <v>75590050.139295459</v>
      </c>
      <c r="F26" s="765">
        <f t="shared" si="4"/>
        <v>325590050.13929546</v>
      </c>
      <c r="G26" s="765">
        <f t="shared" si="4"/>
        <v>-524409937.86070454</v>
      </c>
      <c r="H26" s="765">
        <f t="shared" si="4"/>
        <v>-63519430.620000005</v>
      </c>
      <c r="I26" s="765">
        <f t="shared" si="4"/>
        <v>-63519430.620000005</v>
      </c>
      <c r="J26" s="765">
        <f t="shared" si="4"/>
        <v>-63519430.620000005</v>
      </c>
      <c r="K26" s="765">
        <f t="shared" si="4"/>
        <v>-63519430.620000005</v>
      </c>
      <c r="L26" s="765">
        <f t="shared" si="4"/>
        <v>-63519430.620000005</v>
      </c>
      <c r="M26" s="766">
        <f t="shared" si="4"/>
        <v>-62469580.620000005</v>
      </c>
    </row>
    <row r="27" spans="1:13" ht="20.100000000000001" customHeight="1">
      <c r="A27" s="215">
        <v>20</v>
      </c>
      <c r="B27" s="216" t="s">
        <v>272</v>
      </c>
      <c r="C27" s="652">
        <f>IF(مفروضات!B6&gt;0,IF('پيش بيني عملكرد سود و زيان'!C26&gt;0,'پيش بيني عملكرد سود و زيان'!C26*مفروضات!B5*(100%-مفروضات!B6),0),IF('پيش بيني عملكرد سود و زيان'!C26&gt;0,'پيش بيني عملكرد سود و زيان'!C26*مفروضات!B5,0))</f>
        <v>0</v>
      </c>
      <c r="D27" s="652">
        <f>IF(مفروضات!C6&gt;0,IF('پيش بيني عملكرد سود و زيان'!D26&gt;0,'پيش بيني عملكرد سود و زيان'!D26*مفروضات!C5*(100%-مفروضات!C6),0),IF('پيش بيني عملكرد سود و زيان'!D26&gt;0,'پيش بيني عملكرد سود و زيان'!D26*مفروضات!C5,0))</f>
        <v>0</v>
      </c>
      <c r="E27" s="652">
        <f>IF(مفروضات!D6&gt;0,IF('پيش بيني عملكرد سود و زيان'!E26&gt;0,'پيش بيني عملكرد سود و زيان'!E26*مفروضات!D5*(100%-مفروضات!D6),0),IF('پيش بيني عملكرد سود و زيان'!E26&gt;0,'پيش بيني عملكرد سود و زيان'!E26*مفروضات!D5,0))</f>
        <v>0</v>
      </c>
      <c r="F27" s="652">
        <f>IF(مفروضات!E6&gt;0,IF('پيش بيني عملكرد سود و زيان'!F26&gt;0,'پيش بيني عملكرد سود و زيان'!F26*مفروضات!E5*(100%-مفروضات!E6),0),IF('پيش بيني عملكرد سود و زيان'!F26&gt;0,'پيش بيني عملكرد سود و زيان'!F26*مفروضات!E5,0))</f>
        <v>0</v>
      </c>
      <c r="G27" s="652">
        <f>IF(مفروضات!F6&gt;0,IF('پيش بيني عملكرد سود و زيان'!G26&gt;0,'پيش بيني عملكرد سود و زيان'!G26*مفروضات!F5*(100%-مفروضات!F6),0),IF('پيش بيني عملكرد سود و زيان'!G26&gt;0,'پيش بيني عملكرد سود و زيان'!G26*مفروضات!F5,0))</f>
        <v>0</v>
      </c>
      <c r="H27" s="652">
        <f>IF(مفروضات!G6&gt;0,IF('پيش بيني عملكرد سود و زيان'!H26&gt;0,'پيش بيني عملكرد سود و زيان'!H26*مفروضات!G5*(100%-مفروضات!G6),0),IF('پيش بيني عملكرد سود و زيان'!H26&gt;0,'پيش بيني عملكرد سود و زيان'!H26*مفروضات!G5,0))</f>
        <v>0</v>
      </c>
      <c r="I27" s="652">
        <f>IF(مفروضات!H6&gt;0,IF('پيش بيني عملكرد سود و زيان'!I26&gt;0,'پيش بيني عملكرد سود و زيان'!I26*مفروضات!H5*(100%-مفروضات!H6),0),IF('پيش بيني عملكرد سود و زيان'!I26&gt;0,'پيش بيني عملكرد سود و زيان'!I26*مفروضات!H5,0))</f>
        <v>0</v>
      </c>
      <c r="J27" s="652">
        <f>IF(مفروضات!I6&gt;0,IF('پيش بيني عملكرد سود و زيان'!J26&gt;0,'پيش بيني عملكرد سود و زيان'!J26*مفروضات!I5*(100%-مفروضات!I6),0),IF('پيش بيني عملكرد سود و زيان'!J26&gt;0,'پيش بيني عملكرد سود و زيان'!J26*مفروضات!I5,0))</f>
        <v>0</v>
      </c>
      <c r="K27" s="652">
        <f>IF(مفروضات!J6&gt;0,IF('پيش بيني عملكرد سود و زيان'!K26&gt;0,'پيش بيني عملكرد سود و زيان'!K26*مفروضات!J5*(100%-مفروضات!J6),0),IF('پيش بيني عملكرد سود و زيان'!K26&gt;0,'پيش بيني عملكرد سود و زيان'!K26*مفروضات!J5,0))</f>
        <v>0</v>
      </c>
      <c r="L27" s="652">
        <f>IF(مفروضات!K6&gt;0,IF('پيش بيني عملكرد سود و زيان'!L26&gt;0,'پيش بيني عملكرد سود و زيان'!L26*مفروضات!K5*(100%-مفروضات!K6),0),IF('پيش بيني عملكرد سود و زيان'!L26&gt;0,'پيش بيني عملكرد سود و زيان'!L26*مفروضات!K5,0))</f>
        <v>0</v>
      </c>
      <c r="M27" s="655">
        <f>IF(مفروضات!L6&gt;0,IF('پيش بيني عملكرد سود و زيان'!M26&gt;0,'پيش بيني عملكرد سود و زيان'!M26*مفروضات!L5*(100%-مفروضات!L6),0),IF('پيش بيني عملكرد سود و زيان'!M26&gt;0,'پيش بيني عملكرد سود و زيان'!M26*مفروضات!L5,0))</f>
        <v>0</v>
      </c>
    </row>
    <row r="28" spans="1:13" s="211" customFormat="1" ht="20.100000000000001" customHeight="1">
      <c r="A28" s="1156" t="s">
        <v>285</v>
      </c>
      <c r="B28" s="1157"/>
      <c r="C28" s="763">
        <f t="shared" ref="C28:M28" si="5">C26-C27</f>
        <v>-224409949.86070454</v>
      </c>
      <c r="D28" s="763">
        <f t="shared" si="5"/>
        <v>-74409949.860704541</v>
      </c>
      <c r="E28" s="763">
        <f t="shared" si="5"/>
        <v>75590050.139295459</v>
      </c>
      <c r="F28" s="763">
        <f t="shared" si="5"/>
        <v>325590050.13929546</v>
      </c>
      <c r="G28" s="763">
        <f t="shared" si="5"/>
        <v>-524409937.86070454</v>
      </c>
      <c r="H28" s="763">
        <f t="shared" si="5"/>
        <v>-63519430.620000005</v>
      </c>
      <c r="I28" s="763">
        <f t="shared" si="5"/>
        <v>-63519430.620000005</v>
      </c>
      <c r="J28" s="763">
        <f t="shared" si="5"/>
        <v>-63519430.620000005</v>
      </c>
      <c r="K28" s="763">
        <f t="shared" si="5"/>
        <v>-63519430.620000005</v>
      </c>
      <c r="L28" s="763">
        <f t="shared" si="5"/>
        <v>-63519430.620000005</v>
      </c>
      <c r="M28" s="764">
        <f t="shared" si="5"/>
        <v>-62469580.620000005</v>
      </c>
    </row>
    <row r="29" spans="1:13" s="211" customFormat="1" ht="24.9" customHeight="1">
      <c r="A29" s="1156" t="s">
        <v>150</v>
      </c>
      <c r="B29" s="1157"/>
      <c r="C29" s="763"/>
      <c r="D29" s="763"/>
      <c r="E29" s="763"/>
      <c r="F29" s="763"/>
      <c r="G29" s="763"/>
      <c r="H29" s="763"/>
      <c r="I29" s="763"/>
      <c r="J29" s="763"/>
      <c r="K29" s="763"/>
      <c r="L29" s="763"/>
      <c r="M29" s="764"/>
    </row>
    <row r="30" spans="1:13" s="214" customFormat="1" ht="20.100000000000001" customHeight="1">
      <c r="A30" s="218">
        <v>21</v>
      </c>
      <c r="B30" s="219" t="s">
        <v>37</v>
      </c>
      <c r="C30" s="669">
        <f t="shared" ref="C30:M30" si="6">C11+C21</f>
        <v>467106357.24070454</v>
      </c>
      <c r="D30" s="669">
        <f t="shared" si="6"/>
        <v>467106357.24070454</v>
      </c>
      <c r="E30" s="669">
        <f t="shared" si="6"/>
        <v>467106357.24070454</v>
      </c>
      <c r="F30" s="669">
        <f t="shared" si="6"/>
        <v>467106357.24070454</v>
      </c>
      <c r="G30" s="669">
        <f t="shared" si="6"/>
        <v>467106357.24070454</v>
      </c>
      <c r="H30" s="669">
        <f t="shared" si="6"/>
        <v>6215850.0000000009</v>
      </c>
      <c r="I30" s="669">
        <f t="shared" si="6"/>
        <v>6215850.0000000009</v>
      </c>
      <c r="J30" s="669">
        <f t="shared" si="6"/>
        <v>6215850.0000000009</v>
      </c>
      <c r="K30" s="669">
        <f t="shared" si="6"/>
        <v>6215850.0000000009</v>
      </c>
      <c r="L30" s="669">
        <f t="shared" si="6"/>
        <v>6215850.0000000009</v>
      </c>
      <c r="M30" s="670">
        <f t="shared" si="6"/>
        <v>5166000.0000000009</v>
      </c>
    </row>
    <row r="31" spans="1:13" s="211" customFormat="1" ht="24.9" customHeight="1">
      <c r="A31" s="1156" t="s">
        <v>151</v>
      </c>
      <c r="B31" s="1157"/>
      <c r="C31" s="763"/>
      <c r="D31" s="763"/>
      <c r="E31" s="763"/>
      <c r="F31" s="763"/>
      <c r="G31" s="763"/>
      <c r="H31" s="763"/>
      <c r="I31" s="763"/>
      <c r="J31" s="763"/>
      <c r="K31" s="763"/>
      <c r="L31" s="763"/>
      <c r="M31" s="764"/>
    </row>
    <row r="32" spans="1:13" s="488" customFormat="1" ht="24.9" hidden="1" customHeight="1">
      <c r="A32" s="487"/>
      <c r="B32" s="489"/>
      <c r="C32" s="767">
        <v>1</v>
      </c>
      <c r="D32" s="767">
        <v>1</v>
      </c>
      <c r="E32" s="767">
        <v>2</v>
      </c>
      <c r="F32" s="767">
        <v>3</v>
      </c>
      <c r="G32" s="767">
        <v>4</v>
      </c>
      <c r="H32" s="767">
        <v>5</v>
      </c>
      <c r="I32" s="767">
        <v>6</v>
      </c>
      <c r="J32" s="767">
        <v>7</v>
      </c>
      <c r="K32" s="767">
        <v>8</v>
      </c>
      <c r="L32" s="767">
        <v>9</v>
      </c>
      <c r="M32" s="768">
        <v>10</v>
      </c>
    </row>
    <row r="33" spans="1:13" s="214" customFormat="1" ht="20.100000000000001" customHeight="1">
      <c r="A33" s="218">
        <v>22</v>
      </c>
      <c r="B33" s="219" t="s">
        <v>152</v>
      </c>
      <c r="C33" s="720">
        <f>IF(مفروضات!$T$4=TRUE,IF('منابع تامين سرمايه گذاري'!E24&gt;='پيش بيني عملكرد سود و زيان'!C3,0,'منابع تامين سرمايه گذاري'!E35*('پيش بيني عملكرد سود و زيان'!C3-'منابع تامين سرمايه گذاري'!E24)/12),تسهیلات!Q8)</f>
        <v>0</v>
      </c>
      <c r="D33" s="720">
        <f>IF(مفروضات!$T$4=TRUE,IF(('منابع تامين سرمايه گذاري'!$E$32-C3)&gt;0,IF(('منابع تامين سرمايه گذاري'!E32-C3)&gt;12,'منابع تامين سرمايه گذاري'!$E$35*D3/12,IF(('منابع تامين سرمايه گذاري'!$E$18-'پيش بيني عملكرد سود و زيان'!$C$33)&gt;='منابع تامين سرمايه گذاري'!$E$35,'منابع تامين سرمايه گذاري'!$E$35,('منابع تامين سرمايه گذاري'!$E$18-'پيش بيني عملكرد سود و زيان'!$C$33))),IF('منابع تامين سرمايه گذاري'!E32-C3=0,IF(C33='منابع تامين سرمايه گذاري'!$E$18,0,'منابع تامين سرمايه گذاري'!$E$18-C33),0)),تسهیلات!R8)</f>
        <v>0</v>
      </c>
      <c r="E33" s="720">
        <f>IF(مفروضات!$T$4=TRUE,IF(('منابع تامين سرمايه گذاري'!$E$32-C3-D3)&gt;0,IF(('منابع تامين سرمايه گذاري'!$E$32-C3-D3)&gt;12,'منابع تامين سرمايه گذاري'!$E$35*E3/12,IF(('منابع تامين سرمايه گذاري'!$E$18-'پيش بيني عملكرد سود و زيان'!$C$33-'منابع تامين سرمايه گذاري'!$E$35*D32)&gt;='منابع تامين سرمايه گذاري'!$E$35,'منابع تامين سرمايه گذاري'!$E$35,('منابع تامين سرمايه گذاري'!$E$18-'پيش بيني عملكرد سود و زيان'!$C$33-'منابع تامين سرمايه گذاري'!$E$35*D32))),IF('منابع تامين سرمايه گذاري'!E32-C3-D3=0,IF(C33+D33='منابع تامين سرمايه گذاري'!$E$18,0,'منابع تامين سرمايه گذاري'!$E$18-C33-D33),0)),تسهیلات!S8)</f>
        <v>0</v>
      </c>
      <c r="F33" s="720">
        <f>IF(مفروضات!$T$4=TRUE,IF(('منابع تامين سرمايه گذاري'!$E$32-C3-D3-E3)&gt;=0,IF(('منابع تامين سرمايه گذاري'!$E$32-C3-D32-E3)&gt;=12,'منابع تامين سرمايه گذاري'!$E$35*F3/12,IF('منابع تامين سرمايه گذاري'!$E$18-'پيش بيني عملكرد سود و زيان'!$C$33-'منابع تامين سرمايه گذاري'!$E$35*E32&gt;='منابع تامين سرمايه گذاري'!$E$35,'منابع تامين سرمايه گذاري'!$E$35,('منابع تامين سرمايه گذاري'!$E$18-'پيش بيني عملكرد سود و زيان'!$C$33-'منابع تامين سرمايه گذاري'!$E$35*E32))),IF('منابع تامين سرمايه گذاري'!$E$32-C3-D3-E3=0,IF(E33='منابع تامين سرمايه گذاري'!$E$18,0,'منابع تامين سرمايه گذاري'!E18-'پيش بيني عملكرد سود و زيان'!E33),0)),تسهیلات!T8)</f>
        <v>0</v>
      </c>
      <c r="G33" s="720">
        <f>IF(مفروضات!$T$4=TRUE,IF(('منابع تامين سرمايه گذاري'!$E$32-C3-D3-E3-F3)&gt;=0,IF(('منابع تامين سرمايه گذاري'!$E$32-C3-D3-E3-F3)&gt;=12,'منابع تامين سرمايه گذاري'!$E$35*G3/12,IF('منابع تامين سرمايه گذاري'!$E$18-'پيش بيني عملكرد سود و زيان'!$C$33-'منابع تامين سرمايه گذاري'!$E$35*F32&gt;='منابع تامين سرمايه گذاري'!$E$35,'منابع تامين سرمايه گذاري'!$E$35,('منابع تامين سرمايه گذاري'!$E$18-'پيش بيني عملكرد سود و زيان'!$C$33-'منابع تامين سرمايه گذاري'!$E$35*F32))),IF('منابع تامين سرمايه گذاري'!$E$32-C3-D3-E3-F3=0,IF(F33='منابع تامين سرمايه گذاري'!$E$18,0,'منابع تامين سرمايه گذاري'!E18-'پيش بيني عملكرد سود و زيان'!F33),0)),تسهیلات!U8)</f>
        <v>0</v>
      </c>
      <c r="H33" s="720">
        <f>IF(مفروضات!$T$4=TRUE,IF(('منابع تامين سرمايه گذاري'!$E$32-C3-D3-E3-F3-G3)&gt;=0,IF(('منابع تامين سرمايه گذاري'!$E$32-C3-D3-E3-F3-G3)&gt;=12,'منابع تامين سرمايه گذاري'!$E$35*H3/12,IF('منابع تامين سرمايه گذاري'!$E$18-'پيش بيني عملكرد سود و زيان'!$C$33-'منابع تامين سرمايه گذاري'!$E$35*G32&gt;='منابع تامين سرمايه گذاري'!$E$35,'منابع تامين سرمايه گذاري'!$E$35,('منابع تامين سرمايه گذاري'!$E$18-'پيش بيني عملكرد سود و زيان'!$C$33-'منابع تامين سرمايه گذاري'!$E$35*G32))),IF('منابع تامين سرمايه گذاري'!$E$32-C3-D3-E3-F3-G3=0,IF(G33='منابع تامين سرمايه گذاري'!$E$18,0,'منابع تامين سرمايه گذاري'!E18-'پيش بيني عملكرد سود و زيان'!G33),0)),تسهیلات!V8)</f>
        <v>0</v>
      </c>
      <c r="I33" s="720">
        <f>IF(مفروضات!$T$4=TRUE,IF(('منابع تامين سرمايه گذاري'!$E$32-C3-D3-E3-F3-G3-H3)&gt;=0,IF(('منابع تامين سرمايه گذاري'!$E$32-C3-D3-E3-F3-G3-H3)&gt;=12,'منابع تامين سرمايه گذاري'!$E$35*I3/12,IF('منابع تامين سرمايه گذاري'!$E$18-'پيش بيني عملكرد سود و زيان'!$C$33-'منابع تامين سرمايه گذاري'!$E$35*H32&gt;='منابع تامين سرمايه گذاري'!$E$34,'منابع تامين سرمايه گذاري'!$E$34,('منابع تامين سرمايه گذاري'!$E$18-'پيش بيني عملكرد سود و زيان'!$C$33-'منابع تامين سرمايه گذاري'!$E$35*H32))),IF('منابع تامين سرمايه گذاري'!$E$32-C3-D3-E3-F3-G3-H3=0,IF(H33='منابع تامين سرمايه گذاري'!$E$18,0,'منابع تامين سرمايه گذاري'!E18-'پيش بيني عملكرد سود و زيان'!H33),0)),تسهیلات!W8)</f>
        <v>0</v>
      </c>
      <c r="J33" s="720">
        <f>IF(مفروضات!$T$4=TRUE,IF(('منابع تامين سرمايه گذاري'!$E$32-C3-D3-E3-F3-G3-H3-I3)&gt;=0,IF(('منابع تامين سرمايه گذاري'!$E$32-C3-D3-E3-F3-G3-H3-I3)&gt;=12,'منابع تامين سرمايه گذاري'!$E$35*J3/12,IF('منابع تامين سرمايه گذاري'!$E$18-'پيش بيني عملكرد سود و زيان'!$C$33-'منابع تامين سرمايه گذاري'!$E$35*I32&gt;='منابع تامين سرمايه گذاري'!$E$35,'منابع تامين سرمايه گذاري'!$E$35,('منابع تامين سرمايه گذاري'!$E$18-'پيش بيني عملكرد سود و زيان'!$C$33-'منابع تامين سرمايه گذاري'!$E$35*I32))),IF('منابع تامين سرمايه گذاري'!$E$32-C3-D3-E3-F3-G3-H3-I3=0,IF(I33='منابع تامين سرمايه گذاري'!$E$18,0,'منابع تامين سرمايه گذاري'!E18-'پيش بيني عملكرد سود و زيان'!I33),0)),تسهیلات!X8)</f>
        <v>0</v>
      </c>
      <c r="K33" s="720">
        <v>0</v>
      </c>
      <c r="L33" s="720">
        <v>0</v>
      </c>
      <c r="M33" s="721">
        <v>0</v>
      </c>
    </row>
    <row r="34" spans="1:13" ht="20.100000000000001" hidden="1" customHeight="1">
      <c r="A34" s="212">
        <v>24</v>
      </c>
      <c r="B34" s="217" t="s">
        <v>153</v>
      </c>
      <c r="C34" s="720">
        <f>'منابع تامين سرمايه گذاري'!E51*'برآورد فروش'!B3/12</f>
        <v>1345262.9729751665</v>
      </c>
      <c r="D34" s="720">
        <v>0</v>
      </c>
      <c r="E34" s="720">
        <f>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</f>
        <v>0</v>
      </c>
      <c r="F34" s="720">
        <f>IF(('منابع تامين سرمايه گذاري'!E48-C3-D3-E3)&gt;0,IF(('منابع تامين سرمايه گذاري'!E48-C3-D3-E3)&gt;12,'منابع تامين سرمايه گذاري'!E51*F3/12,IF(('منابع تامين سرمايه گذاري'!E41-'پيش بيني عملكرد سود و زيان'!C34-'منابع تامين سرمايه گذاري'!E51*E32)&gt;='منابع تامين سرمايه گذاري'!E51,'منابع تامين سرمايه گذاري'!E51,('منابع تامين سرمايه گذاري'!E41-'پيش بيني عملكرد سود و زيان'!$C$34-'منابع تامين سرمايه گذاري'!E51*E32))),IF('منابع تامين سرمايه گذاري'!E48-C3-D3-E3=0,IF(C34+D34+E34='منابع تامين سرمايه گذاري'!E41,0,'منابع تامين سرمايه گذاري'!E41-C34-D34-E34),0))</f>
        <v>0</v>
      </c>
      <c r="G34" s="720">
        <f>IF(('منابع تامين سرمايه گذاري'!E48-C3-D3-E3-F3)&gt;0,IF(('منابع تامين سرمايه گذاري'!E48-C3-D3-E3-F3)&gt;12,'منابع تامين سرمايه گذاري'!E51*G3/12,IF(('منابع تامين سرمايه گذاري'!E41-'پيش بيني عملكرد سود و زيان'!C34-'منابع تامين سرمايه گذاري'!E51*F32)&gt;='منابع تامين سرمايه گذاري'!E51,'منابع تامين سرمايه گذاري'!E51,('منابع تامين سرمايه گذاري'!E41-'پيش بيني عملكرد سود و زيان'!$C$34-'منابع تامين سرمايه گذاري'!E51*F32))),IF('منابع تامين سرمايه گذاري'!E48-C3-D3-E3-F3=0,IF(C34+D34+E34+F34='منابع تامين سرمايه گذاري'!E41,0,'منابع تامين سرمايه گذاري'!E41-C34-D34-E34-F34),0))</f>
        <v>0</v>
      </c>
      <c r="H34" s="720">
        <f>IF(('منابع تامين سرمايه گذاري'!E48-C3-D3-E3-F3-G3)&gt;0,IF(('منابع تامين سرمايه گذاري'!E48-C3-D3-E3-F3-G3)&gt;12,'منابع تامين سرمايه گذاري'!E51*H3/12,IF(('منابع تامين سرمايه گذاري'!E41-'پيش بيني عملكرد سود و زيان'!C34-'منابع تامين سرمايه گذاري'!E51*G32)&gt;='منابع تامين سرمايه گذاري'!E51,'منابع تامين سرمايه گذاري'!E51,('منابع تامين سرمايه گذاري'!E41-'پيش بيني عملكرد سود و زيان'!$C$34-'منابع تامين سرمايه گذاري'!E51*G32))),IF('منابع تامين سرمايه گذاري'!E48-C3-D3-E3-F3-G3=0,IF(C34+D34+E34+F34+G34='منابع تامين سرمايه گذاري'!E41,0,'منابع تامين سرمايه گذاري'!E41-C34-D34-E34-F34-G34),0))</f>
        <v>0</v>
      </c>
      <c r="I34" s="720">
        <f>IF(('منابع تامين سرمايه گذاري'!E48-C3-D3-E3-F3-G3-H3)&gt;0,IF(('منابع تامين سرمايه گذاري'!E48-C3-D3-E3-F3-G3-H3)&gt;12,'منابع تامين سرمايه گذاري'!E51*I3/12,IF(('منابع تامين سرمايه گذاري'!E41-'پيش بيني عملكرد سود و زيان'!C34-'منابع تامين سرمايه گذاري'!E51*H32)&gt;='منابع تامين سرمايه گذاري'!E51,'منابع تامين سرمايه گذاري'!E51,('منابع تامين سرمايه گذاري'!E41-'پيش بيني عملكرد سود و زيان'!$C$34-'منابع تامين سرمايه گذاري'!E51*H32))),IF('منابع تامين سرمايه گذاري'!E48-C3-D3-E3-F3-G3-H3=0,IF(C34+D34+E34+F34+G34+H34='منابع تامين سرمايه گذاري'!E41,0,'منابع تامين سرمايه گذاري'!E41-C34-D34-E34-F34-G34-H34),0))</f>
        <v>0</v>
      </c>
      <c r="J34" s="720">
        <f>IF(('منابع تامين سرمايه گذاري'!E48-C3-D3-E3-F3-G3-H3-I3)&gt;0,IF(('منابع تامين سرمايه گذاري'!E48-C3-D3-E3-F3-G3-H3-I3)&gt;12,'منابع تامين سرمايه گذاري'!E51*J3/12,IF(('منابع تامين سرمايه گذاري'!E41-'پيش بيني عملكرد سود و زيان'!C34-'منابع تامين سرمايه گذاري'!E51*I32)&gt;='منابع تامين سرمايه گذاري'!E51,'منابع تامين سرمايه گذاري'!E51,('منابع تامين سرمايه گذاري'!E41-'پيش بيني عملكرد سود و زيان'!$C$34-'منابع تامين سرمايه گذاري'!E51*I32))),IF('منابع تامين سرمايه گذاري'!E48-C3-D3-E3-F3-G3-H3-I3=0,IF(C34+D34+E34+F34+G34+H34+I34='منابع تامين سرمايه گذاري'!E41,0,'منابع تامين سرمايه گذاري'!E41-C34-D34-E34-F34-G34-H34-I34),0))</f>
        <v>0</v>
      </c>
      <c r="K34" s="720">
        <f>IF(('منابع تامين سرمايه گذاري'!E48-C3-D3-E3-F3-G3-H3-I3-J3)&gt;0,IF(('منابع تامين سرمايه گذاري'!E48-C3-D3-E3-F3-G3-H3-I3-J3)&gt;12,'منابع تامين سرمايه گذاري'!E51*K3/12,IF(('منابع تامين سرمايه گذاري'!E41-'پيش بيني عملكرد سود و زيان'!C34-'منابع تامين سرمايه گذاري'!E51*J32)&gt;='منابع تامين سرمايه گذاري'!E51,'منابع تامين سرمايه گذاري'!E51,('منابع تامين سرمايه گذاري'!E41-'پيش بيني عملكرد سود و زيان'!$C$34-'منابع تامين سرمايه گذاري'!E51*J32))),IF('منابع تامين سرمايه گذاري'!E48-C3-D3-E3-F3-G3-H3-I3-J3=0,IF(C34+D34+E34+F34+G34+H34+I34+J34='منابع تامين سرمايه گذاري'!E41,0,'منابع تامين سرمايه گذاري'!E41-C34-D34-E34-F34-G34-H34-I34-J34),0))</f>
        <v>0</v>
      </c>
      <c r="L34" s="720">
        <f>IF(('منابع تامين سرمايه گذاري'!E48-C3-D3-E3-F3-G3-H3-I3-J3-K3)&gt;0,IF(('منابع تامين سرمايه گذاري'!E48-C3-D3-E3-F3-G3-H3-I3-J3-K3)&gt;12,'منابع تامين سرمايه گذاري'!E51*L3/12,IF(('منابع تامين سرمايه گذاري'!E41-'پيش بيني عملكرد سود و زيان'!C34-'منابع تامين سرمايه گذاري'!E51*K32)&gt;='منابع تامين سرمايه گذاري'!E51,'منابع تامين سرمايه گذاري'!E51,('منابع تامين سرمايه گذاري'!E41-'پيش بيني عملكرد سود و زيان'!$C$34-'منابع تامين سرمايه گذاري'!E51*K32))),IF('منابع تامين سرمايه گذاري'!E48-C3-D3-E3-F3-G3-H3-I3-J3-K3=0,IF(C34+D34+E34+F34+G34+H34+I34+J34+K34='منابع تامين سرمايه گذاري'!E41,0,'منابع تامين سرمايه گذاري'!E41-C34-D34-E34-F34-G34-H34-I34-J34-K34),0))</f>
        <v>0</v>
      </c>
      <c r="M34" s="721">
        <f>IF(('منابع تامين سرمايه گذاري'!E48-C3-D3-E3-F3-G3-H3-I3-J3-K3-L3)&gt;0,IF(('منابع تامين سرمايه گذاري'!E48-C3-D3-E3-F3-G3-H3-I3-J3-K3-L3)&gt;12,'منابع تامين سرمايه گذاري'!E51*M3/12,IF(('منابع تامين سرمايه گذاري'!E41-'پيش بيني عملكرد سود و زيان'!C34-'منابع تامين سرمايه گذاري'!E51*L32)&gt;='منابع تامين سرمايه گذاري'!E51,'منابع تامين سرمايه گذاري'!E51,('منابع تامين سرمايه گذاري'!E41-'پيش بيني عملكرد سود و زيان'!$C$34-'منابع تامين سرمايه گذاري'!E51*L32))),IF('منابع تامين سرمايه گذاري'!E48-C3-D3-E3-F3-G3-H3-I3-J3-K3-L3=0,IF(C34+D34+E34+F34+G34+H34+I34+J34+K34+L34='منابع تامين سرمايه گذاري'!E41,0,'منابع تامين سرمايه گذاري'!E41-C34-D34-E34-F34-G34-H34-I34-J34-K34-L34),0))</f>
        <v>0</v>
      </c>
    </row>
    <row r="35" spans="1:13" ht="20.100000000000001" hidden="1" customHeight="1">
      <c r="A35" s="530"/>
      <c r="B35" s="531"/>
      <c r="C35" s="769"/>
      <c r="D35" s="769">
        <f>IF(مفروضات!$T$11=FALSE,0,'منابع تامين سرمايه گذاري'!E51*'برآورد فروش'!B3/12)</f>
        <v>0</v>
      </c>
      <c r="E35" s="769">
        <f>IF(مفروضات!$T$11=FALSE,0,IF(('منابع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  <c r="F35" s="769">
        <f>IF(مفروضات!$T$11=FALSE,0,IF(('منابع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گذاري'!E41-C34-D34),0)))</f>
        <v>0</v>
      </c>
      <c r="G35" s="769">
        <f>IF(مفروضات!$T$11=FALSE,0,IF(('منابع تامين سرمايه گذاري'!E48-C3-D3-E3)&gt;0,IF(('منابع تامين سرمايه گذاري'!E48-C3-D3-E3)&gt;12,'منابع تامين سرمايه گذاري'!E51*F3/12,IF(('منابع تامين سرمايه گذاري'!E41-'پيش بيني عملكرد سود و زيان'!C34-'منابع تامين سرمايه گذاري'!E51*E32)&gt;='منابع تامين سرمايه گذاري'!E51,'منابع تامين سرمايه گذاري'!E51,('منابع تامين سرمايه گذاري'!E41-'پيش بيني عملكرد سود و زيان'!$C$34-'منابع تامين سرمايه گذاري'!E51*E32))),IF('منابع تامين سرمايه گذاري'!E48-C3-D3-E3=0,IF(C34+D34+E34='منابع تامين سرمايه گذاري'!E41,0,'منابع تامين سرمايه گذاري'!E41-C34-D34-E34),0)))</f>
        <v>0</v>
      </c>
      <c r="H35" s="769">
        <f>IF(مفروضات!$T$11=FALSE,0,IF(('منابع تامين سرمايه گذاري'!E48-C3-D3-E3-F3)&gt;0,IF(('منابع تامين سرمايه گذاري'!E48-C3-D3-E3-F3)&gt;12,'منابع تامين سرمايه گذاري'!E51*G3/12,IF(('منابع تامين سرمايه گذاري'!E41-'پيش بيني عملكرد سود و زيان'!C34-'منابع تامين سرمايه گذاري'!E51*F32)&gt;='منابع تامين سرمايه گذاري'!E51,'منابع تامين سرمايه گذاري'!E51,('منابع تامين سرمايه گذاري'!E41-'پيش بيني عملكرد سود و زيان'!$C$34-'منابع تامين سرمايه گذاري'!E51*F32))),IF('منابع تامين سرمايه گذاري'!E48-C3-D3-E3-F3=0,IF(C34+D34+E34+F34='منابع تامين سرمايه گذاري'!E41,0,'منابع تامين سرمايه گذاري'!E41-C34-D34-E34-F34),0)))</f>
        <v>0</v>
      </c>
      <c r="I35" s="769">
        <f>IF(مفروضات!$T$11=FALSE,0,IF(('منابع تامين سرمايه گذاري'!E48-C3-D3-E3-F3-G3)&gt;0,IF(('منابع تامين سرمايه گذاري'!E48-C3-D3-E3-F3-G3)&gt;12,'منابع تامين سرمايه گذاري'!E51*H3/12,IF(('منابع تامين سرمايه گذاري'!E41-'پيش بيني عملكرد سود و زيان'!C34-'منابع تامين سرمايه گذاري'!E51*G32)&gt;='منابع تامين سرمايه گذاري'!E51,'منابع تامين سرمايه گذاري'!E51,('منابع تامين سرمايه گذاري'!E41-'پيش بيني عملكرد سود و زيان'!$C$34-'منابع تامين سرمايه گذاري'!E51*G32))),IF('منابع تامين سرمايه گذاري'!E48-C3-D3-E3-F3-G3=0,IF(C34+D34+E34+F34+G34='منابع تامين سرمايه گذاري'!E41,0,'منابع تامين سرمايه گذاري'!E41-C34-D34-E34-F34-G34),0)))</f>
        <v>0</v>
      </c>
      <c r="J35" s="769">
        <f>IF(مفروضات!$T$11=FALSE,0,IF(('منابع تامين سرمايه گذاري'!E48-C3-D3-E3-F3-G3-H3)&gt;0,IF(('منابع تامين سرمايه گذاري'!E48-C3-D3-E3-F3-G3-H3)&gt;12,'منابع تامين سرمايه گذاري'!E51*I3/12,IF(('منابع تامين سرمايه گذاري'!E41-'پيش بيني عملكرد سود و زيان'!C34-'منابع تامين سرمايه گذاري'!E51*H32)&gt;='منابع تامين سرمايه گذاري'!E51,'منابع تامين سرمايه گذاري'!E51,('منابع تامين سرمايه گذاري'!E41-'پيش بيني عملكرد سود و زيان'!$C$34-'منابع تامين سرمايه گذاري'!E51*H32))),IF('منابع تامين سرمايه گذاري'!E48-C3-D3-E3-F3-G3-H3=0,IF(C34+D34+E34+F34+G34+H34='منابع تامين سرمايه گذاري'!E41,0,'منابع تامين سرمايه گذاري'!E41-C34-D34-E34-F34-G34-H34),0)))</f>
        <v>0</v>
      </c>
      <c r="K35" s="769">
        <f>IF(مفروضات!$T$11=FALSE,0,IF(('منابع تامين سرمايه گذاري'!E48-C3-D3-E3-F3-G3-H3-I3)&gt;0,IF(('منابع تامين سرمايه گذاري'!E48-C3-D3-E3-F3-G3-H3-I3)&gt;12,'منابع تامين سرمايه گذاري'!E51*J3/12,IF(('منابع تامين سرمايه گذاري'!E41-'پيش بيني عملكرد سود و زيان'!C34-'منابع تامين سرمايه گذاري'!E51*I32)&gt;='منابع تامين سرمايه گذاري'!E51,'منابع تامين سرمايه گذاري'!E51,('منابع تامين سرمايه گذاري'!E41-'پيش بيني عملكرد سود و زيان'!$C$34-'منابع تامين سرمايه گذاري'!E51*I32))),IF('منابع تامين سرمايه گذاري'!E48-C3-D3-E3-F3-G3-H3-I3=0,IF(C34+D34+E34+F34+G34+H34+I34='منابع تامين سرمايه گذاري'!E41,0,'منابع تامين سرمايه گذاري'!E41-C34-D34-E34-F34-G34-H34-I34),0)))</f>
        <v>0</v>
      </c>
      <c r="L35" s="769">
        <f>IF(مفروضات!$T$11=FALSE,0,IF(('منابع تامين سرمايه گذاري'!E48-C3-D3-E3-F3-G3-H3-I3-J3)&gt;0,IF(('منابع تامين سرمايه گذاري'!E48-C3-D3-E3-F3-G3-H3-I3-J3)&gt;12,'منابع تامين سرمايه گذاري'!E51*K3/12,IF(('منابع تامين سرمايه گذاري'!E41-'پيش بيني عملكرد سود و زيان'!C34-'منابع تامين سرمايه گذاري'!E51*J32)&gt;='منابع تامين سرمايه گذاري'!E51,'منابع تامين سرمايه گذاري'!E51,('منابع تامين سرمايه گذاري'!E41-'پيش بيني عملكرد سود و زيان'!$C$34-'منابع تامين سرمايه گذاري'!E51*J32))),IF('منابع تامين سرمايه گذاري'!E48-C3-D3-E3-F3-G3-H3-I3-J3=0,IF(C34+D34+E34+F34+G34+H34+I34+J34='منابع تامين سرمايه گذاري'!E41,0,'منابع تامين سرمايه گذاري'!E41-C34-D34-E34-F34-G34-H34-I34-J34),0)))</f>
        <v>0</v>
      </c>
      <c r="M35" s="770">
        <f>IF(مفروضات!$T$11=FALSE,0,IF(('منابع تامين سرمايه گذاري'!E48-C3-D3-E3-F3-G3-H3-I3-J3-K3)&gt;0,IF(('منابع تامين سرمايه گذاري'!E48-C3-D3-E3-F3-G3-H3-I3-J3-K3)&gt;12,'منابع تامين سرمايه گذاري'!E51*L3/12,IF(('منابع تامين سرمايه گذاري'!E41-'پيش بيني عملكرد سود و زيان'!C34-'منابع تامين سرمايه گذاري'!E51*K32)&gt;='منابع تامين سرمايه گذاري'!E51,'منابع تامين سرمايه گذاري'!E51,('منابع تامين سرمايه گذاري'!E41-'پيش بيني عملكرد سود و زيان'!$C$34-'منابع تامين سرمايه گذاري'!E51*K32))),IF('منابع تامين سرمايه گذاري'!E48-C3-D3-E3-F3-G3-H3-I3-J3-K3=0,IF(C34+D34+E34+F34+G34+H34+I34+J34+K34='منابع تامين سرمايه گذاري'!E41,0,'منابع تامين سرمايه گذاري'!E41-C34-D34-E34-F34-G34-H34-I34-J34-K34),0)))</f>
        <v>0</v>
      </c>
    </row>
    <row r="36" spans="1:13" ht="20.100000000000001" hidden="1" customHeight="1">
      <c r="A36" s="530"/>
      <c r="B36" s="531"/>
      <c r="C36" s="769"/>
      <c r="D36" s="769"/>
      <c r="E36" s="769">
        <f>IF(مفروضات!$T$12=FALSE,0,'منابع تامين سرمايه گذاري'!E51*'برآورد فروش'!B3/12)</f>
        <v>0</v>
      </c>
      <c r="F36" s="769">
        <f>IF(مفروضات!$T$12=FALSE,0,IF(('منابع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  <c r="G36" s="769">
        <f>IF(مفروضات!$T$12=FALSE,0,IF(('منابع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گذاري'!E41-C34-D34),0)))</f>
        <v>0</v>
      </c>
      <c r="H36" s="769">
        <f>IF(مفروضات!$T$12=FALSE,0,IF(('منابع تامين سرمايه گذاري'!E48-C3-D3-E3)&gt;0,IF(('منابع تامين سرمايه گذاري'!E48-C3-D3-E3)&gt;12,'منابع تامين سرمايه گذاري'!E51*F3/12,IF(('منابع تامين سرمايه گذاري'!E41-'پيش بيني عملكرد سود و زيان'!C34-'منابع تامين سرمايه گذاري'!E51*E32)&gt;='منابع تامين سرمايه گذاري'!E51,'منابع تامين سرمايه گذاري'!E51,('منابع تامين سرمايه گذاري'!E41-'پيش بيني عملكرد سود و زيان'!$C$34-'منابع تامين سرمايه گذاري'!E51*E32))),IF('منابع تامين سرمايه گذاري'!E48-C3-D3-E3=0,IF(C34+D34+E34='منابع تامين سرمايه گذاري'!E41,0,'منابع تامين سرمايه گذاري'!E41-C34-D34-E34),0)))</f>
        <v>0</v>
      </c>
      <c r="I36" s="769">
        <f>IF(مفروضات!$T$12=FALSE,0,IF(('منابع تامين سرمايه گذاري'!E48-C3-D3-E3-F3)&gt;0,IF(('منابع تامين سرمايه گذاري'!E48-C3-D3-E3-F3)&gt;12,'منابع تامين سرمايه گذاري'!E51*G3/12,IF(('منابع تامين سرمايه گذاري'!E41-'پيش بيني عملكرد سود و زيان'!C34-'منابع تامين سرمايه گذاري'!E51*F32)&gt;='منابع تامين سرمايه گذاري'!E51,'منابع تامين سرمايه گذاري'!E51,('منابع تامين سرمايه گذاري'!E41-'پيش بيني عملكرد سود و زيان'!$C$34-'منابع تامين سرمايه گذاري'!E51*F32))),IF('منابع تامين سرمايه گذاري'!E48-C3-D3-E3-F3=0,IF(C34+D34+E34+F34='منابع تامين سرمايه گذاري'!E41,0,'منابع تامين سرمايه گذاري'!E41-C34-D34-E34-F34),0)))</f>
        <v>0</v>
      </c>
      <c r="J36" s="769">
        <f>IF(مفروضات!$T$12=FALSE,0,IF(('منابع تامين سرمايه گذاري'!E48-C3-D3-E3-F3-G3)&gt;0,IF(('منابع تامين سرمايه گذاري'!E48-C3-D3-E3-F3-G3)&gt;12,'منابع تامين سرمايه گذاري'!E51*H3/12,IF(('منابع تامين سرمايه گذاري'!E41-'پيش بيني عملكرد سود و زيان'!C34-'منابع تامين سرمايه گذاري'!E51*G32)&gt;='منابع تامين سرمايه گذاري'!E51,'منابع تامين سرمايه گذاري'!E51,('منابع تامين سرمايه گذاري'!E41-'پيش بيني عملكرد سود و زيان'!$C$34-'منابع تامين سرمايه گذاري'!E51*G32))),IF('منابع تامين سرمايه گذاري'!E48-C3-D3-E3-F3-G3=0,IF(C34+D34+E34+F34+G34='منابع تامين سرمايه گذاري'!E41,0,'منابع تامين سرمايه گذاري'!E41-C34-D34-E34-F34-G34),0)))</f>
        <v>0</v>
      </c>
      <c r="K36" s="769">
        <f>IF(مفروضات!$T$12=FALSE,0,IF(('منابع تامين سرمايه گذاري'!E48-C3-D3-E3-F3-G3-H3)&gt;0,IF(('منابع تامين سرمايه گذاري'!E48-C3-D3-E3-F3-G3-H3)&gt;12,'منابع تامين سرمايه گذاري'!E51*I3/12,IF(('منابع تامين سرمايه گذاري'!E41-'پيش بيني عملكرد سود و زيان'!C34-'منابع تامين سرمايه گذاري'!E51*H32)&gt;='منابع تامين سرمايه گذاري'!E51,'منابع تامين سرمايه گذاري'!E51,('منابع تامين سرمايه گذاري'!E41-'پيش بيني عملكرد سود و زيان'!$C$34-'منابع تامين سرمايه گذاري'!E51*H32))),IF('منابع تامين سرمايه گذاري'!E48-C3-D3-E3-F3-G3-H3=0,IF(C34+D34+E34+F34+G34+H34='منابع تامين سرمايه گذاري'!E41,0,'منابع تامين سرمايه گذاري'!E41-C34-D34-E34-F34-G34-H34),0)))</f>
        <v>0</v>
      </c>
      <c r="L36" s="769">
        <f>IF(مفروضات!$T$12=FALSE,0,IF(('منابع تامين سرمايه گذاري'!E48-C3-D3-E3-F3-G3-H3-I3)&gt;0,IF(('منابع تامين سرمايه گذاري'!E48-C3-D3-E3-F3-G3-H3-I3)&gt;12,'منابع تامين سرمايه گذاري'!E51*J3/12,IF(('منابع تامين سرمايه گذاري'!E41-'پيش بيني عملكرد سود و زيان'!C34-'منابع تامين سرمايه گذاري'!E51*I32)&gt;='منابع تامين سرمايه گذاري'!E51,'منابع تامين سرمايه گذاري'!E51,('منابع تامين سرمايه گذاري'!E41-'پيش بيني عملكرد سود و زيان'!$C$34-'منابع تامين سرمايه گذاري'!E51*I32))),IF('منابع تامين سرمايه گذاري'!E48-C3-D3-E3-F3-G3-H3-I3=0,IF(C34+D34+E34+F34+G34+H34+I34='منابع تامين سرمايه گذاري'!E41,0,'منابع تامين سرمايه گذاري'!E41-C34-D34-E34-F34-G34-H34-I34),0)))</f>
        <v>0</v>
      </c>
      <c r="M36" s="770">
        <f>IF(مفروضات!$T$12=FALSE,0,IF(('منابع تامين سرمايه گذاري'!E48-C3-D3-E3-F3-G3-H3-I3-J3)&gt;0,IF(('منابع تامين سرمايه گذاري'!E48-C3-D3-E3-F3-G3-H3-I3-J3)&gt;12,'منابع تامين سرمايه گذاري'!E51*K3/12,IF(('منابع تامين سرمايه گذاري'!E41-'پيش بيني عملكرد سود و زيان'!C34-'منابع تامين سرمايه گذاري'!E51*J32)&gt;='منابع تامين سرمايه گذاري'!E51,'منابع تامين سرمايه گذاري'!E51,('منابع تامين سرمايه گذاري'!E41-'پيش بيني عملكرد سود و زيان'!$C$34-'منابع تامين سرمايه گذاري'!E51*J32))),IF('منابع تامين سرمايه گذاري'!E48-C3-D3-E3-F3-G3-H3-I3-J3=0,IF(C34+D34+E34+F34+G34+H34+I34+J34='منابع تامين سرمايه گذاري'!E41,0,'منابع تامين سرمايه گذاري'!E41-C34-D34-E34-F34-G34-H34-I34-J34),0)))</f>
        <v>0</v>
      </c>
    </row>
    <row r="37" spans="1:13" ht="20.100000000000001" hidden="1" customHeight="1">
      <c r="A37" s="530"/>
      <c r="B37" s="531"/>
      <c r="C37" s="769"/>
      <c r="D37" s="769"/>
      <c r="E37" s="769"/>
      <c r="F37" s="769">
        <f>IF(مفروضات!$T$13=FALSE,0,'منابع تامين سرمايه گذاري'!E51*'برآورد فروش'!B3/12)</f>
        <v>0</v>
      </c>
      <c r="G37" s="769">
        <f>IF(مفروضات!$T$13=FALSE,0,IF(('منابع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  <c r="H37" s="769">
        <f>IF(مفروضات!$T$13=FALSE,0,IF(('منابع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گذاري'!E41-C34-D34),0)))</f>
        <v>0</v>
      </c>
      <c r="I37" s="769">
        <f>IF(مفروضات!$T$13=FALSE,0,IF(('منابع تامين سرمايه گذاري'!E48-C3-D3-E3)&gt;0,IF(('منابع تامين سرمايه گذاري'!E48-C3-D3-E3)&gt;12,'منابع تامين سرمايه گذاري'!E51*F3/12,IF(('منابع تامين سرمايه گذاري'!E41-'پيش بيني عملكرد سود و زيان'!C34-'منابع تامين سرمايه گذاري'!E51*E32)&gt;='منابع تامين سرمايه گذاري'!E51,'منابع تامين سرمايه گذاري'!E51,('منابع تامين سرمايه گذاري'!E41-'پيش بيني عملكرد سود و زيان'!$C$34-'منابع تامين سرمايه گذاري'!E51*E32))),IF('منابع تامين سرمايه گذاري'!E48-C3-D3-E3=0,IF(C34+D34+E34='منابع تامين سرمايه گذاري'!E41,0,'منابع تامين سرمايه گذاري'!E41-C34-D34-E34),0)))</f>
        <v>0</v>
      </c>
      <c r="J37" s="769">
        <f>IF(مفروضات!$T$13=FALSE,0,IF(('منابع تامين سرمايه گذاري'!E48-C3-D3-E3-F3)&gt;0,IF(('منابع تامين سرمايه گذاري'!E48-C3-D3-E3-F3)&gt;12,'منابع تامين سرمايه گذاري'!E51*G3/12,IF(('منابع تامين سرمايه گذاري'!E41-'پيش بيني عملكرد سود و زيان'!C34-'منابع تامين سرمايه گذاري'!E51*F32)&gt;='منابع تامين سرمايه گذاري'!E51,'منابع تامين سرمايه گذاري'!E51,('منابع تامين سرمايه گذاري'!E41-'پيش بيني عملكرد سود و زيان'!$C$34-'منابع تامين سرمايه گذاري'!E51*F32))),IF('منابع تامين سرمايه گذاري'!E48-C3-D3-E3-F3=0,IF(C34+D34+E34+F34='منابع تامين سرمايه گذاري'!E41,0,'منابع تامين سرمايه گذاري'!E41-C34-D34-E34-F34),0)))</f>
        <v>0</v>
      </c>
      <c r="K37" s="769">
        <f>IF(مفروضات!$T$13=FALSE,0,IF(('منابع تامين سرمايه گذاري'!E48-C3-D3-E3-F3-G3)&gt;0,IF(('منابع تامين سرمايه گذاري'!E48-C3-D3-E3-F3-G3)&gt;12,'منابع تامين سرمايه گذاري'!E51*H3/12,IF(('منابع تامين سرمايه گذاري'!E41-'پيش بيني عملكرد سود و زيان'!C34-'منابع تامين سرمايه گذاري'!E51*G32)&gt;='منابع تامين سرمايه گذاري'!E51,'منابع تامين سرمايه گذاري'!E51,('منابع تامين سرمايه گذاري'!E41-'پيش بيني عملكرد سود و زيان'!$C$34-'منابع تامين سرمايه گذاري'!E51*G32))),IF('منابع تامين سرمايه گذاري'!E48-C3-D3-E3-F3-G3=0,IF(C34+D34+E34+F34+G34='منابع تامين سرمايه گذاري'!E41,0,'منابع تامين سرمايه گذاري'!E41-C34-D34-E34-F34-G34),0)))</f>
        <v>0</v>
      </c>
      <c r="L37" s="769">
        <f>IF(مفروضات!$T$13=FALSE,0,IF(('منابع تامين سرمايه گذاري'!E48-C3-D3-E3-F3-G3-H3)&gt;0,IF(('منابع تامين سرمايه گذاري'!E48-C3-D3-E3-F3-G3-H3)&gt;12,'منابع تامين سرمايه گذاري'!E51*I3/12,IF(('منابع تامين سرمايه گذاري'!E41-'پيش بيني عملكرد سود و زيان'!C34-'منابع تامين سرمايه گذاري'!E51*H32)&gt;='منابع تامين سرمايه گذاري'!E51,'منابع تامين سرمايه گذاري'!E51,('منابع تامين سرمايه گذاري'!E41-'پيش بيني عملكرد سود و زيان'!$C$34-'منابع تامين سرمايه گذاري'!E51*H32))),IF('منابع تامين سرمايه گذاري'!E48-C3-D3-E3-F3-G3-H3=0,IF(C34+D34+E34+F34+G34+H34='منابع تامين سرمايه گذاري'!E41,0,'منابع تامين سرمايه گذاري'!E41-C34-D34-E34-F34-G34-H34),0)))</f>
        <v>0</v>
      </c>
      <c r="M37" s="770">
        <f>IF(مفروضات!$T$13=FALSE,0,IF(('منابع تامين سرمايه گذاري'!E48-C3-D3-E3-F3-G3-H3-I3)&gt;0,IF(('منابع تامين سرمايه گذاري'!E48-C3-D3-E3-F3-G3-H3-I3)&gt;12,'منابع تامين سرمايه گذاري'!E51*J3/12,IF(('منابع تامين سرمايه گذاري'!E41-'پيش بيني عملكرد سود و زيان'!C34-'منابع تامين سرمايه گذاري'!E51*I32)&gt;='منابع تامين سرمايه گذاري'!E51,'منابع تامين سرمايه گذاري'!E51,('منابع تامين سرمايه گذاري'!E41-'پيش بيني عملكرد سود و زيان'!$C$34-'منابع تامين سرمايه گذاري'!E51*I32))),IF('منابع تامين سرمايه گذاري'!E48-C3-D3-E3-F3-G3-H3-I3=0,IF(C34+D34+E34+F34+G34+H34+I34='منابع تامين سرمايه گذاري'!E41,0,'منابع تامين سرمايه گذاري'!E41-C34-D34-E34-F34-G34-H34-I34),0)))</f>
        <v>0</v>
      </c>
    </row>
    <row r="38" spans="1:13" ht="20.100000000000001" hidden="1" customHeight="1">
      <c r="A38" s="530"/>
      <c r="B38" s="531"/>
      <c r="C38" s="769"/>
      <c r="D38" s="769"/>
      <c r="E38" s="769"/>
      <c r="F38" s="769"/>
      <c r="G38" s="769">
        <f>IF(مفروضات!$T$14=FALSE,0,'منابع تامين سرمايه گذاري'!E51*'برآورد فروش'!B3/12)</f>
        <v>0</v>
      </c>
      <c r="H38" s="769">
        <f>IF(مفروضات!$T$14=FALSE,0,IF(('منابع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  <c r="I38" s="769">
        <f>IF(مفروضات!$T$14=FALSE,0,IF(('منابع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گذاري'!E41-C34-D34),0)))</f>
        <v>0</v>
      </c>
      <c r="J38" s="769">
        <f>IF(مفروضات!$T$14=FALSE,0,IF(('منابع تامين سرمايه گذاري'!E48-C3-D3-E3)&gt;0,IF(('منابع تامين سرمايه گذاري'!E48-C3-D3-E3)&gt;12,'منابع تامين سرمايه گذاري'!E51*F3/12,IF(('منابع تامين سرمايه گذاري'!E41-'پيش بيني عملكرد سود و زيان'!C34-'منابع تامين سرمايه گذاري'!E51*E32)&gt;='منابع تامين سرمايه گذاري'!E51,'منابع تامين سرمايه گذاري'!E51,('منابع تامين سرمايه گذاري'!E41-'پيش بيني عملكرد سود و زيان'!$C$34-'منابع تامين سرمايه گذاري'!E51*E32))),IF('منابع تامين سرمايه گذاري'!E48-C3-D3-E3=0,IF(C34+D34+E34='منابع تامين سرمايه گذاري'!E41,0,'منابع تامين سرمايه گذاري'!E41-C34-D34-E34),0)))</f>
        <v>0</v>
      </c>
      <c r="K38" s="769">
        <f>IF(مفروضات!$T$14=FALSE,0,IF(('منابع تامين سرمايه گذاري'!E48-C3-D3-E3-F3)&gt;0,IF(('منابع تامين سرمايه گذاري'!E48-C3-D3-E3-F3)&gt;12,'منابع تامين سرمايه گذاري'!E51*G3/12,IF(('منابع تامين سرمايه گذاري'!E41-'پيش بيني عملكرد سود و زيان'!C34-'منابع تامين سرمايه گذاري'!E51*F32)&gt;='منابع تامين سرمايه گذاري'!E51,'منابع تامين سرمايه گذاري'!E51,('منابع تامين سرمايه گذاري'!E41-'پيش بيني عملكرد سود و زيان'!$C$34-'منابع تامين سرمايه گذاري'!E51*F32))),IF('منابع تامين سرمايه گذاري'!E48-C3-D3-E3-F3=0,IF(C34+D34+E34+F34='منابع تامين سرمايه گذاري'!E41,0,'منابع تامين سرمايه گذاري'!E41-C34-D34-E34-F34),0)))</f>
        <v>0</v>
      </c>
      <c r="L38" s="769">
        <f>IF(مفروضات!$T$14=FALSE,0,IF(('منابع تامين سرمايه گذاري'!E48-C3-D3-E3-F3-G3)&gt;0,IF(('منابع تامين سرمايه گذاري'!E48-C3-D3-E3-F3-G3)&gt;12,'منابع تامين سرمايه گذاري'!E51*H3/12,IF(('منابع تامين سرمايه گذاري'!E41-'پيش بيني عملكرد سود و زيان'!C34-'منابع تامين سرمايه گذاري'!E51*G32)&gt;='منابع تامين سرمايه گذاري'!E51,'منابع تامين سرمايه گذاري'!E51,('منابع تامين سرمايه گذاري'!E41-'پيش بيني عملكرد سود و زيان'!$C$34-'منابع تامين سرمايه گذاري'!E51*G32))),IF('منابع تامين سرمايه گذاري'!E48-C3-D3-E3-F3-G3=0,IF(C34+D34+E34+F34+G34='منابع تامين سرمايه گذاري'!E41,0,'منابع تامين سرمايه گذاري'!E41-C34-D34-E34-F34-G34),0)))</f>
        <v>0</v>
      </c>
      <c r="M38" s="770">
        <f>IF(مفروضات!$T$14=FALSE,0,IF(('منابع تامين سرمايه گذاري'!E48-C3-D3-E3-F3-G3-H3)&gt;0,IF(('منابع تامين سرمايه گذاري'!E48-C3-D3-E3-F3-G3-H3)&gt;12,'منابع تامين سرمايه گذاري'!E51*I3/12,IF(('منابع تامين سرمايه گذاري'!E41-'پيش بيني عملكرد سود و زيان'!C34-'منابع تامين سرمايه گذاري'!E51*H32)&gt;='منابع تامين سرمايه گذاري'!E51,'منابع تامين سرمايه گذاري'!E51,('منابع تامين سرمايه گذاري'!E41-'پيش بيني عملكرد سود و زيان'!$C$34-'منابع تامين سرمايه گذاري'!E51*H32))),IF('منابع تامين سرمايه گذاري'!E48-C3-D3-E3-F3-G3-H3=0,IF(C34+D34+E34+F34+G34+H34='منابع تامين سرمايه گذاري'!E41,0,'منابع تامين سرمايه گذاري'!E41-C34-D34-E34-F34-G34-H34),0)))</f>
        <v>0</v>
      </c>
    </row>
    <row r="39" spans="1:13" ht="20.100000000000001" hidden="1" customHeight="1">
      <c r="A39" s="530"/>
      <c r="B39" s="531"/>
      <c r="C39" s="769"/>
      <c r="D39" s="769"/>
      <c r="E39" s="769"/>
      <c r="F39" s="769"/>
      <c r="G39" s="769"/>
      <c r="H39" s="769">
        <f>IF(مفروضات!$T$15=FALSE,0,'منابع تامين سرمايه گذاري'!E51*'برآورد فروش'!B3/12)</f>
        <v>0</v>
      </c>
      <c r="I39" s="769">
        <f>IF(مفروضات!$T$15=FALSE,0,IF(('منابع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  <c r="J39" s="769">
        <f>IF(مفروضات!$T$15=FALSE,0,IF(('منابع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گذاري'!E41-C34-D34),0)))</f>
        <v>0</v>
      </c>
      <c r="K39" s="769">
        <f>IF(مفروضات!$T$15=FALSE,0,IF(('منابع تامين سرمايه گذاري'!E48-C3-D3-E3)&gt;0,IF(('منابع تامين سرمايه گذاري'!E48-C3-D3-E3)&gt;12,'منابع تامين سرمايه گذاري'!E51*F3/12,IF(('منابع تامين سرمايه گذاري'!E41-'پيش بيني عملكرد سود و زيان'!C34-'منابع تامين سرمايه گذاري'!E51*E32)&gt;='منابع تامين سرمايه گذاري'!E51,'منابع تامين سرمايه گذاري'!E51,('منابع تامين سرمايه گذاري'!E41-'پيش بيني عملكرد سود و زيان'!$C$34-'منابع تامين سرمايه گذاري'!E51*E32))),IF('منابع تامين سرمايه گذاري'!E48-C3-D3-E3=0,IF(C34+D34+E34='منابع تامين سرمايه گذاري'!E41,0,'منابع تامين سرمايه گذاري'!E41-C34-D34-E34),0)))</f>
        <v>0</v>
      </c>
      <c r="L39" s="769">
        <f>IF(مفروضات!$T$15=FALSE,0,IF(('منابع تامين سرمايه گذاري'!E48-C3-D3-E3-F3)&gt;0,IF(('منابع تامين سرمايه گذاري'!E48-C3-D3-E3-F3)&gt;12,'منابع تامين سرمايه گذاري'!E51*G3/12,IF(('منابع تامين سرمايه گذاري'!E41-'پيش بيني عملكرد سود و زيان'!C34-'منابع تامين سرمايه گذاري'!E51*F32)&gt;='منابع تامين سرمايه گذاري'!E51,'منابع تامين سرمايه گذاري'!E51,('منابع تامين سرمايه گذاري'!E41-'پيش بيني عملكرد سود و زيان'!$C$34-'منابع تامين سرمايه گذاري'!E51*F32))),IF('منابع تامين سرمايه گذاري'!E48-C3-D3-E3-F3=0,IF(C34+D34+E34+F34='منابع تامين سرمايه گذاري'!E41,0,'منابع تامين سرمايه گذاري'!E41-C34-D34-E34-F34),0)))</f>
        <v>0</v>
      </c>
      <c r="M39" s="770">
        <f>IF(مفروضات!$T$15=FALSE,0,IF(('منابع تامين سرمايه گذاري'!E48-C3-D3-E3-F3-G3)&gt;0,IF(('منابع تامين سرمايه گذاري'!E48-C3-D3-E3-F3-G3)&gt;12,'منابع تامين سرمايه گذاري'!E51*H3/12,IF(('منابع تامين سرمايه گذاري'!E41-'پيش بيني عملكرد سود و زيان'!C34-'منابع تامين سرمايه گذاري'!E51*G32)&gt;='منابع تامين سرمايه گذاري'!E51,'منابع تامين سرمايه گذاري'!E51,('منابع تامين سرمايه گذاري'!E41-'پيش بيني عملكرد سود و زيان'!$C$34-'منابع تامين سرمايه گذاري'!E51*G32))),IF('منابع تامين سرمايه گذاري'!E48-C3-D3-E3-F3-G3=0,IF(C34+D34+E34+F34+G34='منابع تامين سرمايه گذاري'!E41,0,'منابع تامين سرمايه گذاري'!E41-C34-D34-E34-F34-G34),0)))</f>
        <v>0</v>
      </c>
    </row>
    <row r="40" spans="1:13" ht="20.100000000000001" hidden="1" customHeight="1">
      <c r="A40" s="530"/>
      <c r="B40" s="531"/>
      <c r="C40" s="769"/>
      <c r="D40" s="769"/>
      <c r="E40" s="769"/>
      <c r="F40" s="769"/>
      <c r="G40" s="769"/>
      <c r="H40" s="769"/>
      <c r="I40" s="769">
        <f>IF(مفروضات!$T$16=FALSE,0,'منابع تامين سرمايه گذاري'!E51*'برآورد فروش'!B3/12)</f>
        <v>0</v>
      </c>
      <c r="J40" s="769">
        <f>IF(مفروضات!$T$16=FALSE,0,IF(('منابع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  <c r="K40" s="769">
        <f>IF(مفروضات!$T$16=FALSE,0,IF(('منابع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گذاري'!E41-C34-D34),0)))</f>
        <v>0</v>
      </c>
      <c r="L40" s="769">
        <f>IF(مفروضات!$T$16=FALSE,0,IF(('منابع تامين سرمايه گذاري'!E48-C3-D3-E3)&gt;0,IF(('منابع تامين سرمايه گذاري'!E48-C3-D3-E3)&gt;12,'منابع تامين سرمايه گذاري'!E51*F3/12,IF(('منابع تامين سرمايه گذاري'!E41-'پيش بيني عملكرد سود و زيان'!C34-'منابع تامين سرمايه گذاري'!E51*E32)&gt;='منابع تامين سرمايه گذاري'!E51,'منابع تامين سرمايه گذاري'!E51,('منابع تامين سرمايه گذاري'!E41-'پيش بيني عملكرد سود و زيان'!$C$34-'منابع تامين سرمايه گذاري'!E51*E32))),IF('منابع تامين سرمايه گذاري'!E48-C3-D3-E3=0,IF(C34+D34+E34='منابع تامين سرمايه گذاري'!E41,0,'منابع تامين سرمايه گذاري'!E41-C34-D34-E34),0)))</f>
        <v>0</v>
      </c>
      <c r="M40" s="770">
        <f>IF(مفروضات!$T$16=FALSE,0,IF(('منابع تامين سرمايه گذاري'!E48-C3-D3-E3-F3)&gt;0,IF(('منابع تامين سرمايه گذاري'!E48-C3-D3-E3-F3)&gt;12,'منابع تامين سرمايه گذاري'!E51*G3/12,IF(('منابع تامين سرمايه گذاري'!E41-'پيش بيني عملكرد سود و زيان'!C34-'منابع تامين سرمايه گذاري'!E51*F32)&gt;='منابع تامين سرمايه گذاري'!E51,'منابع تامين سرمايه گذاري'!E51,('منابع تامين سرمايه گذاري'!E41-'پيش بيني عملكرد سود و زيان'!$C$34-'منابع تامين سرمايه گذاري'!E51*F32))),IF('منابع تامين سرمايه گذاري'!E48-C3-D3-E3-F3=0,IF(C34+D34+E34+F34='منابع تامين سرمايه گذاري'!E41,0,'منابع تامين سرمايه گذاري'!E41-C34-D34-E34-F34),0)))</f>
        <v>0</v>
      </c>
    </row>
    <row r="41" spans="1:13" ht="20.100000000000001" hidden="1" customHeight="1">
      <c r="A41" s="530"/>
      <c r="B41" s="531"/>
      <c r="C41" s="769"/>
      <c r="D41" s="769"/>
      <c r="E41" s="769"/>
      <c r="F41" s="769"/>
      <c r="G41" s="769"/>
      <c r="H41" s="769"/>
      <c r="I41" s="769"/>
      <c r="J41" s="769">
        <f>IF(مفروضات!$T$17=FALSE,0,'منابع تامين سرمايه گذاري'!E51*'برآورد فروش'!B3/12)</f>
        <v>0</v>
      </c>
      <c r="K41" s="769">
        <f>IF(مفروضات!$T$17=FALSE,0,IF(('منابع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  <c r="L41" s="769">
        <f>IF(مفروضات!$T$17=FALSE,0,IF(('منابع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گذاري'!E41-C34-D34),0)))</f>
        <v>0</v>
      </c>
      <c r="M41" s="770">
        <f>IF(مفروضات!$T$17=FALSE,0,IF(('منابع تامين سرمايه گذاري'!E48-C3-D3-E3)&gt;0,IF(('منابع تامين سرمايه گذاري'!E48-C3-D3-E3)&gt;12,'منابع تامين سرمايه گذاري'!E51*F3/12,IF(('منابع تامين سرمايه گذاري'!E41-'پيش بيني عملكرد سود و زيان'!C34-'منابع تامين سرمايه گذاري'!E51*E32)&gt;='منابع تامين سرمايه گذاري'!E51,'منابع تامين سرمايه گذاري'!E51,('منابع تامين سرمايه گذاري'!E41-'پيش بيني عملكرد سود و زيان'!$C$34-'منابع تامين سرمايه گذاري'!E51*E32))),IF('منابع تامين سرمايه گذاري'!E48-C3-D3-E3=0,IF(C34+D34+E34='منابع تامين سرمايه گذاري'!E41,0,'منابع تامين سرمايه گذاري'!E41-C34-D34-E34),0)))</f>
        <v>0</v>
      </c>
    </row>
    <row r="42" spans="1:13" ht="20.100000000000001" hidden="1" customHeight="1">
      <c r="A42" s="530"/>
      <c r="B42" s="531"/>
      <c r="C42" s="769"/>
      <c r="D42" s="769"/>
      <c r="E42" s="769"/>
      <c r="F42" s="769"/>
      <c r="G42" s="769"/>
      <c r="H42" s="769"/>
      <c r="I42" s="769"/>
      <c r="J42" s="769"/>
      <c r="K42" s="769">
        <f>IF(مفروضات!$T$18=FALSE,0,'منابع تامين سرمايه گذاري'!E51*'برآورد فروش'!B3/12)</f>
        <v>0</v>
      </c>
      <c r="L42" s="769">
        <f>IF(مفروضات!$T$18=FALSE,0,IF(('منابع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  <c r="M42" s="770">
        <f>IF(مفروضات!$T$18=FALSE,0,IF(('منابع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گذاري'!E41-C34-D34),0)))</f>
        <v>0</v>
      </c>
    </row>
    <row r="43" spans="1:13" ht="20.100000000000001" hidden="1" customHeight="1">
      <c r="A43" s="530"/>
      <c r="B43" s="531"/>
      <c r="C43" s="769"/>
      <c r="D43" s="769"/>
      <c r="E43" s="769"/>
      <c r="F43" s="769"/>
      <c r="G43" s="769"/>
      <c r="H43" s="769"/>
      <c r="I43" s="769"/>
      <c r="J43" s="769"/>
      <c r="K43" s="769"/>
      <c r="L43" s="769">
        <f>IF(مفروضات!$T$19=FALSE,0,'منابع تامين سرمايه گذاري'!E51*'برآورد فروش'!B3/12)</f>
        <v>0</v>
      </c>
      <c r="M43" s="770">
        <f>IF(مفروضات!$T$19=FALSE,0,IF(('منابع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</row>
    <row r="44" spans="1:13" ht="20.100000000000001" hidden="1" customHeight="1">
      <c r="A44" s="530"/>
      <c r="B44" s="531"/>
      <c r="C44" s="769"/>
      <c r="D44" s="769"/>
      <c r="E44" s="769"/>
      <c r="F44" s="769"/>
      <c r="G44" s="769"/>
      <c r="H44" s="769"/>
      <c r="I44" s="769"/>
      <c r="J44" s="769"/>
      <c r="K44" s="769"/>
      <c r="L44" s="769"/>
      <c r="M44" s="770">
        <f>IF(مفروضات!$T$20=FALSE,0,'منابع تامين سرمايه گذاري'!E51*'برآورد فروش'!B3/12)</f>
        <v>0</v>
      </c>
    </row>
    <row r="45" spans="1:13" ht="20.100000000000001" customHeight="1">
      <c r="A45" s="530">
        <v>23</v>
      </c>
      <c r="B45" s="217" t="s">
        <v>153</v>
      </c>
      <c r="C45" s="769">
        <f>SUM(C34:C44)</f>
        <v>1345262.9729751665</v>
      </c>
      <c r="D45" s="769">
        <f t="shared" ref="D45:M45" si="7">SUM(D34:D44)</f>
        <v>0</v>
      </c>
      <c r="E45" s="769">
        <f t="shared" si="7"/>
        <v>0</v>
      </c>
      <c r="F45" s="769">
        <f t="shared" si="7"/>
        <v>0</v>
      </c>
      <c r="G45" s="769">
        <f t="shared" si="7"/>
        <v>0</v>
      </c>
      <c r="H45" s="769">
        <f t="shared" si="7"/>
        <v>0</v>
      </c>
      <c r="I45" s="769">
        <f t="shared" si="7"/>
        <v>0</v>
      </c>
      <c r="J45" s="769">
        <f t="shared" si="7"/>
        <v>0</v>
      </c>
      <c r="K45" s="769">
        <f t="shared" si="7"/>
        <v>0</v>
      </c>
      <c r="L45" s="769">
        <f t="shared" si="7"/>
        <v>0</v>
      </c>
      <c r="M45" s="770">
        <f t="shared" si="7"/>
        <v>0</v>
      </c>
    </row>
    <row r="46" spans="1:13" s="211" customFormat="1" ht="24.9" customHeight="1" thickBot="1">
      <c r="A46" s="1154" t="s">
        <v>154</v>
      </c>
      <c r="B46" s="1155"/>
      <c r="C46" s="771">
        <f>C28+C30-(C33+C45)</f>
        <v>241351144.40702483</v>
      </c>
      <c r="D46" s="771">
        <f t="shared" ref="D46:M46" si="8">D28+D30-(D33+D45)</f>
        <v>392696407.38</v>
      </c>
      <c r="E46" s="771">
        <f t="shared" si="8"/>
        <v>542696407.38</v>
      </c>
      <c r="F46" s="771">
        <f t="shared" si="8"/>
        <v>792696407.38</v>
      </c>
      <c r="G46" s="771">
        <f t="shared" si="8"/>
        <v>-57303580.620000005</v>
      </c>
      <c r="H46" s="771">
        <f t="shared" si="8"/>
        <v>-57303580.620000005</v>
      </c>
      <c r="I46" s="771">
        <f t="shared" si="8"/>
        <v>-57303580.620000005</v>
      </c>
      <c r="J46" s="771">
        <f t="shared" si="8"/>
        <v>-57303580.620000005</v>
      </c>
      <c r="K46" s="771">
        <f t="shared" si="8"/>
        <v>-57303580.620000005</v>
      </c>
      <c r="L46" s="771">
        <f t="shared" si="8"/>
        <v>-57303580.620000005</v>
      </c>
      <c r="M46" s="772">
        <f t="shared" si="8"/>
        <v>-57303580.620000005</v>
      </c>
    </row>
    <row r="47" spans="1:13">
      <c r="A47" s="583"/>
      <c r="M47" s="584"/>
    </row>
    <row r="48" spans="1:13" s="410" customFormat="1" ht="21">
      <c r="A48" s="585">
        <v>24</v>
      </c>
      <c r="B48" s="409" t="s">
        <v>330</v>
      </c>
      <c r="C48" s="409">
        <f>IF(C28&lt;=0,0,IF(C28*0.05&lt;=0.1*'جریان نقدینگی'!B5,C28*0.05,IF(C28*0.05&gt;0.1*'جریان نقدینگی'!B5,0.1*'جریان نقدینگی'!B5,)))</f>
        <v>0</v>
      </c>
      <c r="D48" s="409">
        <f>IF(D28&lt;=0,0,IF(AND(D28*0.05&lt;=0.1*'جریان نقدینگی'!B5,C48+D28*0.05&lt;=0.1*'جریان نقدینگی'!B5),D28*0.05,IF(AND(D28*0.05+C48&gt;=0.1*'جریان نقدینگی'!B5,D28*0.05+C48&lt;&gt;C48),0.1*'جریان نقدینگی'!B5-C48,0)))</f>
        <v>0</v>
      </c>
      <c r="E48" s="409">
        <f>IF(E28&lt;=0,0,IF(AND(E28*0.05&lt;=0.1*'جریان نقدینگی'!B5,C48+D48+E28*0.05&lt;=0.1*'جریان نقدینگی'!B5),E28*0.05,IF(AND(E28*0.05+C48+D48&gt;=0.1*'جریان نقدینگی'!B5,E28*0.05+C48+D48&lt;&gt;D48),0.1*'جریان نقدینگی'!B5-C48-D48,0)))</f>
        <v>3779502.5069647729</v>
      </c>
      <c r="F48" s="409">
        <f>IF(F28&lt;=0,0,IF(AND(F28*0.05&lt;=0.1*'جریان نقدینگی'!B5,+E48+C48+D48+F28*0.05&lt;=0.1*'جریان نقدینگی'!B5),F28*0.05,IF(AND(F28*0.05+E48+C48+D48&gt;=0.1*'جریان نقدینگی'!B5,F28*0.05+D48+C48+E48&lt;&gt;E48),0.1*'جریان نقدینگی'!B5-E48-C48-D48,0)))</f>
        <v>16279502.506964773</v>
      </c>
      <c r="G48" s="409">
        <f>IF(G28&lt;=0,0,IF(AND(G28*0.05&lt;=0.1*'جریان نقدینگی'!B5,+F48+C48+D48+E48+G28*0.05&lt;0.1*'جریان نقدینگی'!B5),G28*0.05,IF(AND(G28*0.05+C48+F48+D48+E48&lt;&gt;0.1*'جریان نقدینگی'!B5,G28*0.05+E48+C48+D48+F48&lt;&gt;F48),0.1*'جریان نقدینگی'!B5-F48-C48-D48-E48,0)))</f>
        <v>0</v>
      </c>
      <c r="H48" s="409">
        <f>IF(H28&lt;=0,0,IF(AND(H28*0.05&lt;=0.1*'جریان نقدینگی'!B5,+G48+C48+D48+E48+F48+H28*0.05&lt;0.1*'جریان نقدینگی'!B5),H28*0.05,IF(AND(H28*0.05+G48+D48+C48+E48+F48&lt;&gt;0.1*'جریان نقدینگی'!B5,H28*0.05+F48+C48+D48+E48+G48&lt;&gt;G48),0.1*'جریان نقدینگی'!B5-G48-C48-D48-E48-F48,0)))</f>
        <v>0</v>
      </c>
      <c r="I48" s="409">
        <f>IF(I28&lt;=0,0,IF(AND(I28*0.05&lt;=0.1*'جریان نقدینگی'!B5,+H48+C48+D48+E48+F48+G48+I28*0.05&lt;0.1*'جریان نقدینگی'!B5),I28*0.05,IF(AND(I28*0.05+H48+C48+E48+D48+F48+G48&lt;&gt;0.1*'جریان نقدینگی'!B5,I28*0.05+G48+C48+D48+E48+F48+H48&lt;&gt;H48),0.1*'جریان نقدینگی'!B5-H48-C48-D48-E48-F48-G48,0)))</f>
        <v>0</v>
      </c>
      <c r="J48" s="409">
        <f>IF(J28&lt;=0,0,IF(AND(J28*0.05&lt;=0.1*'جریان نقدینگی'!B5,+I48+C48+D48+E48+F48+G48+H48+J28*0.05&lt;0.1*'جریان نقدینگی'!B5),J28*0.05,IF(AND(J28*0.05+I48+C48+D48+F48+E48+G48+H48&lt;&gt;0.1*'جریان نقدینگی'!B5,J28*0.05+H48+C48+D48+E48+F48+G48+I48&lt;&gt;I48),0.1*'جریان نقدینگی'!B5-I48-C48-D48-E48-F48-G48-H48,0)))</f>
        <v>0</v>
      </c>
      <c r="K48" s="409">
        <f>IF(K28&lt;=0,0,IF(AND(K28*0.05&lt;=0.1*'جریان نقدینگی'!B5,+J48+C48+D48+E48+F48+G48+H48+I48+K28*0.05&lt;0.1*'جریان نقدینگی'!B5),K28*0.05,IF(AND(K28*0.05+J48+C48+D48+E48+G48+F48+H48+I48&lt;&gt;0.1*'جریان نقدینگی'!B5,K28*0.05+I48+C48+D48+E48+F48+G48+H48+J48&lt;&gt;J48),0.1*'جریان نقدینگی'!B5-J48-C48-D48-E48-F48-G48-H48-I48,0)))</f>
        <v>0</v>
      </c>
      <c r="L48" s="409">
        <f>IF(L28&lt;=0,0,IF(AND(L28*0.05&lt;=0.1*'جریان نقدینگی'!B5,+K48+C48+D48+E48+F48+G48+H48+I48+J48+L28*0.05&lt;0.1*'جریان نقدینگی'!B5),L28*0.05,IF(AND(L28*0.05+K48+C48+D48+E48+F48+H48+G48+I48+J48&lt;&gt;0.1*'جریان نقدینگی'!B5,L28*0.05+J48+C48+D48+E48+F48+G48+H48+I48+K48&lt;&gt;K48),0.1*'جریان نقدینگی'!B5-K48-C48-D48-E48-F48-G48-H48-I48-J48,0)))</f>
        <v>0</v>
      </c>
      <c r="M48" s="586">
        <f>IF(M28&lt;=0,0,IF(AND(M28*0.05&lt;=0.1*'جریان نقدینگی'!B5,+K48+C48+D48+E48+F48+G48+H48+I48+J48+L48+M28*0.05&lt;0.1*'جریان نقدینگی'!B5),M28*0.05,IF(AND(M28*0.05+K48+C48+D48+E48+F48+H48+G48+I48+J48+L48&lt;&gt;0.1*'جریان نقدینگی'!B5,M28*0.05+J48+C48+D48+E48+F48+G48+H48+I48+K48+L48&lt;&gt;L48),0.1*'جریان نقدینگی'!B5-K48-C48-D48-E48-F48-G48-H48-I48-J48-L48,0)))</f>
        <v>0</v>
      </c>
    </row>
    <row r="49" spans="1:13" s="410" customFormat="1" ht="21">
      <c r="A49" s="587">
        <v>25</v>
      </c>
      <c r="B49" s="411" t="s">
        <v>331</v>
      </c>
      <c r="C49" s="411">
        <f>IF(C26&gt;0,C26*مفروضات!$B$24,0)</f>
        <v>0</v>
      </c>
      <c r="D49" s="411">
        <f>IF(D26&gt;0,D26*مفروضات!$B$24,0)</f>
        <v>0</v>
      </c>
      <c r="E49" s="411">
        <f>IF(E26&gt;0,E26*مفروضات!$B$24,0)</f>
        <v>0</v>
      </c>
      <c r="F49" s="411">
        <f>IF(F26&gt;0,F26*مفروضات!$B$24,0)</f>
        <v>0</v>
      </c>
      <c r="G49" s="411">
        <f>IF(G26&gt;0,G26*مفروضات!$B$24,0)</f>
        <v>0</v>
      </c>
      <c r="H49" s="411">
        <f>IF(H26&gt;0,H26*مفروضات!$B$24,0)</f>
        <v>0</v>
      </c>
      <c r="I49" s="411">
        <f>IF(I26&gt;0,I26*مفروضات!$B$24,0)</f>
        <v>0</v>
      </c>
      <c r="J49" s="411">
        <f>IF(J26&gt;0,J26*مفروضات!$B$24,0)</f>
        <v>0</v>
      </c>
      <c r="K49" s="411">
        <f>IF(K26&gt;0,K26*مفروضات!$B$24,0)</f>
        <v>0</v>
      </c>
      <c r="L49" s="411">
        <f>IF(L26&gt;0,L26*مفروضات!$B$24,0)</f>
        <v>0</v>
      </c>
      <c r="M49" s="588">
        <f>IF(M26&gt;0,M26*مفروضات!$B$24,0)</f>
        <v>0</v>
      </c>
    </row>
    <row r="50" spans="1:13" s="410" customFormat="1" ht="21">
      <c r="A50" s="585">
        <v>26</v>
      </c>
      <c r="B50" s="409" t="s">
        <v>332</v>
      </c>
      <c r="C50" s="409">
        <f>C28-C48-C49</f>
        <v>-224409949.86070454</v>
      </c>
      <c r="D50" s="409">
        <f>D28-D48-D49</f>
        <v>-74409949.860704541</v>
      </c>
      <c r="E50" s="409">
        <f t="shared" ref="E50:M50" si="9">E28-E48-E49</f>
        <v>71810547.632330686</v>
      </c>
      <c r="F50" s="409">
        <f t="shared" si="9"/>
        <v>309310547.63233066</v>
      </c>
      <c r="G50" s="409">
        <f t="shared" si="9"/>
        <v>-524409937.86070454</v>
      </c>
      <c r="H50" s="409">
        <f t="shared" si="9"/>
        <v>-63519430.620000005</v>
      </c>
      <c r="I50" s="409">
        <f t="shared" si="9"/>
        <v>-63519430.620000005</v>
      </c>
      <c r="J50" s="409">
        <f t="shared" si="9"/>
        <v>-63519430.620000005</v>
      </c>
      <c r="K50" s="409">
        <f t="shared" si="9"/>
        <v>-63519430.620000005</v>
      </c>
      <c r="L50" s="409">
        <f t="shared" si="9"/>
        <v>-63519430.620000005</v>
      </c>
      <c r="M50" s="586">
        <f t="shared" si="9"/>
        <v>-62469580.620000005</v>
      </c>
    </row>
    <row r="51" spans="1:13" s="410" customFormat="1" ht="21">
      <c r="A51" s="587">
        <v>27</v>
      </c>
      <c r="B51" s="411" t="s">
        <v>333</v>
      </c>
      <c r="C51" s="411"/>
      <c r="D51" s="411">
        <f>C52</f>
        <v>-224409949.86070454</v>
      </c>
      <c r="E51" s="411">
        <f t="shared" ref="E51:M51" si="10">D52</f>
        <v>-298819899.72140908</v>
      </c>
      <c r="F51" s="411">
        <f t="shared" si="10"/>
        <v>-227009352.0890784</v>
      </c>
      <c r="G51" s="411">
        <f t="shared" si="10"/>
        <v>82301195.543252259</v>
      </c>
      <c r="H51" s="411">
        <f t="shared" si="10"/>
        <v>-442108742.31745231</v>
      </c>
      <c r="I51" s="411">
        <f t="shared" si="10"/>
        <v>-505628172.93745232</v>
      </c>
      <c r="J51" s="411">
        <f t="shared" si="10"/>
        <v>-569147603.55745232</v>
      </c>
      <c r="K51" s="411">
        <f t="shared" si="10"/>
        <v>-632667034.17745233</v>
      </c>
      <c r="L51" s="411">
        <f t="shared" si="10"/>
        <v>-696186464.79745233</v>
      </c>
      <c r="M51" s="588">
        <f t="shared" si="10"/>
        <v>-759705895.41745234</v>
      </c>
    </row>
    <row r="52" spans="1:13" s="412" customFormat="1" ht="21.6" thickBot="1">
      <c r="A52" s="589">
        <v>28</v>
      </c>
      <c r="B52" s="590" t="s">
        <v>334</v>
      </c>
      <c r="C52" s="882">
        <f>C50</f>
        <v>-224409949.86070454</v>
      </c>
      <c r="D52" s="590">
        <f>SUM(D50:D51)</f>
        <v>-298819899.72140908</v>
      </c>
      <c r="E52" s="590">
        <f>SUM(E50:E51)</f>
        <v>-227009352.0890784</v>
      </c>
      <c r="F52" s="590">
        <f t="shared" ref="F52:M52" si="11">SUM(F50:F51)</f>
        <v>82301195.543252259</v>
      </c>
      <c r="G52" s="590">
        <f t="shared" si="11"/>
        <v>-442108742.31745231</v>
      </c>
      <c r="H52" s="590">
        <f t="shared" si="11"/>
        <v>-505628172.93745232</v>
      </c>
      <c r="I52" s="590">
        <f t="shared" si="11"/>
        <v>-569147603.55745232</v>
      </c>
      <c r="J52" s="590">
        <f t="shared" si="11"/>
        <v>-632667034.17745233</v>
      </c>
      <c r="K52" s="590">
        <f t="shared" si="11"/>
        <v>-696186464.79745233</v>
      </c>
      <c r="L52" s="590">
        <f t="shared" si="11"/>
        <v>-759705895.41745234</v>
      </c>
      <c r="M52" s="591">
        <f t="shared" si="11"/>
        <v>-822175476.03745234</v>
      </c>
    </row>
    <row r="54" spans="1:13">
      <c r="D54" s="203" t="e">
        <f ca="1">IF(مفروضات!$T$4=TRUE,IF(('منابع تامين سرمايه گذاري'!$E$32-C3)&gt;=0,IF(('منابع تامين سرمايه گذاري'!$E$32-C3)&gt;=12,IF('منابع تامين سرمايه گذاري'!E24&gt;='پيش بيني عملكرد سود و زيان'!C3,'منابع تامين سرمايه گذاري'!$E$34*('پيش بيني عملكرد سود و زيان'!D3+'پيش بيني عملكرد سود و زيان'!C3-'منابع تامين سرمايه گذاري'!E24)/12,IF('منابع تامين سرمايه گذاري'!$E$31-'پيش بيني عملكرد سود و زيان'!$C$24&gt;='منابع تامين سرمايه گذاري'!$E$34,'منابع تامين سرمايه گذاري'!$E$34(,'منابع تامين سرمايه گذاري'!$E$31-'پيش بيني عملكرد سود و زيان'!$C$24))),IF('منابع تامين سرمايه گذاري'!$E$32-C3=0,IF(C24='منابع تامين سرمايه گذاري'!$E$31,0,'منابع تامين سرمايه گذاري'!E31-'پيش بيني عملكرد سود و زيان'!C24),0))),تسهیلات!R7)</f>
        <v>#REF!</v>
      </c>
    </row>
    <row r="56" spans="1:13" ht="21">
      <c r="D56" s="549"/>
    </row>
  </sheetData>
  <mergeCells count="8">
    <mergeCell ref="A46:B46"/>
    <mergeCell ref="A29:B29"/>
    <mergeCell ref="A5:B5"/>
    <mergeCell ref="A14:B14"/>
    <mergeCell ref="A31:B31"/>
    <mergeCell ref="A17:B17"/>
    <mergeCell ref="A20:B20"/>
    <mergeCell ref="A28:B28"/>
  </mergeCells>
  <phoneticPr fontId="0" type="noConversion"/>
  <printOptions horizontalCentered="1" verticalCentered="1"/>
  <pageMargins left="0.39370078740157483" right="1.4566929133858268" top="0.39370078740157483" bottom="0.39370078740157483" header="0" footer="0"/>
  <pageSetup paperSize="9" scale="43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28"/>
  <dimension ref="A1:N42"/>
  <sheetViews>
    <sheetView rightToLeft="1" view="pageBreakPreview" zoomScale="70" zoomScaleNormal="85" workbookViewId="0">
      <selection sqref="A1:N21"/>
    </sheetView>
  </sheetViews>
  <sheetFormatPr defaultColWidth="9.109375" defaultRowHeight="13.2"/>
  <cols>
    <col min="1" max="1" width="21.88671875" style="348" bestFit="1" customWidth="1"/>
    <col min="2" max="2" width="15.6640625" style="348" bestFit="1" customWidth="1"/>
    <col min="3" max="14" width="17.6640625" style="348" bestFit="1" customWidth="1"/>
    <col min="15" max="16384" width="9.109375" style="348"/>
  </cols>
  <sheetData>
    <row r="1" spans="1:14" ht="27.75" customHeight="1">
      <c r="A1" s="1162" t="s">
        <v>320</v>
      </c>
      <c r="B1" s="1162"/>
      <c r="C1" s="1162"/>
      <c r="D1" s="1162"/>
      <c r="E1" s="1162"/>
      <c r="F1" s="1162"/>
      <c r="G1" s="1162"/>
      <c r="H1" s="1162"/>
      <c r="I1" s="1162"/>
      <c r="J1" s="1162"/>
      <c r="K1" s="1162"/>
      <c r="L1" s="1162"/>
      <c r="M1" s="1162"/>
      <c r="N1" s="1162"/>
    </row>
    <row r="2" spans="1:14" s="351" customFormat="1" ht="27.75" customHeight="1">
      <c r="A2" s="349" t="s">
        <v>7</v>
      </c>
      <c r="B2" s="349" t="s">
        <v>276</v>
      </c>
      <c r="C2" s="349" t="s">
        <v>259</v>
      </c>
      <c r="D2" s="350" t="str">
        <f>'برآورد فروش'!C2</f>
        <v xml:space="preserve">سال اول </v>
      </c>
      <c r="E2" s="350" t="str">
        <f>'برآورد فروش'!D2</f>
        <v>سال دوم</v>
      </c>
      <c r="F2" s="350" t="str">
        <f>'برآورد فروش'!E2</f>
        <v>سال سوم</v>
      </c>
      <c r="G2" s="350" t="str">
        <f>'برآورد فروش'!F2</f>
        <v>سال چهارم</v>
      </c>
      <c r="H2" s="350" t="str">
        <f>'برآورد فروش'!G2</f>
        <v>سال پنجم</v>
      </c>
      <c r="I2" s="350" t="str">
        <f>'برآورد فروش'!H2</f>
        <v>سال ششم</v>
      </c>
      <c r="J2" s="350" t="str">
        <f>'برآورد فروش'!I2</f>
        <v>سال هفتم</v>
      </c>
      <c r="K2" s="350" t="str">
        <f>'برآورد فروش'!J2</f>
        <v>سال هشتم</v>
      </c>
      <c r="L2" s="350" t="str">
        <f>'برآورد فروش'!K2</f>
        <v>سال نهم</v>
      </c>
      <c r="M2" s="350" t="str">
        <f>'برآورد فروش'!L2</f>
        <v>سال دهم</v>
      </c>
      <c r="N2" s="349" t="s">
        <v>260</v>
      </c>
    </row>
    <row r="3" spans="1:14" s="353" customFormat="1" ht="27.75" customHeight="1">
      <c r="A3" s="352" t="s">
        <v>264</v>
      </c>
      <c r="B3" s="773">
        <f>B4+B8</f>
        <v>1470846409.0019569</v>
      </c>
      <c r="C3" s="773">
        <f>C4+C8</f>
        <v>307246098.75999999</v>
      </c>
      <c r="D3" s="773">
        <f>D4+D8</f>
        <v>450000000</v>
      </c>
      <c r="E3" s="773">
        <f t="shared" ref="E3:M3" si="0">E4+E8</f>
        <v>600000000</v>
      </c>
      <c r="F3" s="773">
        <f t="shared" si="0"/>
        <v>850000000</v>
      </c>
      <c r="G3" s="773">
        <f t="shared" si="0"/>
        <v>12</v>
      </c>
      <c r="H3" s="773">
        <f t="shared" si="0"/>
        <v>12</v>
      </c>
      <c r="I3" s="773">
        <f t="shared" si="0"/>
        <v>12</v>
      </c>
      <c r="J3" s="773">
        <f t="shared" si="0"/>
        <v>12</v>
      </c>
      <c r="K3" s="773">
        <f t="shared" si="0"/>
        <v>12</v>
      </c>
      <c r="L3" s="773">
        <f t="shared" si="0"/>
        <v>12</v>
      </c>
      <c r="M3" s="773">
        <f t="shared" si="0"/>
        <v>12</v>
      </c>
      <c r="N3" s="773">
        <f>N4+N8</f>
        <v>137916640.90019572</v>
      </c>
    </row>
    <row r="4" spans="1:14" s="355" customFormat="1" ht="27.75" customHeight="1">
      <c r="A4" s="354" t="s">
        <v>265</v>
      </c>
      <c r="B4" s="774">
        <f>B5+B6+B7</f>
        <v>1470846409.0019569</v>
      </c>
      <c r="C4" s="774">
        <f>C5+C6+C7</f>
        <v>7246098.7600000007</v>
      </c>
      <c r="D4" s="774">
        <f>D5+D6+D7</f>
        <v>0</v>
      </c>
      <c r="E4" s="774">
        <f t="shared" ref="E4:N4" si="1">E5+E6+E7</f>
        <v>0</v>
      </c>
      <c r="F4" s="774">
        <f t="shared" si="1"/>
        <v>0</v>
      </c>
      <c r="G4" s="774">
        <f t="shared" si="1"/>
        <v>0</v>
      </c>
      <c r="H4" s="774">
        <f t="shared" si="1"/>
        <v>0</v>
      </c>
      <c r="I4" s="774">
        <f t="shared" si="1"/>
        <v>0</v>
      </c>
      <c r="J4" s="774">
        <f t="shared" si="1"/>
        <v>0</v>
      </c>
      <c r="K4" s="774">
        <f t="shared" si="1"/>
        <v>0</v>
      </c>
      <c r="L4" s="774">
        <f t="shared" si="1"/>
        <v>0</v>
      </c>
      <c r="M4" s="774">
        <f t="shared" si="1"/>
        <v>0</v>
      </c>
      <c r="N4" s="774">
        <f t="shared" si="1"/>
        <v>0</v>
      </c>
    </row>
    <row r="5" spans="1:14" ht="27.75" customHeight="1">
      <c r="A5" s="356" t="s">
        <v>261</v>
      </c>
      <c r="B5" s="652">
        <f>B12-B6</f>
        <v>1470846409.0019569</v>
      </c>
      <c r="C5" s="652">
        <f>C14-C7</f>
        <v>5900835.7870248342</v>
      </c>
      <c r="D5" s="652">
        <v>0</v>
      </c>
      <c r="E5" s="652">
        <v>0</v>
      </c>
      <c r="F5" s="652">
        <v>0</v>
      </c>
      <c r="G5" s="652">
        <v>0</v>
      </c>
      <c r="H5" s="652">
        <v>0</v>
      </c>
      <c r="I5" s="652">
        <v>0</v>
      </c>
      <c r="J5" s="652">
        <v>0</v>
      </c>
      <c r="K5" s="652">
        <v>0</v>
      </c>
      <c r="L5" s="652">
        <v>0</v>
      </c>
      <c r="M5" s="652">
        <v>0</v>
      </c>
      <c r="N5" s="652">
        <v>0</v>
      </c>
    </row>
    <row r="6" spans="1:14" ht="27.75" customHeight="1">
      <c r="A6" s="356" t="s">
        <v>262</v>
      </c>
      <c r="B6" s="652">
        <f>'منابع تامين سرمايه گذاري'!E18</f>
        <v>0</v>
      </c>
      <c r="C6" s="652">
        <v>0</v>
      </c>
      <c r="D6" s="652">
        <v>0</v>
      </c>
      <c r="E6" s="652">
        <v>0</v>
      </c>
      <c r="F6" s="652">
        <v>0</v>
      </c>
      <c r="G6" s="652">
        <v>0</v>
      </c>
      <c r="H6" s="652">
        <v>0</v>
      </c>
      <c r="I6" s="652">
        <v>0</v>
      </c>
      <c r="J6" s="652">
        <v>0</v>
      </c>
      <c r="K6" s="652">
        <v>0</v>
      </c>
      <c r="L6" s="652">
        <v>0</v>
      </c>
      <c r="M6" s="652">
        <v>0</v>
      </c>
      <c r="N6" s="652">
        <v>0</v>
      </c>
    </row>
    <row r="7" spans="1:14" ht="27.75" customHeight="1">
      <c r="A7" s="356" t="s">
        <v>263</v>
      </c>
      <c r="B7" s="720">
        <v>0</v>
      </c>
      <c r="C7" s="720">
        <f>IF('برآورد فروش'!B3&lt;12,'منابع تامين سرمايه گذاري'!$E$41*'برآورد فروش'!B3/12,'منابع تامين سرمايه گذاري'!$E$41)</f>
        <v>1345262.9729751665</v>
      </c>
      <c r="D7" s="720">
        <f>IF(('منابع تامين سرمايه گذاري'!E48-C42)&gt;0,IF(('منابع تامين سرمايه گذاري'!E48-C42)&gt;12,'منابع تامين سرمايه گذاري'!E51*D42/12,IF(('منابع تامين سرمايه گذاري'!E41-'جریان نقدینگی'!C7)&gt;='منابع تامين سرمايه گذاري'!E51,'منابع تامين سرمايه گذاري'!E51,('منابع تامين سرمايه گذاري'!E41-'جریان نقدینگی'!C7))),IF('منابع تامين سرمايه گذاري'!E48-C42=0,IF('جریان نقدینگی'!C7='منابع تامين سرمايه گذاري'!E41,0,'منابع تامين سرمايه گذاري'!E41-'جریان نقدینگی'!C7),0))</f>
        <v>0</v>
      </c>
      <c r="E7" s="720">
        <f>IF(('منابع تامين سرمايه گذاري'!E48-C42-D42)&gt;0,IF(('منابع تامين سرمايه گذاري'!E48-C42-D42)&gt;12,'منابع تامين سرمايه گذاري'!E51*E42/12,IF(('منابع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F7" s="720">
        <f>IF(('منابع تامين سرمايه گذاري'!E48-C42-D42-E42)&gt;0,IF(('منابع تامين سرمايه گذاري'!E48-C42-D42-E42)&gt;12,'منابع تامين سرمايه گذاري'!E51*F42/12,IF(('منابع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گذاري'!E48-C42-D42-E42=0,IF('جریان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G7" s="720">
        <f>IF(('منابع تامين سرمايه گذاري'!E48-C42-D42-E42-F42)&gt;0,IF(('منابع تامين سرمايه گذاري'!E48-C42-D42-E42-F42)&gt;12,'منابع تامين سرمايه گذاري'!E51*G42/12,IF(('منابع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گذاري'!E48-C42-D42-E42-F42=0,IF('جریان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H7" s="720">
        <f>IF(('منابع تامين سرمايه گذاري'!E48-C42-D42-E42-F42-G42)&gt;0,IF(('منابع تامين سرمايه گذاري'!E48-C42-D42-E42-F42-G42)&gt;12,'منابع تامين سرمايه گذاري'!E51*H42/12,IF(('منابع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گذاري'!E48-C42-D42-E42-F42-G42=0,IF('جریان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I7" s="720">
        <f>IF(('منابع تامين سرمايه گذاري'!E48-C42-D42-E42-F42-G42-H42)&gt;0,IF(('منابع تامين سرمايه گذاري'!E48-C42-D42-E42-F42-G42-H42)&gt;12,'منابع تامين سرمايه گذاري'!E51*I42/12,IF(('منابع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گذاري'!E48-C42-D42-E42-F42-G42-H42=0,IF('جریان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J7" s="720">
        <f>IF(('منابع تامين سرمايه گذاري'!E48-C42-D42-E42-F42-G42-H42-I42)&gt;0,IF(('منابع تامين سرمايه گذاري'!E48-C42-D42-E42-F42-G42-H42-I42)&gt;12,'منابع تامين سرمايه گذاري'!E51*J42/12,IF(('منابع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گذاري'!E48-C42-D42-E42-F42-G42-H42-I42=0,IF('جریان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K7" s="720">
        <f>IF(('منابع تامين سرمايه گذاري'!E48-C42-D42-E42-F42-G42-H42-I42-J42)&gt;0,IF(('منابع تامين سرمايه گذاري'!E48-C42-D42-E42-F42-G42-H42-I42-J42)&gt;12,'منابع تامين سرمايه گذاري'!E51*K42/12,IF(('منابع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گذاري'!E48-C42-D42-E42-F42-G42-H42-I42-J42=0,IF('جریان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L7" s="720">
        <f>IF(('منابع تامين سرمايه گذاري'!E48-C42-D42-E42-F42-G42-H42-I42-J42-K42)&gt;0,IF(('منابع تامين سرمايه گذاري'!E48-C42-D42-E42-F42-G42-H42-I42-J42-K42)&gt;12,'منابع تامين سرمايه گذاري'!E51*L42/12,IF(('منابع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گذاري'!E48-C42-D42-E42-F42-G42-H42-I42-J42-K42=0,IF('جریان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M7" s="720">
        <f>IF(('منابع تامين سرمايه گذاري'!E48-C42-D42-E42-F42-G42-H42-I42-J42-K42-L42)&gt;0,IF(('منابع تامين سرمايه گذاري'!E48-C42-D42-E42-F42-G42-H42-I42-J42-K42-L42)&gt;12,'منابع تامين سرمايه گذاري'!E51*M42/12,IF(('منابع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گذاري'!E48-C42-D42-E42-F42-G42-H42-I42-J42-K42-L42=0,IF('جریان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N7" s="720">
        <v>0</v>
      </c>
    </row>
    <row r="8" spans="1:14" s="355" customFormat="1" ht="27.75" customHeight="1">
      <c r="A8" s="354" t="s">
        <v>266</v>
      </c>
      <c r="B8" s="774">
        <v>0</v>
      </c>
      <c r="C8" s="774">
        <f>C9+C10</f>
        <v>300000000</v>
      </c>
      <c r="D8" s="774">
        <f>D9+D10</f>
        <v>450000000</v>
      </c>
      <c r="E8" s="774">
        <f t="shared" ref="E8:M8" si="2">E9+E10</f>
        <v>600000000</v>
      </c>
      <c r="F8" s="774">
        <f t="shared" si="2"/>
        <v>850000000</v>
      </c>
      <c r="G8" s="774">
        <f t="shared" si="2"/>
        <v>12</v>
      </c>
      <c r="H8" s="774">
        <f t="shared" si="2"/>
        <v>12</v>
      </c>
      <c r="I8" s="774">
        <f t="shared" si="2"/>
        <v>12</v>
      </c>
      <c r="J8" s="774">
        <f t="shared" si="2"/>
        <v>12</v>
      </c>
      <c r="K8" s="774">
        <f t="shared" si="2"/>
        <v>12</v>
      </c>
      <c r="L8" s="774">
        <f t="shared" si="2"/>
        <v>12</v>
      </c>
      <c r="M8" s="774">
        <f t="shared" si="2"/>
        <v>12</v>
      </c>
      <c r="N8" s="774">
        <f>N9+N10</f>
        <v>137916640.90019572</v>
      </c>
    </row>
    <row r="9" spans="1:14" ht="27.75" customHeight="1">
      <c r="A9" s="356" t="s">
        <v>267</v>
      </c>
      <c r="B9" s="652">
        <v>0</v>
      </c>
      <c r="C9" s="652">
        <f>'برآورد فروش'!B36</f>
        <v>300000000</v>
      </c>
      <c r="D9" s="652">
        <f>'برآورد فروش'!C36</f>
        <v>450000000</v>
      </c>
      <c r="E9" s="652">
        <f>'برآورد فروش'!D36</f>
        <v>600000000</v>
      </c>
      <c r="F9" s="652">
        <f>'برآورد فروش'!E36</f>
        <v>850000000</v>
      </c>
      <c r="G9" s="652">
        <f>'برآورد فروش'!F36</f>
        <v>12</v>
      </c>
      <c r="H9" s="652">
        <f>'برآورد فروش'!G36</f>
        <v>12</v>
      </c>
      <c r="I9" s="652">
        <f>'برآورد فروش'!H36</f>
        <v>12</v>
      </c>
      <c r="J9" s="652">
        <f>'برآورد فروش'!I36</f>
        <v>12</v>
      </c>
      <c r="K9" s="652">
        <f>'برآورد فروش'!J36</f>
        <v>12</v>
      </c>
      <c r="L9" s="652">
        <f>'برآورد فروش'!K36</f>
        <v>12</v>
      </c>
      <c r="M9" s="652">
        <f>'برآورد فروش'!L36</f>
        <v>12</v>
      </c>
      <c r="N9" s="652">
        <f>'برآورد فروش'!M36</f>
        <v>0</v>
      </c>
    </row>
    <row r="10" spans="1:14" ht="27.75" customHeight="1">
      <c r="A10" s="356" t="s">
        <v>268</v>
      </c>
      <c r="B10" s="652">
        <v>0</v>
      </c>
      <c r="C10" s="652">
        <v>0</v>
      </c>
      <c r="D10" s="652">
        <v>0</v>
      </c>
      <c r="E10" s="652">
        <v>0</v>
      </c>
      <c r="F10" s="652">
        <v>0</v>
      </c>
      <c r="G10" s="652">
        <v>0</v>
      </c>
      <c r="H10" s="652">
        <v>0</v>
      </c>
      <c r="I10" s="652">
        <v>0</v>
      </c>
      <c r="J10" s="652">
        <v>0</v>
      </c>
      <c r="K10" s="652">
        <v>0</v>
      </c>
      <c r="L10" s="652">
        <v>0</v>
      </c>
      <c r="M10" s="652">
        <v>0</v>
      </c>
      <c r="N10" s="652">
        <f>استهلاك!G14</f>
        <v>137916640.90019572</v>
      </c>
    </row>
    <row r="11" spans="1:14" s="353" customFormat="1" ht="27.75" customHeight="1">
      <c r="A11" s="352" t="s">
        <v>269</v>
      </c>
      <c r="B11" s="773">
        <f>SUM(B12:B19)-B12</f>
        <v>1470846409.0019569</v>
      </c>
      <c r="C11" s="773">
        <f>SUM(C12:C19)-C12</f>
        <v>65894954.35297516</v>
      </c>
      <c r="D11" s="773">
        <f>SUM(D12:D19)-D12</f>
        <v>57303592.619999997</v>
      </c>
      <c r="E11" s="773">
        <f t="shared" ref="E11:N11" si="3">SUM(E12:E19)-E12</f>
        <v>57303592.619999997</v>
      </c>
      <c r="F11" s="773">
        <f t="shared" si="3"/>
        <v>57303592.619999997</v>
      </c>
      <c r="G11" s="773">
        <f t="shared" si="3"/>
        <v>57303592.619999997</v>
      </c>
      <c r="H11" s="773">
        <f>SUM(H12:H19)-H12</f>
        <v>57303592.619999997</v>
      </c>
      <c r="I11" s="773">
        <f t="shared" si="3"/>
        <v>57303592.619999997</v>
      </c>
      <c r="J11" s="773">
        <f t="shared" si="3"/>
        <v>57303592.619999997</v>
      </c>
      <c r="K11" s="773">
        <f t="shared" si="3"/>
        <v>57303592.619999997</v>
      </c>
      <c r="L11" s="773">
        <f t="shared" si="3"/>
        <v>57303592.619999997</v>
      </c>
      <c r="M11" s="773">
        <f t="shared" si="3"/>
        <v>57303592.619999997</v>
      </c>
      <c r="N11" s="773">
        <f t="shared" si="3"/>
        <v>0</v>
      </c>
    </row>
    <row r="12" spans="1:14" s="355" customFormat="1" ht="27.75" customHeight="1">
      <c r="A12" s="354" t="s">
        <v>270</v>
      </c>
      <c r="B12" s="774">
        <f>B13</f>
        <v>1470846409.0019569</v>
      </c>
      <c r="C12" s="774">
        <v>0</v>
      </c>
      <c r="D12" s="774">
        <v>0</v>
      </c>
      <c r="E12" s="774">
        <v>0</v>
      </c>
      <c r="F12" s="774">
        <v>0</v>
      </c>
      <c r="G12" s="774">
        <v>0</v>
      </c>
      <c r="H12" s="774">
        <v>0</v>
      </c>
      <c r="I12" s="774">
        <v>0</v>
      </c>
      <c r="J12" s="774">
        <v>0</v>
      </c>
      <c r="K12" s="774">
        <v>0</v>
      </c>
      <c r="L12" s="774">
        <v>0</v>
      </c>
      <c r="M12" s="774">
        <v>0</v>
      </c>
      <c r="N12" s="774">
        <v>0</v>
      </c>
    </row>
    <row r="13" spans="1:14" ht="27.75" customHeight="1">
      <c r="A13" s="356" t="s">
        <v>271</v>
      </c>
      <c r="B13" s="652">
        <f>'سرمايه‌‌گذاري طرح'!F15</f>
        <v>1470846409.0019569</v>
      </c>
      <c r="C13" s="652">
        <v>0</v>
      </c>
      <c r="D13" s="652">
        <v>0</v>
      </c>
      <c r="E13" s="652">
        <v>0</v>
      </c>
      <c r="F13" s="652">
        <v>0</v>
      </c>
      <c r="G13" s="652">
        <v>0</v>
      </c>
      <c r="H13" s="652">
        <v>0</v>
      </c>
      <c r="I13" s="652">
        <v>0</v>
      </c>
      <c r="J13" s="652">
        <v>0</v>
      </c>
      <c r="K13" s="652">
        <v>0</v>
      </c>
      <c r="L13" s="652">
        <v>0</v>
      </c>
      <c r="M13" s="652">
        <v>0</v>
      </c>
      <c r="N13" s="652">
        <v>0</v>
      </c>
    </row>
    <row r="14" spans="1:14" ht="27.75" customHeight="1">
      <c r="A14" s="356" t="s">
        <v>249</v>
      </c>
      <c r="B14" s="652">
        <f>'جریان نقدینگی تنزیل شده1'!B5</f>
        <v>0</v>
      </c>
      <c r="C14" s="652">
        <f>'جریان نقدینگی تنزیل شده1'!C5</f>
        <v>7246098.7600000007</v>
      </c>
      <c r="D14" s="652">
        <f>'جریان نقدینگی تنزیل شده1'!D5</f>
        <v>0</v>
      </c>
      <c r="E14" s="652">
        <f>'جریان نقدینگی تنزیل شده1'!E5</f>
        <v>0</v>
      </c>
      <c r="F14" s="652">
        <f>'جریان نقدینگی تنزیل شده1'!F5</f>
        <v>0</v>
      </c>
      <c r="G14" s="652">
        <f>'جریان نقدینگی تنزیل شده1'!G5</f>
        <v>0</v>
      </c>
      <c r="H14" s="652">
        <f>'جریان نقدینگی تنزیل شده1'!H5</f>
        <v>0</v>
      </c>
      <c r="I14" s="652">
        <f>'جریان نقدینگی تنزیل شده1'!I5</f>
        <v>0</v>
      </c>
      <c r="J14" s="652">
        <f>'جریان نقدینگی تنزیل شده1'!J5</f>
        <v>0</v>
      </c>
      <c r="K14" s="652">
        <f>'جریان نقدینگی تنزیل شده1'!K5</f>
        <v>0</v>
      </c>
      <c r="L14" s="652">
        <f>'جریان نقدینگی تنزیل شده1'!L5</f>
        <v>0</v>
      </c>
      <c r="M14" s="652">
        <f>'جریان نقدینگی تنزیل شده1'!M5</f>
        <v>0</v>
      </c>
      <c r="N14" s="652">
        <f>'جریان نقدینگی تنزیل شده1'!N5</f>
        <v>0</v>
      </c>
    </row>
    <row r="15" spans="1:14" ht="27.75" customHeight="1">
      <c r="A15" s="356" t="s">
        <v>277</v>
      </c>
      <c r="B15" s="652">
        <v>0</v>
      </c>
      <c r="C15" s="652">
        <f>'پيش بيني عملكرد سود و زيان'!C6+'پيش بيني عملكرد سود و زيان'!C7+'پيش بيني عملكرد سود و زيان'!C8+'پيش بيني عملكرد سود و زيان'!C9+'پيش بيني عملكرد سود و زيان'!C10+'پيش بيني عملكرد سود و زيان'!C12+'پيش بيني عملكرد سود و زيان'!C13+'پيش بيني عملكرد سود و زيان'!C18+'پيش بيني عملكرد سود و زيان'!C19+'پيش بيني عملكرد سود و زيان'!C22+'پيش بيني عملكرد سود و زيان'!C23-'پيش بيني عملكرد سود و زيان'!C15</f>
        <v>57303592.619999997</v>
      </c>
      <c r="D15" s="652">
        <f>'پيش بيني عملكرد سود و زيان'!D6+'پيش بيني عملكرد سود و زيان'!D7+'پيش بيني عملكرد سود و زيان'!D8+'پيش بيني عملكرد سود و زيان'!D9+'پيش بيني عملكرد سود و زيان'!D10+'پيش بيني عملكرد سود و زيان'!D12+'پيش بيني عملكرد سود و زيان'!D13+'پيش بيني عملكرد سود و زيان'!D18+'پيش بيني عملكرد سود و زيان'!D19+'پيش بيني عملكرد سود و زيان'!D22+'پيش بيني عملكرد سود و زيان'!D23-'پيش بيني عملكرد سود و زيان'!D15</f>
        <v>57303592.619999997</v>
      </c>
      <c r="E15" s="652">
        <f>'پيش بيني عملكرد سود و زيان'!E6+'پيش بيني عملكرد سود و زيان'!E7+'پيش بيني عملكرد سود و زيان'!E8+'پيش بيني عملكرد سود و زيان'!E9+'پيش بيني عملكرد سود و زيان'!E10+'پيش بيني عملكرد سود و زيان'!E12+'پيش بيني عملكرد سود و زيان'!E13+'پيش بيني عملكرد سود و زيان'!E18+'پيش بيني عملكرد سود و زيان'!E19+'پيش بيني عملكرد سود و زيان'!E22+'پيش بيني عملكرد سود و زيان'!E23-'پيش بيني عملكرد سود و زيان'!E15</f>
        <v>57303592.619999997</v>
      </c>
      <c r="F15" s="652">
        <f>'پيش بيني عملكرد سود و زيان'!F6+'پيش بيني عملكرد سود و زيان'!F7+'پيش بيني عملكرد سود و زيان'!F8+'پيش بيني عملكرد سود و زيان'!F9+'پيش بيني عملكرد سود و زيان'!F10+'پيش بيني عملكرد سود و زيان'!F12+'پيش بيني عملكرد سود و زيان'!F13+'پيش بيني عملكرد سود و زيان'!F18+'پيش بيني عملكرد سود و زيان'!F19+'پيش بيني عملكرد سود و زيان'!F22+'پيش بيني عملكرد سود و زيان'!F23-'پيش بيني عملكرد سود و زيان'!F15</f>
        <v>57303592.619999997</v>
      </c>
      <c r="G15" s="652">
        <f>'پيش بيني عملكرد سود و زيان'!G6+'پيش بيني عملكرد سود و زيان'!G7+'پيش بيني عملكرد سود و زيان'!G8+'پيش بيني عملكرد سود و زيان'!G9+'پيش بيني عملكرد سود و زيان'!G10+'پيش بيني عملكرد سود و زيان'!G12+'پيش بيني عملكرد سود و زيان'!G13+'پيش بيني عملكرد سود و زيان'!G18+'پيش بيني عملكرد سود و زيان'!G19+'پيش بيني عملكرد سود و زيان'!G22+'پيش بيني عملكرد سود و زيان'!G23-'پيش بيني عملكرد سود و زيان'!G15</f>
        <v>57303592.619999997</v>
      </c>
      <c r="H15" s="652">
        <f>'پيش بيني عملكرد سود و زيان'!H6+'پيش بيني عملكرد سود و زيان'!H7+'پيش بيني عملكرد سود و زيان'!H8+'پيش بيني عملكرد سود و زيان'!H9+'پيش بيني عملكرد سود و زيان'!H10+'پيش بيني عملكرد سود و زيان'!H12+'پيش بيني عملكرد سود و زيان'!H13+'پيش بيني عملكرد سود و زيان'!H18+'پيش بيني عملكرد سود و زيان'!H19+'پيش بيني عملكرد سود و زيان'!H22+'پيش بيني عملكرد سود و زيان'!H23-'پيش بيني عملكرد سود و زيان'!H15</f>
        <v>57303592.619999997</v>
      </c>
      <c r="I15" s="652">
        <f>'پيش بيني عملكرد سود و زيان'!I6+'پيش بيني عملكرد سود و زيان'!I7+'پيش بيني عملكرد سود و زيان'!I8+'پيش بيني عملكرد سود و زيان'!I9+'پيش بيني عملكرد سود و زيان'!I10+'پيش بيني عملكرد سود و زيان'!I12+'پيش بيني عملكرد سود و زيان'!I13+'پيش بيني عملكرد سود و زيان'!I18+'پيش بيني عملكرد سود و زيان'!I19+'پيش بيني عملكرد سود و زيان'!I22+'پيش بيني عملكرد سود و زيان'!I23-'پيش بيني عملكرد سود و زيان'!I15</f>
        <v>57303592.619999997</v>
      </c>
      <c r="J15" s="652">
        <f>'پيش بيني عملكرد سود و زيان'!J6+'پيش بيني عملكرد سود و زيان'!J7+'پيش بيني عملكرد سود و زيان'!J8+'پيش بيني عملكرد سود و زيان'!J9+'پيش بيني عملكرد سود و زيان'!J10+'پيش بيني عملكرد سود و زيان'!J12+'پيش بيني عملكرد سود و زيان'!J13+'پيش بيني عملكرد سود و زيان'!J18+'پيش بيني عملكرد سود و زيان'!J19+'پيش بيني عملكرد سود و زيان'!J22+'پيش بيني عملكرد سود و زيان'!J23-'پيش بيني عملكرد سود و زيان'!J15</f>
        <v>57303592.619999997</v>
      </c>
      <c r="K15" s="652">
        <f>'پيش بيني عملكرد سود و زيان'!K6+'پيش بيني عملكرد سود و زيان'!K7+'پيش بيني عملكرد سود و زيان'!K8+'پيش بيني عملكرد سود و زيان'!K9+'پيش بيني عملكرد سود و زيان'!K10+'پيش بيني عملكرد سود و زيان'!K12+'پيش بيني عملكرد سود و زيان'!K13+'پيش بيني عملكرد سود و زيان'!K18+'پيش بيني عملكرد سود و زيان'!K19+'پيش بيني عملكرد سود و زيان'!K22+'پيش بيني عملكرد سود و زيان'!K23-'پيش بيني عملكرد سود و زيان'!K15</f>
        <v>57303592.619999997</v>
      </c>
      <c r="L15" s="652">
        <f>'پيش بيني عملكرد سود و زيان'!L6+'پيش بيني عملكرد سود و زيان'!L7+'پيش بيني عملكرد سود و زيان'!L8+'پيش بيني عملكرد سود و زيان'!L9+'پيش بيني عملكرد سود و زيان'!L10+'پيش بيني عملكرد سود و زيان'!L12+'پيش بيني عملكرد سود و زيان'!L13+'پيش بيني عملكرد سود و زيان'!L18+'پيش بيني عملكرد سود و زيان'!L19+'پيش بيني عملكرد سود و زيان'!L22+'پيش بيني عملكرد سود و زيان'!L23-'پيش بيني عملكرد سود و زيان'!L15</f>
        <v>57303592.619999997</v>
      </c>
      <c r="M15" s="652">
        <f>'پيش بيني عملكرد سود و زيان'!M6+'پيش بيني عملكرد سود و زيان'!M7+'پيش بيني عملكرد سود و زيان'!M8+'پيش بيني عملكرد سود و زيان'!M9+'پيش بيني عملكرد سود و زيان'!M10+'پيش بيني عملكرد سود و زيان'!M12+'پيش بيني عملكرد سود و زيان'!M13+'پيش بيني عملكرد سود و زيان'!M18+'پيش بيني عملكرد سود و زيان'!M19+'پيش بيني عملكرد سود و زيان'!M22+'پيش بيني عملكرد سود و زيان'!M23-'پيش بيني عملكرد سود و زيان'!M15</f>
        <v>57303592.619999997</v>
      </c>
      <c r="N15" s="652">
        <f>'پيش بيني عملكرد سود و زيان'!N6+'پيش بيني عملكرد سود و زيان'!N7+'پيش بيني عملكرد سود و زيان'!N8+'پيش بيني عملكرد سود و زيان'!N9+'پيش بيني عملكرد سود و زيان'!N10+'پيش بيني عملكرد سود و زيان'!N12+'پيش بيني عملكرد سود و زيان'!N13+'پيش بيني عملكرد سود و زيان'!N18+'پيش بيني عملكرد سود و زيان'!N19+'پيش بيني عملكرد سود و زيان'!N22+'پيش بيني عملكرد سود و زيان'!N23-'پيش بيني عملكرد سود و زيان'!N15</f>
        <v>0</v>
      </c>
    </row>
    <row r="16" spans="1:14" ht="27.75" customHeight="1">
      <c r="A16" s="356" t="s">
        <v>272</v>
      </c>
      <c r="B16" s="652">
        <v>0</v>
      </c>
      <c r="C16" s="652">
        <f>'پيش بيني عملكرد سود و زيان'!C27</f>
        <v>0</v>
      </c>
      <c r="D16" s="652">
        <f>'پيش بيني عملكرد سود و زيان'!D27</f>
        <v>0</v>
      </c>
      <c r="E16" s="652">
        <f>'پيش بيني عملكرد سود و زيان'!E27</f>
        <v>0</v>
      </c>
      <c r="F16" s="652">
        <f>'پيش بيني عملكرد سود و زيان'!F27</f>
        <v>0</v>
      </c>
      <c r="G16" s="652">
        <f>'پيش بيني عملكرد سود و زيان'!G27</f>
        <v>0</v>
      </c>
      <c r="H16" s="652">
        <f>'پيش بيني عملكرد سود و زيان'!H27</f>
        <v>0</v>
      </c>
      <c r="I16" s="652">
        <f>'پيش بيني عملكرد سود و زيان'!I27</f>
        <v>0</v>
      </c>
      <c r="J16" s="652">
        <f>'پيش بيني عملكرد سود و زيان'!J27</f>
        <v>0</v>
      </c>
      <c r="K16" s="652">
        <f>'پيش بيني عملكرد سود و زيان'!K27</f>
        <v>0</v>
      </c>
      <c r="L16" s="652">
        <f>'پيش بيني عملكرد سود و زيان'!L27</f>
        <v>0</v>
      </c>
      <c r="M16" s="652">
        <f>'پيش بيني عملكرد سود و زيان'!M27</f>
        <v>0</v>
      </c>
      <c r="N16" s="652">
        <f>'پيش بيني عملكرد سود و زيان'!N27</f>
        <v>0</v>
      </c>
    </row>
    <row r="17" spans="1:14" ht="27.75" customHeight="1">
      <c r="A17" s="356" t="s">
        <v>298</v>
      </c>
      <c r="B17" s="652">
        <v>0</v>
      </c>
      <c r="C17" s="775">
        <f>'پيش بيني عملكرد سود و زيان'!C24+'پيش بيني عملكرد سود و زيان'!C25</f>
        <v>0</v>
      </c>
      <c r="D17" s="775">
        <f>'پيش بيني عملكرد سود و زيان'!D24+'پيش بيني عملكرد سود و زيان'!D25</f>
        <v>0</v>
      </c>
      <c r="E17" s="775">
        <f>'پيش بيني عملكرد سود و زيان'!E24+'پيش بيني عملكرد سود و زيان'!E25</f>
        <v>0</v>
      </c>
      <c r="F17" s="775">
        <f>'پيش بيني عملكرد سود و زيان'!F24+'پيش بيني عملكرد سود و زيان'!F25</f>
        <v>0</v>
      </c>
      <c r="G17" s="775">
        <f>'پيش بيني عملكرد سود و زيان'!G24+'پيش بيني عملكرد سود و زيان'!G25</f>
        <v>0</v>
      </c>
      <c r="H17" s="775">
        <f>'پيش بيني عملكرد سود و زيان'!H24+'پيش بيني عملكرد سود و زيان'!H25</f>
        <v>0</v>
      </c>
      <c r="I17" s="775">
        <f>'پيش بيني عملكرد سود و زيان'!I24+'پيش بيني عملكرد سود و زيان'!I25</f>
        <v>0</v>
      </c>
      <c r="J17" s="775">
        <f>'پيش بيني عملكرد سود و زيان'!J24+'پيش بيني عملكرد سود و زيان'!J25</f>
        <v>0</v>
      </c>
      <c r="K17" s="775">
        <f>'پيش بيني عملكرد سود و زيان'!K24+'پيش بيني عملكرد سود و زيان'!K25</f>
        <v>0</v>
      </c>
      <c r="L17" s="775">
        <f>'پيش بيني عملكرد سود و زيان'!L24+'پيش بيني عملكرد سود و زيان'!L25</f>
        <v>0</v>
      </c>
      <c r="M17" s="775">
        <f>'پيش بيني عملكرد سود و زيان'!M24+'پيش بيني عملكرد سود و زيان'!M25</f>
        <v>0</v>
      </c>
      <c r="N17" s="775">
        <f>'پيش بيني عملكرد سود و زيان'!N24+'پيش بيني عملكرد سود و زيان'!N25</f>
        <v>0</v>
      </c>
    </row>
    <row r="18" spans="1:14" ht="27.75" customHeight="1">
      <c r="A18" s="356" t="s">
        <v>299</v>
      </c>
      <c r="B18" s="652">
        <v>0</v>
      </c>
      <c r="C18" s="775">
        <f>'پيش بيني عملكرد سود و زيان'!C33+'پيش بيني عملكرد سود و زيان'!C45</f>
        <v>1345262.9729751665</v>
      </c>
      <c r="D18" s="775">
        <f>'پيش بيني عملكرد سود و زيان'!D33+'پيش بيني عملكرد سود و زيان'!D45</f>
        <v>0</v>
      </c>
      <c r="E18" s="775">
        <f>'پيش بيني عملكرد سود و زيان'!E33+'پيش بيني عملكرد سود و زيان'!E45</f>
        <v>0</v>
      </c>
      <c r="F18" s="775">
        <f>'پيش بيني عملكرد سود و زيان'!F33+'پيش بيني عملكرد سود و زيان'!F45</f>
        <v>0</v>
      </c>
      <c r="G18" s="775">
        <f>'پيش بيني عملكرد سود و زيان'!G33+'پيش بيني عملكرد سود و زيان'!G45</f>
        <v>0</v>
      </c>
      <c r="H18" s="775">
        <f>'پيش بيني عملكرد سود و زيان'!H33+'پيش بيني عملكرد سود و زيان'!H45</f>
        <v>0</v>
      </c>
      <c r="I18" s="775">
        <f>'پيش بيني عملكرد سود و زيان'!I33+'پيش بيني عملكرد سود و زيان'!I45</f>
        <v>0</v>
      </c>
      <c r="J18" s="775">
        <f>'پيش بيني عملكرد سود و زيان'!J33+'پيش بيني عملكرد سود و زيان'!J45</f>
        <v>0</v>
      </c>
      <c r="K18" s="775">
        <f>'پيش بيني عملكرد سود و زيان'!K33+'پيش بيني عملكرد سود و زيان'!K45</f>
        <v>0</v>
      </c>
      <c r="L18" s="775">
        <f>'پيش بيني عملكرد سود و زيان'!L33+'پيش بيني عملكرد سود و زيان'!L45</f>
        <v>0</v>
      </c>
      <c r="M18" s="775">
        <f>'پيش بيني عملكرد سود و زيان'!M33+'پيش بيني عملكرد سود و زيان'!M45</f>
        <v>0</v>
      </c>
      <c r="N18" s="775">
        <f>'پيش بيني عملكرد سود و زيان'!N33+'پيش بيني عملكرد سود و زيان'!N45</f>
        <v>0</v>
      </c>
    </row>
    <row r="19" spans="1:14" s="414" customFormat="1" ht="27.75" customHeight="1">
      <c r="A19" s="413" t="s">
        <v>273</v>
      </c>
      <c r="B19" s="776">
        <v>0</v>
      </c>
      <c r="C19" s="776">
        <f>مفروضات!B8*'پيش بيني عملكرد سود و زيان'!C26</f>
        <v>0</v>
      </c>
      <c r="D19" s="776">
        <f>مفروضات!C8*'پيش بيني عملكرد سود و زيان'!D26</f>
        <v>0</v>
      </c>
      <c r="E19" s="776">
        <f>مفروضات!D8*'پيش بيني عملكرد سود و زيان'!E26</f>
        <v>0</v>
      </c>
      <c r="F19" s="776">
        <f>مفروضات!E8*'پيش بيني عملكرد سود و زيان'!F26</f>
        <v>0</v>
      </c>
      <c r="G19" s="776">
        <f>مفروضات!F8*'پيش بيني عملكرد سود و زيان'!G26</f>
        <v>0</v>
      </c>
      <c r="H19" s="776">
        <f>مفروضات!G8*'پيش بيني عملكرد سود و زيان'!H26</f>
        <v>0</v>
      </c>
      <c r="I19" s="776">
        <f>مفروضات!H8*'پيش بيني عملكرد سود و زيان'!I26</f>
        <v>0</v>
      </c>
      <c r="J19" s="776">
        <f>مفروضات!I8*'پيش بيني عملكرد سود و زيان'!J26</f>
        <v>0</v>
      </c>
      <c r="K19" s="776">
        <f>مفروضات!J8*'پيش بيني عملكرد سود و زيان'!K26</f>
        <v>0</v>
      </c>
      <c r="L19" s="776">
        <f>مفروضات!K8*'پيش بيني عملكرد سود و زيان'!L26</f>
        <v>0</v>
      </c>
      <c r="M19" s="776">
        <f>مفروضات!L8*'پيش بيني عملكرد سود و زيان'!M26</f>
        <v>0</v>
      </c>
      <c r="N19" s="776">
        <f>مفروضات!M8*'پيش بيني عملكرد سود و زيان'!N26</f>
        <v>0</v>
      </c>
    </row>
    <row r="20" spans="1:14" s="353" customFormat="1" ht="27.75" customHeight="1">
      <c r="A20" s="352" t="s">
        <v>274</v>
      </c>
      <c r="B20" s="773">
        <f>B3-B11</f>
        <v>0</v>
      </c>
      <c r="C20" s="773">
        <f>C3-C11</f>
        <v>241351144.40702483</v>
      </c>
      <c r="D20" s="773">
        <f>D3-D11</f>
        <v>392696407.38</v>
      </c>
      <c r="E20" s="773">
        <f t="shared" ref="E20:N20" si="4">E3-E11</f>
        <v>542696407.38</v>
      </c>
      <c r="F20" s="773">
        <f t="shared" si="4"/>
        <v>792696407.38</v>
      </c>
      <c r="G20" s="773">
        <f t="shared" si="4"/>
        <v>-57303580.619999997</v>
      </c>
      <c r="H20" s="773">
        <f>H3-H11</f>
        <v>-57303580.619999997</v>
      </c>
      <c r="I20" s="773">
        <f t="shared" si="4"/>
        <v>-57303580.619999997</v>
      </c>
      <c r="J20" s="773">
        <f t="shared" si="4"/>
        <v>-57303580.619999997</v>
      </c>
      <c r="K20" s="773">
        <f t="shared" si="4"/>
        <v>-57303580.619999997</v>
      </c>
      <c r="L20" s="773">
        <f t="shared" si="4"/>
        <v>-57303580.619999997</v>
      </c>
      <c r="M20" s="773">
        <f t="shared" si="4"/>
        <v>-57303580.619999997</v>
      </c>
      <c r="N20" s="773">
        <f t="shared" si="4"/>
        <v>137916640.90019572</v>
      </c>
    </row>
    <row r="21" spans="1:14" s="353" customFormat="1" ht="27.75" customHeight="1">
      <c r="A21" s="352" t="s">
        <v>275</v>
      </c>
      <c r="B21" s="773">
        <f>B20</f>
        <v>0</v>
      </c>
      <c r="C21" s="773">
        <f>C20+B21</f>
        <v>241351144.40702483</v>
      </c>
      <c r="D21" s="773">
        <f>D20+C21</f>
        <v>634047551.78702486</v>
      </c>
      <c r="E21" s="773">
        <f t="shared" ref="E21:M21" si="5">E20+D21</f>
        <v>1176743959.1670249</v>
      </c>
      <c r="F21" s="773">
        <f t="shared" si="5"/>
        <v>1969440366.5470247</v>
      </c>
      <c r="G21" s="773">
        <f t="shared" si="5"/>
        <v>1912136785.9270248</v>
      </c>
      <c r="H21" s="773">
        <f t="shared" si="5"/>
        <v>1854833205.307025</v>
      </c>
      <c r="I21" s="773">
        <f t="shared" si="5"/>
        <v>1797529624.6870251</v>
      </c>
      <c r="J21" s="773">
        <f t="shared" si="5"/>
        <v>1740226044.0670252</v>
      </c>
      <c r="K21" s="773">
        <f t="shared" si="5"/>
        <v>1682922463.4470253</v>
      </c>
      <c r="L21" s="773">
        <f t="shared" si="5"/>
        <v>1625618882.8270254</v>
      </c>
      <c r="M21" s="773">
        <f t="shared" si="5"/>
        <v>1568315302.2070255</v>
      </c>
      <c r="N21" s="773">
        <f>N20+M21</f>
        <v>1706231943.1072211</v>
      </c>
    </row>
    <row r="23" spans="1:14">
      <c r="D23" s="357"/>
      <c r="E23" s="357"/>
    </row>
    <row r="25" spans="1:14">
      <c r="C25" s="358"/>
    </row>
    <row r="26" spans="1:14">
      <c r="C26" s="358"/>
    </row>
    <row r="42" spans="1:14">
      <c r="A42" s="527" t="str">
        <f>'پيش بيني عملكرد سود و زيان'!B3</f>
        <v>تعداد ماههاي فعاليت</v>
      </c>
      <c r="C42" s="527">
        <f>'پيش بيني عملكرد سود و زيان'!C3</f>
        <v>12</v>
      </c>
      <c r="D42" s="527">
        <f>'پيش بيني عملكرد سود و زيان'!D3</f>
        <v>12</v>
      </c>
      <c r="E42" s="527">
        <f>'پيش بيني عملكرد سود و زيان'!E3</f>
        <v>12</v>
      </c>
      <c r="F42" s="527">
        <f>'پيش بيني عملكرد سود و زيان'!F3</f>
        <v>12</v>
      </c>
      <c r="G42" s="527">
        <f>'پيش بيني عملكرد سود و زيان'!G3</f>
        <v>12</v>
      </c>
      <c r="H42" s="527">
        <f>'پيش بيني عملكرد سود و زيان'!H3</f>
        <v>12</v>
      </c>
      <c r="I42" s="527">
        <f>'پيش بيني عملكرد سود و زيان'!I3</f>
        <v>12</v>
      </c>
      <c r="J42" s="527">
        <f>'پيش بيني عملكرد سود و زيان'!J3</f>
        <v>12</v>
      </c>
      <c r="K42" s="527">
        <f>'پيش بيني عملكرد سود و زيان'!K3</f>
        <v>12</v>
      </c>
      <c r="L42" s="527">
        <f>'پيش بيني عملكرد سود و زيان'!L3</f>
        <v>12</v>
      </c>
      <c r="M42" s="527">
        <f>'پيش بيني عملكرد سود و زيان'!M3</f>
        <v>12</v>
      </c>
      <c r="N42" s="527">
        <f>'پيش بيني عملكرد سود و زيان'!O3</f>
        <v>0</v>
      </c>
    </row>
  </sheetData>
  <mergeCells count="1">
    <mergeCell ref="A1:N1"/>
  </mergeCells>
  <phoneticPr fontId="5" type="noConversion"/>
  <printOptions horizontalCentered="1" verticalCentered="1"/>
  <pageMargins left="0.78740157480314965" right="1.3779527559055118" top="0.78740157480314965" bottom="0.78740157480314965" header="0" footer="0"/>
  <pageSetup paperSize="9" scale="45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29"/>
  <dimension ref="A1:N20"/>
  <sheetViews>
    <sheetView rightToLeft="1" view="pageBreakPreview" zoomScaleNormal="100" workbookViewId="0">
      <selection activeCell="J7" sqref="J7"/>
    </sheetView>
  </sheetViews>
  <sheetFormatPr defaultColWidth="9.109375" defaultRowHeight="13.2"/>
  <cols>
    <col min="1" max="1" width="25.6640625" style="16" customWidth="1"/>
    <col min="2" max="2" width="12.44140625" style="16" customWidth="1"/>
    <col min="3" max="3" width="13.109375" style="16" customWidth="1"/>
    <col min="4" max="4" width="10.6640625" style="16" customWidth="1"/>
    <col min="5" max="8" width="10" style="16" customWidth="1"/>
    <col min="9" max="9" width="11.109375" style="16" customWidth="1"/>
    <col min="10" max="13" width="10" style="16" customWidth="1"/>
    <col min="14" max="14" width="10.44140625" style="16" bestFit="1" customWidth="1"/>
    <col min="15" max="16384" width="9.109375" style="16"/>
  </cols>
  <sheetData>
    <row r="1" spans="1:14" ht="30" customHeight="1" thickBot="1">
      <c r="A1" s="1163" t="s">
        <v>490</v>
      </c>
      <c r="B1" s="1163"/>
      <c r="C1" s="1163"/>
      <c r="D1" s="1163"/>
      <c r="E1" s="1163"/>
      <c r="F1" s="1163"/>
      <c r="G1" s="1163"/>
      <c r="H1" s="1163"/>
      <c r="I1" s="1163"/>
      <c r="J1" s="1163"/>
      <c r="K1" s="1163"/>
      <c r="L1" s="1163"/>
    </row>
    <row r="2" spans="1:14" s="27" customFormat="1" ht="30" customHeight="1">
      <c r="A2" s="24" t="s">
        <v>7</v>
      </c>
      <c r="B2" s="25" t="str">
        <f>'جریان نقدینگی'!B2</f>
        <v>سال ساخت</v>
      </c>
      <c r="C2" s="26" t="str">
        <f>'برآورد فروش'!B2</f>
        <v>سال بهره برداری</v>
      </c>
      <c r="D2" s="26" t="str">
        <f>'برآورد فروش'!C2</f>
        <v xml:space="preserve">سال اول </v>
      </c>
      <c r="E2" s="26" t="str">
        <f>'برآورد فروش'!D2</f>
        <v>سال دوم</v>
      </c>
      <c r="F2" s="26" t="str">
        <f>'برآورد فروش'!E2</f>
        <v>سال سوم</v>
      </c>
      <c r="G2" s="26" t="str">
        <f>'برآورد فروش'!F2</f>
        <v>سال چهارم</v>
      </c>
      <c r="H2" s="26" t="str">
        <f>'برآورد فروش'!G2</f>
        <v>سال پنجم</v>
      </c>
      <c r="I2" s="26" t="str">
        <f>'برآورد فروش'!H2</f>
        <v>سال ششم</v>
      </c>
      <c r="J2" s="26" t="str">
        <f>'برآورد فروش'!I2</f>
        <v>سال هفتم</v>
      </c>
      <c r="K2" s="26" t="str">
        <f>'برآورد فروش'!J2</f>
        <v>سال هشتم</v>
      </c>
      <c r="L2" s="26" t="str">
        <f>'برآورد فروش'!K2</f>
        <v>سال نهم</v>
      </c>
      <c r="M2" s="26" t="str">
        <f>'برآورد فروش'!L2</f>
        <v>سال دهم</v>
      </c>
      <c r="N2" s="28" t="str">
        <f>'جریان نقدینگی'!N2</f>
        <v>ارزش اسقاط</v>
      </c>
    </row>
    <row r="3" spans="1:14" ht="27.75" customHeight="1">
      <c r="A3" s="3" t="s">
        <v>256</v>
      </c>
      <c r="B3" s="777">
        <f>'[2]پیش بینی سودوزیان'!B9</f>
        <v>0</v>
      </c>
      <c r="C3" s="777">
        <f>'جریان نقدینگی'!C8-'جریان نقدینگی'!C15-'جریان نقدینگی'!C16</f>
        <v>242696407.38</v>
      </c>
      <c r="D3" s="777">
        <f>'جریان نقدینگی'!D8-'جریان نقدینگی'!D15-'جریان نقدینگی'!D16</f>
        <v>392696407.38</v>
      </c>
      <c r="E3" s="777">
        <f>'جریان نقدینگی'!E8-'جریان نقدینگی'!E15-'جریان نقدینگی'!E16</f>
        <v>542696407.38</v>
      </c>
      <c r="F3" s="777">
        <f>'جریان نقدینگی'!F8-'جریان نقدینگی'!F15-'جریان نقدینگی'!F16</f>
        <v>792696407.38</v>
      </c>
      <c r="G3" s="777">
        <f>'جریان نقدینگی'!G8-'جریان نقدینگی'!G15-'جریان نقدینگی'!G16</f>
        <v>-57303580.619999997</v>
      </c>
      <c r="H3" s="777">
        <f>'جریان نقدینگی'!H8-'جریان نقدینگی'!H15-'جریان نقدینگی'!H16</f>
        <v>-57303580.619999997</v>
      </c>
      <c r="I3" s="777">
        <f>'جریان نقدینگی'!I8-'جریان نقدینگی'!I15-'جریان نقدینگی'!I16</f>
        <v>-57303580.619999997</v>
      </c>
      <c r="J3" s="777">
        <f>'جریان نقدینگی'!J8-'جریان نقدینگی'!J15-'جریان نقدینگی'!J16</f>
        <v>-57303580.619999997</v>
      </c>
      <c r="K3" s="777">
        <f>'جریان نقدینگی'!K8-'جریان نقدینگی'!K15-'جریان نقدینگی'!K16</f>
        <v>-57303580.619999997</v>
      </c>
      <c r="L3" s="777">
        <f>'جریان نقدینگی'!L8-'جریان نقدینگی'!L15-'جریان نقدینگی'!L16</f>
        <v>-57303580.619999997</v>
      </c>
      <c r="M3" s="777">
        <f>'جریان نقدینگی'!M8-'جریان نقدینگی'!M15-'جریان نقدینگی'!M16</f>
        <v>-57303580.619999997</v>
      </c>
      <c r="N3" s="778">
        <f>'جریان نقدینگی'!N8-'جریان نقدینگی'!N15-'جریان نقدینگی'!N16</f>
        <v>137916640.90019572</v>
      </c>
    </row>
    <row r="4" spans="1:14" ht="27.75" customHeight="1">
      <c r="A4" s="5" t="s">
        <v>248</v>
      </c>
      <c r="B4" s="779">
        <f>'سرمايه‌‌گذاري طرح'!F15</f>
        <v>1470846409.0019569</v>
      </c>
      <c r="C4" s="779">
        <v>0</v>
      </c>
      <c r="D4" s="779">
        <v>0</v>
      </c>
      <c r="E4" s="779">
        <v>0</v>
      </c>
      <c r="F4" s="779">
        <v>0</v>
      </c>
      <c r="G4" s="779">
        <v>0</v>
      </c>
      <c r="H4" s="779">
        <v>0</v>
      </c>
      <c r="I4" s="779">
        <v>0</v>
      </c>
      <c r="J4" s="779">
        <v>0</v>
      </c>
      <c r="K4" s="779">
        <v>0</v>
      </c>
      <c r="L4" s="779">
        <v>0</v>
      </c>
      <c r="M4" s="779">
        <v>0</v>
      </c>
      <c r="N4" s="780">
        <v>0</v>
      </c>
    </row>
    <row r="5" spans="1:14" ht="27.75" customHeight="1">
      <c r="A5" s="5" t="s">
        <v>249</v>
      </c>
      <c r="B5" s="779">
        <v>0</v>
      </c>
      <c r="C5" s="779">
        <f>'سرمايه در گردش'!C21</f>
        <v>7246098.7600000007</v>
      </c>
      <c r="D5" s="779">
        <f>'سرمايه در گردش'!D21</f>
        <v>0</v>
      </c>
      <c r="E5" s="779">
        <f>'سرمايه در گردش'!E21</f>
        <v>0</v>
      </c>
      <c r="F5" s="779">
        <f>'سرمايه در گردش'!F21</f>
        <v>0</v>
      </c>
      <c r="G5" s="779">
        <f>'سرمايه در گردش'!G21</f>
        <v>0</v>
      </c>
      <c r="H5" s="779">
        <f>'سرمايه در گردش'!H21</f>
        <v>0</v>
      </c>
      <c r="I5" s="779">
        <f>'سرمايه در گردش'!I21</f>
        <v>0</v>
      </c>
      <c r="J5" s="779">
        <f>'سرمايه در گردش'!J21</f>
        <v>0</v>
      </c>
      <c r="K5" s="779">
        <f>'سرمايه در گردش'!K21</f>
        <v>0</v>
      </c>
      <c r="L5" s="779">
        <f>'سرمايه در گردش'!L21</f>
        <v>0</v>
      </c>
      <c r="M5" s="779">
        <f>'سرمايه در گردش'!M21</f>
        <v>0</v>
      </c>
      <c r="N5" s="780">
        <f>'سرمايه در گردش'!N21</f>
        <v>0</v>
      </c>
    </row>
    <row r="6" spans="1:14" ht="27.75" customHeight="1">
      <c r="A6" s="8" t="s">
        <v>250</v>
      </c>
      <c r="B6" s="781">
        <f>SUM(B4:B5)</f>
        <v>1470846409.0019569</v>
      </c>
      <c r="C6" s="781">
        <f>SUM(C4:C5)</f>
        <v>7246098.7600000007</v>
      </c>
      <c r="D6" s="781">
        <f t="shared" ref="D6:N6" si="0">SUM(D4:D5)</f>
        <v>0</v>
      </c>
      <c r="E6" s="781">
        <f t="shared" si="0"/>
        <v>0</v>
      </c>
      <c r="F6" s="781">
        <f t="shared" si="0"/>
        <v>0</v>
      </c>
      <c r="G6" s="781">
        <f t="shared" si="0"/>
        <v>0</v>
      </c>
      <c r="H6" s="781">
        <f t="shared" si="0"/>
        <v>0</v>
      </c>
      <c r="I6" s="781">
        <f t="shared" si="0"/>
        <v>0</v>
      </c>
      <c r="J6" s="781">
        <f t="shared" si="0"/>
        <v>0</v>
      </c>
      <c r="K6" s="781">
        <f t="shared" si="0"/>
        <v>0</v>
      </c>
      <c r="L6" s="781">
        <f t="shared" si="0"/>
        <v>0</v>
      </c>
      <c r="M6" s="781">
        <f t="shared" si="0"/>
        <v>0</v>
      </c>
      <c r="N6" s="782">
        <f t="shared" si="0"/>
        <v>0</v>
      </c>
    </row>
    <row r="7" spans="1:14" ht="27.75" customHeight="1">
      <c r="A7" s="9" t="s">
        <v>251</v>
      </c>
      <c r="B7" s="777">
        <f>B3-B6</f>
        <v>-1470846409.0019569</v>
      </c>
      <c r="C7" s="777">
        <f>C3-C6</f>
        <v>235450308.62</v>
      </c>
      <c r="D7" s="777">
        <f t="shared" ref="D7:N7" si="1">D3-D6</f>
        <v>392696407.38</v>
      </c>
      <c r="E7" s="777">
        <f t="shared" si="1"/>
        <v>542696407.38</v>
      </c>
      <c r="F7" s="777">
        <f t="shared" si="1"/>
        <v>792696407.38</v>
      </c>
      <c r="G7" s="777">
        <f t="shared" si="1"/>
        <v>-57303580.619999997</v>
      </c>
      <c r="H7" s="777">
        <f t="shared" si="1"/>
        <v>-57303580.619999997</v>
      </c>
      <c r="I7" s="777">
        <f t="shared" si="1"/>
        <v>-57303580.619999997</v>
      </c>
      <c r="J7" s="777">
        <f t="shared" si="1"/>
        <v>-57303580.619999997</v>
      </c>
      <c r="K7" s="777">
        <f t="shared" si="1"/>
        <v>-57303580.619999997</v>
      </c>
      <c r="L7" s="777">
        <f t="shared" si="1"/>
        <v>-57303580.619999997</v>
      </c>
      <c r="M7" s="777">
        <f t="shared" si="1"/>
        <v>-57303580.619999997</v>
      </c>
      <c r="N7" s="778">
        <f t="shared" si="1"/>
        <v>137916640.90019572</v>
      </c>
    </row>
    <row r="8" spans="1:14" ht="27.75" customHeight="1" thickBot="1">
      <c r="A8" s="10" t="s">
        <v>252</v>
      </c>
      <c r="B8" s="783">
        <f>B7</f>
        <v>-1470846409.0019569</v>
      </c>
      <c r="C8" s="783">
        <f>C7+B8</f>
        <v>-1235396100.3819571</v>
      </c>
      <c r="D8" s="783">
        <f t="shared" ref="D8:N8" si="2">D7+C8</f>
        <v>-842699693.00195706</v>
      </c>
      <c r="E8" s="783">
        <f t="shared" si="2"/>
        <v>-300003285.62195706</v>
      </c>
      <c r="F8" s="783">
        <f t="shared" si="2"/>
        <v>492693121.75804293</v>
      </c>
      <c r="G8" s="783">
        <f t="shared" si="2"/>
        <v>435389541.13804293</v>
      </c>
      <c r="H8" s="783">
        <f t="shared" si="2"/>
        <v>378085960.51804292</v>
      </c>
      <c r="I8" s="783">
        <f t="shared" si="2"/>
        <v>320782379.89804292</v>
      </c>
      <c r="J8" s="783">
        <f t="shared" si="2"/>
        <v>263478799.27804291</v>
      </c>
      <c r="K8" s="783">
        <f t="shared" si="2"/>
        <v>206175218.65804291</v>
      </c>
      <c r="L8" s="783">
        <f t="shared" si="2"/>
        <v>148871638.0380429</v>
      </c>
      <c r="M8" s="783">
        <f t="shared" si="2"/>
        <v>91568057.418042898</v>
      </c>
      <c r="N8" s="784">
        <f t="shared" si="2"/>
        <v>229484698.31823862</v>
      </c>
    </row>
    <row r="9" spans="1:14" s="17" customFormat="1" ht="18" customHeight="1">
      <c r="A9" s="12"/>
      <c r="B9" s="785"/>
      <c r="C9" s="785">
        <v>1</v>
      </c>
      <c r="D9" s="785">
        <v>2</v>
      </c>
      <c r="E9" s="785">
        <v>3</v>
      </c>
      <c r="F9" s="785">
        <v>4</v>
      </c>
      <c r="G9" s="785">
        <v>5</v>
      </c>
      <c r="H9" s="785">
        <v>6</v>
      </c>
      <c r="I9" s="785">
        <v>7</v>
      </c>
      <c r="J9" s="785">
        <v>8</v>
      </c>
      <c r="K9" s="785">
        <v>9</v>
      </c>
      <c r="L9" s="785">
        <v>10</v>
      </c>
      <c r="M9" s="785">
        <v>11</v>
      </c>
      <c r="N9" s="785">
        <v>12</v>
      </c>
    </row>
    <row r="10" spans="1:14" s="17" customFormat="1" ht="18" customHeight="1" thickBot="1">
      <c r="A10" s="12" t="s">
        <v>13</v>
      </c>
      <c r="B10" s="785">
        <v>0</v>
      </c>
      <c r="C10" s="785">
        <v>1</v>
      </c>
      <c r="D10" s="785">
        <v>2</v>
      </c>
      <c r="E10" s="785">
        <v>3</v>
      </c>
      <c r="F10" s="785">
        <v>4</v>
      </c>
      <c r="G10" s="785">
        <v>5</v>
      </c>
      <c r="H10" s="785">
        <v>6</v>
      </c>
      <c r="I10" s="785">
        <v>7</v>
      </c>
      <c r="J10" s="785">
        <v>8</v>
      </c>
      <c r="K10" s="785">
        <v>9</v>
      </c>
      <c r="L10" s="785">
        <v>10</v>
      </c>
      <c r="M10" s="785">
        <v>11</v>
      </c>
      <c r="N10" s="785">
        <v>12</v>
      </c>
    </row>
    <row r="11" spans="1:14" ht="22.5" customHeight="1" thickBot="1">
      <c r="A11" s="29" t="s">
        <v>488</v>
      </c>
      <c r="B11" s="786">
        <f>B7/(1+مفروضات!$B$12)^B10</f>
        <v>-1470846409.0019569</v>
      </c>
      <c r="C11" s="786">
        <f>C7/(1+مفروضات!$B$12)^C10</f>
        <v>197857402.20168069</v>
      </c>
      <c r="D11" s="786">
        <f>D7/(1+مفروضات!$B$12)^D10</f>
        <v>277308387.38789636</v>
      </c>
      <c r="E11" s="786">
        <f>E7/(1+مفروضات!$B$12)^E10</f>
        <v>322044630.43546635</v>
      </c>
      <c r="F11" s="786">
        <f>F7/(1+مفروضات!$B$12)^F10</f>
        <v>395292927.71371084</v>
      </c>
      <c r="G11" s="786">
        <f>G7/(1+مفروضات!$B$12)^G10</f>
        <v>-24013029.410905216</v>
      </c>
      <c r="H11" s="786">
        <f>H7/(1+مفروضات!$B$12)^H10</f>
        <v>-20179016.311685059</v>
      </c>
      <c r="I11" s="786">
        <f>I7/(1+مفروضات!$B$12)^I10</f>
        <v>-16957156.564441223</v>
      </c>
      <c r="J11" s="786">
        <f>J7/(1+مفروضات!$B$12)^J10</f>
        <v>-14249711.398690103</v>
      </c>
      <c r="K11" s="786">
        <f>K7/(1+مفروضات!$B$12)^K10</f>
        <v>-11974547.393857231</v>
      </c>
      <c r="L11" s="786">
        <f>L7/(1+مفروضات!$B$12)^L10</f>
        <v>-10062644.868787589</v>
      </c>
      <c r="M11" s="787">
        <f>M7/(1+مفروضات!$B$12)^M10</f>
        <v>-8456004.0914181415</v>
      </c>
      <c r="N11" s="787">
        <f>N7/(1+مفروضات!$B$12)^M10</f>
        <v>20351672.044027004</v>
      </c>
    </row>
    <row r="12" spans="1:14" s="20" customFormat="1" ht="22.5" customHeight="1">
      <c r="A12" s="20" t="s">
        <v>255</v>
      </c>
      <c r="B12" s="788">
        <f>SUM(B11:N11)</f>
        <v>-363883499.25896043</v>
      </c>
      <c r="C12" s="789"/>
      <c r="D12" s="789"/>
      <c r="E12" s="789"/>
      <c r="F12" s="789"/>
      <c r="G12" s="789"/>
      <c r="H12" s="789"/>
      <c r="I12" s="789"/>
      <c r="J12" s="789"/>
      <c r="K12" s="789"/>
      <c r="L12" s="789"/>
      <c r="M12" s="789"/>
      <c r="N12" s="790"/>
    </row>
    <row r="13" spans="1:14" s="33" customFormat="1" ht="22.5" customHeight="1">
      <c r="A13" s="39" t="s">
        <v>254</v>
      </c>
      <c r="B13" s="40">
        <f>B7/(1+'شاخص هاي اقتصادي'!$C$7)^B10</f>
        <v>-1470846409.0019569</v>
      </c>
      <c r="C13" s="40">
        <f>C7/(1+'شاخص هاي اقتصادي'!$C$7)^C10</f>
        <v>222154524.62128988</v>
      </c>
      <c r="D13" s="40">
        <f>D7/(1+'شاخص هاي اقتصادي'!$C$7)^D10</f>
        <v>349597828.12346458</v>
      </c>
      <c r="E13" s="40">
        <f>E7/(1+'شاخص هاي اقتصادي'!$C$7)^E10</f>
        <v>455852817.39839739</v>
      </c>
      <c r="F13" s="40">
        <f>F7/(1+'شاخص هاي اقتصادي'!$C$7)^F10</f>
        <v>628247089.83716404</v>
      </c>
      <c r="G13" s="40">
        <f>G7/(1+'شاخص هاي اقتصادي'!$C$7)^G10</f>
        <v>-42851028.900918476</v>
      </c>
      <c r="H13" s="40">
        <f>H7/(1+'شاخص هاي اقتصادي'!$C$7)^H10</f>
        <v>-40431248.575598903</v>
      </c>
      <c r="I13" s="40">
        <f>I7/(1+'شاخص هاي اقتصادي'!$C$7)^I10</f>
        <v>-38148112.269640982</v>
      </c>
      <c r="J13" s="40">
        <f>J7/(1+'شاخص هاي اقتصادي'!$C$7)^J10</f>
        <v>-35993903.750363611</v>
      </c>
      <c r="K13" s="40">
        <f>K7/(1+'شاخص هاي اقتصادي'!$C$7)^K10</f>
        <v>-33961342.517634161</v>
      </c>
      <c r="L13" s="40">
        <f>L7/(1+'شاخص هاي اقتصادي'!$C$7)^L10</f>
        <v>-32043559.198227126</v>
      </c>
      <c r="M13" s="40">
        <f>M7/(1+'شاخص هاي اقتصادي'!$C$7)^M10</f>
        <v>-30234072.329653449</v>
      </c>
      <c r="N13" s="40">
        <f>N7/(1+'شاخص هاي اقتصادي'!$C$7)^M10</f>
        <v>72766512.167723566</v>
      </c>
    </row>
    <row r="14" spans="1:14" s="33" customFormat="1" ht="36.75" customHeight="1">
      <c r="A14" s="34" t="s">
        <v>292</v>
      </c>
      <c r="B14" s="41">
        <f>SUM(B13:N13)</f>
        <v>4109095.6040458977</v>
      </c>
      <c r="C14" s="36"/>
      <c r="D14" s="36"/>
      <c r="E14" s="36"/>
      <c r="F14" s="37" t="s">
        <v>253</v>
      </c>
      <c r="G14" s="36"/>
      <c r="H14" s="36"/>
      <c r="I14" s="38"/>
      <c r="J14" s="38"/>
      <c r="K14" s="38"/>
      <c r="L14" s="38"/>
    </row>
    <row r="20" spans="2:2">
      <c r="B20" s="526"/>
    </row>
  </sheetData>
  <sheetProtection password="CF66" sheet="1" objects="1" scenarios="1"/>
  <mergeCells count="1">
    <mergeCell ref="A1:L1"/>
  </mergeCells>
  <phoneticPr fontId="5" type="noConversion"/>
  <printOptions horizontalCentered="1" verticalCentered="1"/>
  <pageMargins left="0" right="1.5748031496062993" top="0.39370078740157483" bottom="0.39370078740157483" header="0" footer="0"/>
  <pageSetup paperSize="9" scale="73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0"/>
  <dimension ref="A1:N14"/>
  <sheetViews>
    <sheetView rightToLeft="1" view="pageBreakPreview" topLeftCell="D1" zoomScaleNormal="100" workbookViewId="0">
      <selection activeCell="K7" sqref="K7"/>
    </sheetView>
  </sheetViews>
  <sheetFormatPr defaultColWidth="9.109375" defaultRowHeight="13.2"/>
  <cols>
    <col min="1" max="1" width="28.33203125" style="16" customWidth="1"/>
    <col min="2" max="2" width="16.109375" style="16" customWidth="1"/>
    <col min="3" max="3" width="12.109375" style="16" bestFit="1" customWidth="1"/>
    <col min="4" max="4" width="11.88671875" style="16" bestFit="1" customWidth="1"/>
    <col min="5" max="5" width="12.33203125" style="16" bestFit="1" customWidth="1"/>
    <col min="6" max="6" width="11.44140625" style="16" bestFit="1" customWidth="1"/>
    <col min="7" max="7" width="12.109375" style="16" bestFit="1" customWidth="1"/>
    <col min="8" max="8" width="11.44140625" style="16" bestFit="1" customWidth="1"/>
    <col min="9" max="9" width="12.5546875" style="16" customWidth="1"/>
    <col min="10" max="10" width="12.5546875" style="16" bestFit="1" customWidth="1"/>
    <col min="11" max="11" width="11.88671875" style="16" customWidth="1"/>
    <col min="12" max="12" width="11.5546875" style="16" bestFit="1" customWidth="1"/>
    <col min="13" max="13" width="12.44140625" style="16" bestFit="1" customWidth="1"/>
    <col min="14" max="14" width="12.33203125" style="16" bestFit="1" customWidth="1"/>
    <col min="15" max="16384" width="9.109375" style="16"/>
  </cols>
  <sheetData>
    <row r="1" spans="1:14" ht="30" customHeight="1" thickBot="1">
      <c r="A1" s="1163" t="s">
        <v>489</v>
      </c>
      <c r="B1" s="1163"/>
      <c r="C1" s="1163"/>
      <c r="D1" s="1163"/>
      <c r="E1" s="1163"/>
      <c r="F1" s="1163"/>
      <c r="G1" s="1163"/>
      <c r="H1" s="1163"/>
      <c r="I1" s="1163"/>
      <c r="J1" s="1163"/>
      <c r="K1" s="1163"/>
      <c r="L1" s="1163"/>
    </row>
    <row r="2" spans="1:14" s="27" customFormat="1" ht="30" customHeight="1">
      <c r="A2" s="24" t="s">
        <v>7</v>
      </c>
      <c r="B2" s="25" t="str">
        <f>'جریان نقدینگی'!B2:B2</f>
        <v>سال ساخت</v>
      </c>
      <c r="C2" s="26" t="str">
        <f>'برآورد فروش'!B2</f>
        <v>سال بهره برداری</v>
      </c>
      <c r="D2" s="26" t="str">
        <f>'برآورد فروش'!C2</f>
        <v xml:space="preserve">سال اول </v>
      </c>
      <c r="E2" s="26" t="str">
        <f>'برآورد فروش'!D2</f>
        <v>سال دوم</v>
      </c>
      <c r="F2" s="26" t="str">
        <f>'برآورد فروش'!E2</f>
        <v>سال سوم</v>
      </c>
      <c r="G2" s="26" t="str">
        <f>'برآورد فروش'!F2</f>
        <v>سال چهارم</v>
      </c>
      <c r="H2" s="26" t="str">
        <f>'برآورد فروش'!G2</f>
        <v>سال پنجم</v>
      </c>
      <c r="I2" s="26" t="str">
        <f>'برآورد فروش'!H2</f>
        <v>سال ششم</v>
      </c>
      <c r="J2" s="26" t="str">
        <f>'برآورد فروش'!I2</f>
        <v>سال هفتم</v>
      </c>
      <c r="K2" s="26" t="str">
        <f>'برآورد فروش'!J2</f>
        <v>سال هشتم</v>
      </c>
      <c r="L2" s="26" t="str">
        <f>'برآورد فروش'!K2</f>
        <v>سال نهم</v>
      </c>
      <c r="M2" s="26" t="str">
        <f>'برآورد فروش'!L2</f>
        <v>سال دهم</v>
      </c>
      <c r="N2" s="28" t="s">
        <v>260</v>
      </c>
    </row>
    <row r="3" spans="1:14" ht="27.75" customHeight="1">
      <c r="A3" s="3" t="s">
        <v>302</v>
      </c>
      <c r="B3" s="791">
        <f>'جریان نقدینگی'!B20</f>
        <v>0</v>
      </c>
      <c r="C3" s="791">
        <f>'جریان نقدینگی'!C20</f>
        <v>241351144.40702483</v>
      </c>
      <c r="D3" s="791">
        <f>'جریان نقدینگی'!D20</f>
        <v>392696407.38</v>
      </c>
      <c r="E3" s="791">
        <f>'جریان نقدینگی'!E20</f>
        <v>542696407.38</v>
      </c>
      <c r="F3" s="791">
        <f>'جریان نقدینگی'!F20</f>
        <v>792696407.38</v>
      </c>
      <c r="G3" s="791">
        <f>'جریان نقدینگی'!G20</f>
        <v>-57303580.619999997</v>
      </c>
      <c r="H3" s="791">
        <f>'جریان نقدینگی'!H20</f>
        <v>-57303580.619999997</v>
      </c>
      <c r="I3" s="791">
        <f>'جریان نقدینگی'!I20</f>
        <v>-57303580.619999997</v>
      </c>
      <c r="J3" s="791">
        <f>'جریان نقدینگی'!J20</f>
        <v>-57303580.619999997</v>
      </c>
      <c r="K3" s="791">
        <f>'جریان نقدینگی'!K20</f>
        <v>-57303580.619999997</v>
      </c>
      <c r="L3" s="791">
        <f>'جریان نقدینگی'!L20</f>
        <v>-57303580.619999997</v>
      </c>
      <c r="M3" s="791">
        <f>'جریان نقدینگی'!M20</f>
        <v>-57303580.619999997</v>
      </c>
      <c r="N3" s="792">
        <f>'جریان نقدینگی'!N8-'جریان نقدینگی'!N15-'جریان نقدینگی'!N16</f>
        <v>137916640.90019572</v>
      </c>
    </row>
    <row r="4" spans="1:14" ht="47.25" customHeight="1">
      <c r="A4" s="19" t="s">
        <v>303</v>
      </c>
      <c r="B4" s="793">
        <f>'جریان نقدینگی'!B5</f>
        <v>1470846409.0019569</v>
      </c>
      <c r="C4" s="793">
        <f>'جریان نقدینگی'!C5</f>
        <v>5900835.7870248342</v>
      </c>
      <c r="D4" s="793">
        <f>'جریان نقدینگی'!D5</f>
        <v>0</v>
      </c>
      <c r="E4" s="793">
        <f>'جریان نقدینگی'!E5</f>
        <v>0</v>
      </c>
      <c r="F4" s="793">
        <f>'جریان نقدینگی'!F5</f>
        <v>0</v>
      </c>
      <c r="G4" s="793">
        <f>'جریان نقدینگی'!G5</f>
        <v>0</v>
      </c>
      <c r="H4" s="793">
        <f>'جریان نقدینگی'!H5</f>
        <v>0</v>
      </c>
      <c r="I4" s="793">
        <f>'جریان نقدینگی'!I5</f>
        <v>0</v>
      </c>
      <c r="J4" s="793">
        <f>'جریان نقدینگی'!J5</f>
        <v>0</v>
      </c>
      <c r="K4" s="793">
        <f>'جریان نقدینگی'!K5</f>
        <v>0</v>
      </c>
      <c r="L4" s="793">
        <f>'جریان نقدینگی'!L5</f>
        <v>0</v>
      </c>
      <c r="M4" s="793">
        <f>'جریان نقدینگی'!M5</f>
        <v>0</v>
      </c>
      <c r="N4" s="794">
        <f>'جریان نقدینگی'!N5</f>
        <v>0</v>
      </c>
    </row>
    <row r="5" spans="1:14" ht="27.75" customHeight="1">
      <c r="A5" s="5" t="s">
        <v>68</v>
      </c>
      <c r="B5" s="793">
        <f>SUM(B4:B4)</f>
        <v>1470846409.0019569</v>
      </c>
      <c r="C5" s="793">
        <f t="shared" ref="C5:N5" si="0">SUM(C4:C4)</f>
        <v>5900835.7870248342</v>
      </c>
      <c r="D5" s="793">
        <f t="shared" si="0"/>
        <v>0</v>
      </c>
      <c r="E5" s="793">
        <f t="shared" si="0"/>
        <v>0</v>
      </c>
      <c r="F5" s="793">
        <f t="shared" si="0"/>
        <v>0</v>
      </c>
      <c r="G5" s="793">
        <f t="shared" si="0"/>
        <v>0</v>
      </c>
      <c r="H5" s="793">
        <f t="shared" si="0"/>
        <v>0</v>
      </c>
      <c r="I5" s="793">
        <f t="shared" si="0"/>
        <v>0</v>
      </c>
      <c r="J5" s="793">
        <f t="shared" si="0"/>
        <v>0</v>
      </c>
      <c r="K5" s="793">
        <f t="shared" si="0"/>
        <v>0</v>
      </c>
      <c r="L5" s="793">
        <f t="shared" si="0"/>
        <v>0</v>
      </c>
      <c r="M5" s="793">
        <f t="shared" si="0"/>
        <v>0</v>
      </c>
      <c r="N5" s="794">
        <f t="shared" si="0"/>
        <v>0</v>
      </c>
    </row>
    <row r="6" spans="1:14" ht="27.75" customHeight="1">
      <c r="A6" s="3" t="str">
        <f>'جریان نقدینگی'!A20</f>
        <v>مازاد (کمبود) نقدینگی</v>
      </c>
      <c r="B6" s="791">
        <f>B3-B5</f>
        <v>-1470846409.0019569</v>
      </c>
      <c r="C6" s="791">
        <f t="shared" ref="C6:N6" si="1">C3-C5</f>
        <v>235450308.62</v>
      </c>
      <c r="D6" s="791">
        <f t="shared" si="1"/>
        <v>392696407.38</v>
      </c>
      <c r="E6" s="791">
        <f t="shared" si="1"/>
        <v>542696407.38</v>
      </c>
      <c r="F6" s="791">
        <f t="shared" si="1"/>
        <v>792696407.38</v>
      </c>
      <c r="G6" s="791">
        <f t="shared" si="1"/>
        <v>-57303580.619999997</v>
      </c>
      <c r="H6" s="791">
        <f t="shared" si="1"/>
        <v>-57303580.619999997</v>
      </c>
      <c r="I6" s="791">
        <f t="shared" si="1"/>
        <v>-57303580.619999997</v>
      </c>
      <c r="J6" s="791">
        <f t="shared" si="1"/>
        <v>-57303580.619999997</v>
      </c>
      <c r="K6" s="791">
        <f t="shared" si="1"/>
        <v>-57303580.619999997</v>
      </c>
      <c r="L6" s="791">
        <f t="shared" si="1"/>
        <v>-57303580.619999997</v>
      </c>
      <c r="M6" s="791">
        <f t="shared" si="1"/>
        <v>-57303580.619999997</v>
      </c>
      <c r="N6" s="792">
        <f t="shared" si="1"/>
        <v>137916640.90019572</v>
      </c>
    </row>
    <row r="7" spans="1:14" ht="27.75" customHeight="1" thickBot="1">
      <c r="A7" s="10" t="s">
        <v>252</v>
      </c>
      <c r="B7" s="795">
        <f>B6</f>
        <v>-1470846409.0019569</v>
      </c>
      <c r="C7" s="795">
        <f>C6+B7</f>
        <v>-1235396100.3819571</v>
      </c>
      <c r="D7" s="795">
        <f t="shared" ref="D7:N7" si="2">D6+C7</f>
        <v>-842699693.00195706</v>
      </c>
      <c r="E7" s="795">
        <f t="shared" si="2"/>
        <v>-300003285.62195706</v>
      </c>
      <c r="F7" s="795">
        <f t="shared" si="2"/>
        <v>492693121.75804293</v>
      </c>
      <c r="G7" s="795">
        <f t="shared" si="2"/>
        <v>435389541.13804293</v>
      </c>
      <c r="H7" s="795">
        <f t="shared" si="2"/>
        <v>378085960.51804292</v>
      </c>
      <c r="I7" s="795">
        <f t="shared" si="2"/>
        <v>320782379.89804292</v>
      </c>
      <c r="J7" s="795">
        <f t="shared" si="2"/>
        <v>263478799.27804291</v>
      </c>
      <c r="K7" s="795">
        <f t="shared" si="2"/>
        <v>206175218.65804291</v>
      </c>
      <c r="L7" s="795">
        <f t="shared" si="2"/>
        <v>148871638.0380429</v>
      </c>
      <c r="M7" s="795">
        <f t="shared" si="2"/>
        <v>91568057.418042898</v>
      </c>
      <c r="N7" s="796">
        <f t="shared" si="2"/>
        <v>229484698.31823862</v>
      </c>
    </row>
    <row r="8" spans="1:14" s="17" customFormat="1" ht="12.75" customHeight="1">
      <c r="A8" s="12"/>
      <c r="B8" s="797"/>
      <c r="C8" s="797">
        <v>1</v>
      </c>
      <c r="D8" s="797">
        <v>2</v>
      </c>
      <c r="E8" s="797">
        <v>3</v>
      </c>
      <c r="F8" s="797">
        <v>4</v>
      </c>
      <c r="G8" s="797">
        <v>5</v>
      </c>
      <c r="H8" s="797">
        <v>6</v>
      </c>
      <c r="I8" s="797">
        <v>7</v>
      </c>
      <c r="J8" s="797">
        <v>8</v>
      </c>
      <c r="K8" s="797">
        <v>9</v>
      </c>
      <c r="L8" s="797">
        <v>10</v>
      </c>
      <c r="M8" s="797">
        <v>11</v>
      </c>
      <c r="N8" s="797">
        <v>12</v>
      </c>
    </row>
    <row r="9" spans="1:14" s="17" customFormat="1" ht="12.75" customHeight="1" thickBot="1">
      <c r="A9" s="12" t="s">
        <v>13</v>
      </c>
      <c r="B9" s="797">
        <v>0</v>
      </c>
      <c r="C9" s="797">
        <v>1</v>
      </c>
      <c r="D9" s="797">
        <v>2</v>
      </c>
      <c r="E9" s="797">
        <v>3</v>
      </c>
      <c r="F9" s="797">
        <v>4</v>
      </c>
      <c r="G9" s="797">
        <v>5</v>
      </c>
      <c r="H9" s="797">
        <v>6</v>
      </c>
      <c r="I9" s="797">
        <v>7</v>
      </c>
      <c r="J9" s="797">
        <v>8</v>
      </c>
      <c r="K9" s="797">
        <v>9</v>
      </c>
      <c r="L9" s="797">
        <v>10</v>
      </c>
      <c r="M9" s="797">
        <v>11</v>
      </c>
      <c r="N9" s="797">
        <v>12</v>
      </c>
    </row>
    <row r="10" spans="1:14" ht="26.25" customHeight="1" thickBot="1">
      <c r="A10" s="525" t="s">
        <v>296</v>
      </c>
      <c r="B10" s="798">
        <f>B6/(1+مفروضات!$B$13)^B9</f>
        <v>-1470846409.0019569</v>
      </c>
      <c r="C10" s="798">
        <f>C6/(1+مفروضات!$B$13)^C9</f>
        <v>189879281.1451613</v>
      </c>
      <c r="D10" s="798">
        <f>D6/(1+مفروضات!$B$13)^D9</f>
        <v>255395686.38137355</v>
      </c>
      <c r="E10" s="798">
        <f>E6/(1+مفروضات!$B$13)^E9</f>
        <v>284637352.39879495</v>
      </c>
      <c r="F10" s="798">
        <f>F6/(1+مفروضات!$B$13)^F9</f>
        <v>335289651.38076174</v>
      </c>
      <c r="G10" s="798">
        <f>G6/(1+مفروضات!$B$13)^G9</f>
        <v>-19546694.887745272</v>
      </c>
      <c r="H10" s="798">
        <f>H6/(1+مفروضات!$B$13)^H9</f>
        <v>-15763463.619149413</v>
      </c>
      <c r="I10" s="798">
        <f>I6/(1+مفروضات!$B$13)^I9</f>
        <v>-12712470.660604365</v>
      </c>
      <c r="J10" s="798">
        <f>J6/(1+مفروضات!$B$13)^J9</f>
        <v>-10251992.468229325</v>
      </c>
      <c r="K10" s="798">
        <f>K6/(1+مفروضات!$B$13)^K9</f>
        <v>-8267735.8614752628</v>
      </c>
      <c r="L10" s="798">
        <f>L6/(1+مفروضات!$B$13)^L9</f>
        <v>-6667528.9205445657</v>
      </c>
      <c r="M10" s="798">
        <f>M6/(1+مفروضات!$B$13)^M9</f>
        <v>-5377039.4520520698</v>
      </c>
      <c r="N10" s="799">
        <f>N6/(1+مفروضات!$B$13)^M9</f>
        <v>12941306.829193573</v>
      </c>
    </row>
    <row r="11" spans="1:14" s="20" customFormat="1" ht="26.25" customHeight="1">
      <c r="A11" s="20" t="s">
        <v>255</v>
      </c>
      <c r="B11" s="788">
        <f>SUM(B10:N10)</f>
        <v>-471290056.73647195</v>
      </c>
      <c r="C11" s="789"/>
      <c r="D11" s="789"/>
      <c r="E11" s="789"/>
      <c r="F11" s="789"/>
      <c r="G11" s="789"/>
      <c r="H11" s="789"/>
      <c r="I11" s="789"/>
      <c r="J11" s="789"/>
      <c r="K11" s="789"/>
      <c r="L11" s="789"/>
      <c r="M11" s="789"/>
      <c r="N11" s="797"/>
    </row>
    <row r="12" spans="1:14" s="33" customFormat="1" ht="22.5" customHeight="1">
      <c r="A12" s="31" t="s">
        <v>300</v>
      </c>
      <c r="B12" s="32">
        <f>B6/(1+'شاخص هاي اقتصادي'!$C$8)^B9</f>
        <v>-1470846409.0019569</v>
      </c>
      <c r="C12" s="32">
        <f>C6/(1+'شاخص هاي اقتصادي'!$C$8)^C9</f>
        <v>222154524.62128988</v>
      </c>
      <c r="D12" s="32">
        <f>D6/(1+'شاخص هاي اقتصادي'!$C$8)^D9</f>
        <v>349597828.12346458</v>
      </c>
      <c r="E12" s="32">
        <f>E6/(1+'شاخص هاي اقتصادي'!$C$8)^E9</f>
        <v>455852817.39839739</v>
      </c>
      <c r="F12" s="32">
        <f>F6/(1+'شاخص هاي اقتصادي'!$C$8)^F9</f>
        <v>628247089.83716404</v>
      </c>
      <c r="G12" s="32">
        <f>G6/(1+'شاخص هاي اقتصادي'!$C$8)^G9</f>
        <v>-42851028.900918476</v>
      </c>
      <c r="H12" s="32">
        <f>H6/(1+'شاخص هاي اقتصادي'!$C$8)^H9</f>
        <v>-40431248.575598903</v>
      </c>
      <c r="I12" s="32">
        <f>I6/(1+'شاخص هاي اقتصادي'!$C$8)^I9</f>
        <v>-38148112.269640982</v>
      </c>
      <c r="J12" s="32">
        <f>J6/(1+'شاخص هاي اقتصادي'!$C$8)^J9</f>
        <v>-35993903.750363611</v>
      </c>
      <c r="K12" s="32">
        <f>K6/(1+'شاخص هاي اقتصادي'!$C$8)^K9</f>
        <v>-33961342.517634161</v>
      </c>
      <c r="L12" s="32">
        <f>L6/(1+'شاخص هاي اقتصادي'!$C$8)^L9</f>
        <v>-32043559.198227126</v>
      </c>
      <c r="M12" s="32">
        <f>M6/(1+'شاخص هاي اقتصادي'!$C$8)^M9</f>
        <v>-30234072.329653449</v>
      </c>
      <c r="N12" s="32">
        <f>N6/(1+'شاخص هاي اقتصادي'!$C$8)^M9</f>
        <v>72766512.167723566</v>
      </c>
    </row>
    <row r="13" spans="1:14" s="33" customFormat="1" ht="36.75" customHeight="1">
      <c r="A13" s="34" t="s">
        <v>301</v>
      </c>
      <c r="B13" s="35">
        <f>SUM(B12:N12)</f>
        <v>4109095.6040458977</v>
      </c>
      <c r="C13" s="36"/>
      <c r="D13" s="524"/>
      <c r="E13" s="36"/>
      <c r="F13" s="37" t="s">
        <v>253</v>
      </c>
      <c r="G13" s="36"/>
      <c r="H13" s="36"/>
      <c r="I13" s="38"/>
      <c r="J13" s="38"/>
      <c r="K13" s="38"/>
      <c r="L13" s="38"/>
      <c r="N13" s="40"/>
    </row>
    <row r="14" spans="1:14" ht="16.2">
      <c r="A14" s="15"/>
      <c r="B14" s="14"/>
      <c r="C14" s="14"/>
      <c r="D14" s="524"/>
      <c r="E14" s="14"/>
      <c r="F14" s="14"/>
      <c r="G14" s="14"/>
      <c r="H14" s="14"/>
      <c r="I14" s="18"/>
      <c r="J14" s="18"/>
      <c r="K14" s="18"/>
      <c r="L14" s="18"/>
    </row>
  </sheetData>
  <sheetProtection password="CF66" sheet="1" objects="1" scenarios="1"/>
  <mergeCells count="1">
    <mergeCell ref="A1:L1"/>
  </mergeCells>
  <phoneticPr fontId="5" type="noConversion"/>
  <printOptions horizontalCentered="1" verticalCentered="1"/>
  <pageMargins left="0.35433070866141736" right="1.5748031496062993" top="0.39370078740157483" bottom="0.39370078740157483" header="0.51181102362204722" footer="0.51181102362204722"/>
  <pageSetup paperSize="9" scale="64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3">
    <tabColor indexed="53"/>
  </sheetPr>
  <dimension ref="A1:N17"/>
  <sheetViews>
    <sheetView rightToLeft="1" view="pageBreakPreview" zoomScaleNormal="100" workbookViewId="0">
      <selection activeCell="E12" sqref="E12"/>
    </sheetView>
  </sheetViews>
  <sheetFormatPr defaultColWidth="9.109375" defaultRowHeight="13.2"/>
  <cols>
    <col min="1" max="1" width="45" style="42" bestFit="1" customWidth="1"/>
    <col min="2" max="2" width="15.88671875" style="42" bestFit="1" customWidth="1"/>
    <col min="3" max="3" width="13" style="42" customWidth="1"/>
    <col min="4" max="4" width="15.5546875" style="42" customWidth="1"/>
    <col min="5" max="5" width="14.109375" style="42" customWidth="1"/>
    <col min="6" max="9" width="11.6640625" style="42" bestFit="1" customWidth="1"/>
    <col min="10" max="11" width="11.5546875" style="42" bestFit="1" customWidth="1"/>
    <col min="12" max="13" width="10.5546875" style="42" bestFit="1" customWidth="1"/>
    <col min="14" max="14" width="10" style="42" bestFit="1" customWidth="1"/>
    <col min="15" max="16384" width="9.109375" style="42"/>
  </cols>
  <sheetData>
    <row r="1" spans="1:14" ht="19.2" thickBot="1">
      <c r="A1" s="1164" t="s">
        <v>490</v>
      </c>
      <c r="B1" s="1164"/>
      <c r="C1" s="1164"/>
      <c r="D1" s="1164"/>
      <c r="E1" s="1164"/>
      <c r="F1" s="1164"/>
      <c r="G1" s="1164"/>
      <c r="H1" s="1164"/>
      <c r="I1" s="1164"/>
      <c r="J1" s="1164"/>
      <c r="K1" s="1164"/>
      <c r="L1" s="1164"/>
      <c r="M1" s="1164"/>
    </row>
    <row r="2" spans="1:14" ht="16.8">
      <c r="A2" s="24" t="s">
        <v>7</v>
      </c>
      <c r="B2" s="25" t="str">
        <f>'جریان نقدینگی'!B2</f>
        <v>سال ساخت</v>
      </c>
      <c r="C2" s="25" t="str">
        <f>'جریان نقدینگی'!C2</f>
        <v>سال جاری</v>
      </c>
      <c r="D2" s="25" t="str">
        <f>'جریان نقدینگی'!D2</f>
        <v xml:space="preserve">سال اول </v>
      </c>
      <c r="E2" s="25" t="str">
        <f>'جریان نقدینگی'!E2</f>
        <v>سال دوم</v>
      </c>
      <c r="F2" s="25" t="str">
        <f>'جریان نقدینگی'!F2</f>
        <v>سال سوم</v>
      </c>
      <c r="G2" s="25" t="str">
        <f>'جریان نقدینگی'!G2</f>
        <v>سال چهارم</v>
      </c>
      <c r="H2" s="25" t="str">
        <f>'جریان نقدینگی'!H2</f>
        <v>سال پنجم</v>
      </c>
      <c r="I2" s="25" t="str">
        <f>'جریان نقدینگی'!I2</f>
        <v>سال ششم</v>
      </c>
      <c r="J2" s="25" t="str">
        <f>'جریان نقدینگی'!J2</f>
        <v>سال هفتم</v>
      </c>
      <c r="K2" s="25" t="str">
        <f>'جریان نقدینگی'!K2</f>
        <v>سال هشتم</v>
      </c>
      <c r="L2" s="25" t="str">
        <f>'جریان نقدینگی'!L2</f>
        <v>سال نهم</v>
      </c>
      <c r="M2" s="25" t="str">
        <f>'جریان نقدینگی'!M2</f>
        <v>سال دهم</v>
      </c>
      <c r="N2" s="25" t="str">
        <f>'جریان نقدینگی'!N2</f>
        <v>ارزش اسقاط</v>
      </c>
    </row>
    <row r="3" spans="1:14" ht="16.2">
      <c r="A3" s="3" t="s">
        <v>302</v>
      </c>
      <c r="B3" s="4">
        <f>'[3]جریان نقدینگی'!B20</f>
        <v>0</v>
      </c>
      <c r="C3" s="4">
        <f>'جریان نقدینگی'!C20</f>
        <v>241351144.40702483</v>
      </c>
      <c r="D3" s="4">
        <f>'جریان نقدینگی'!D20</f>
        <v>392696407.38</v>
      </c>
      <c r="E3" s="4">
        <f>'جریان نقدینگی'!E20</f>
        <v>542696407.38</v>
      </c>
      <c r="F3" s="4">
        <f>'جریان نقدینگی'!F20</f>
        <v>792696407.38</v>
      </c>
      <c r="G3" s="4">
        <f>'جریان نقدینگی'!G20</f>
        <v>-57303580.619999997</v>
      </c>
      <c r="H3" s="4">
        <f>'جریان نقدینگی'!H20</f>
        <v>-57303580.619999997</v>
      </c>
      <c r="I3" s="4">
        <f>'جریان نقدینگی'!I20</f>
        <v>-57303580.619999997</v>
      </c>
      <c r="J3" s="4">
        <f>'جریان نقدینگی'!J20</f>
        <v>-57303580.619999997</v>
      </c>
      <c r="K3" s="4">
        <f>'جریان نقدینگی'!K20</f>
        <v>-57303580.619999997</v>
      </c>
      <c r="L3" s="4">
        <f>'جریان نقدینگی'!L20</f>
        <v>-57303580.619999997</v>
      </c>
      <c r="M3" s="4">
        <f>'جریان نقدینگی'!M20</f>
        <v>-57303580.619999997</v>
      </c>
      <c r="N3" s="4">
        <f>'جریان نقدینگی'!N20</f>
        <v>137916640.90019572</v>
      </c>
    </row>
    <row r="4" spans="1:14" ht="32.4">
      <c r="A4" s="19" t="s">
        <v>303</v>
      </c>
      <c r="B4" s="6">
        <f>'منابع تامين سرمايه گذاري'!I15-'منابع تامين سرمايه گذاري'!I14</f>
        <v>1470846409.0019569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</row>
    <row r="5" spans="1:14" ht="16.2">
      <c r="A5" s="5" t="s">
        <v>68</v>
      </c>
      <c r="B5" s="6">
        <f>SUM(B4:B4)</f>
        <v>1470846409.0019569</v>
      </c>
      <c r="C5" s="7">
        <f>SUM(C4:C4)</f>
        <v>0</v>
      </c>
      <c r="D5" s="7">
        <f t="shared" ref="D5:N5" si="0">SUM(D4:D4)</f>
        <v>0</v>
      </c>
      <c r="E5" s="7">
        <f t="shared" si="0"/>
        <v>0</v>
      </c>
      <c r="F5" s="7">
        <f t="shared" si="0"/>
        <v>0</v>
      </c>
      <c r="G5" s="7">
        <f t="shared" si="0"/>
        <v>0</v>
      </c>
      <c r="H5" s="7">
        <f t="shared" si="0"/>
        <v>0</v>
      </c>
      <c r="I5" s="7">
        <f t="shared" si="0"/>
        <v>0</v>
      </c>
      <c r="J5" s="7">
        <f t="shared" si="0"/>
        <v>0</v>
      </c>
      <c r="K5" s="7">
        <f t="shared" si="0"/>
        <v>0</v>
      </c>
      <c r="L5" s="7">
        <f t="shared" si="0"/>
        <v>0</v>
      </c>
      <c r="M5" s="7">
        <f t="shared" si="0"/>
        <v>0</v>
      </c>
      <c r="N5" s="7">
        <f t="shared" si="0"/>
        <v>0</v>
      </c>
    </row>
    <row r="6" spans="1:14" ht="16.2">
      <c r="A6" s="3" t="str">
        <f>'[3]جریان نقدینگی'!A20</f>
        <v>مازاد (کمبود) نقدینگی</v>
      </c>
      <c r="B6" s="4">
        <f t="shared" ref="B6:N6" si="1">B3-B5</f>
        <v>-1470846409.0019569</v>
      </c>
      <c r="C6" s="4">
        <f t="shared" si="1"/>
        <v>241351144.40702483</v>
      </c>
      <c r="D6" s="4">
        <f t="shared" si="1"/>
        <v>392696407.38</v>
      </c>
      <c r="E6" s="4">
        <f t="shared" si="1"/>
        <v>542696407.38</v>
      </c>
      <c r="F6" s="4">
        <f t="shared" si="1"/>
        <v>792696407.38</v>
      </c>
      <c r="G6" s="4">
        <f t="shared" si="1"/>
        <v>-57303580.619999997</v>
      </c>
      <c r="H6" s="4">
        <f t="shared" si="1"/>
        <v>-57303580.619999997</v>
      </c>
      <c r="I6" s="4">
        <f t="shared" si="1"/>
        <v>-57303580.619999997</v>
      </c>
      <c r="J6" s="4">
        <f t="shared" si="1"/>
        <v>-57303580.619999997</v>
      </c>
      <c r="K6" s="4">
        <f t="shared" si="1"/>
        <v>-57303580.619999997</v>
      </c>
      <c r="L6" s="4">
        <f t="shared" si="1"/>
        <v>-57303580.619999997</v>
      </c>
      <c r="M6" s="4">
        <f t="shared" si="1"/>
        <v>-57303580.619999997</v>
      </c>
      <c r="N6" s="4">
        <f t="shared" si="1"/>
        <v>137916640.90019572</v>
      </c>
    </row>
    <row r="7" spans="1:14" ht="16.8" thickBot="1">
      <c r="A7" s="10" t="s">
        <v>252</v>
      </c>
      <c r="B7" s="11">
        <f>B6</f>
        <v>-1470846409.0019569</v>
      </c>
      <c r="C7" s="11">
        <f>C6+B7</f>
        <v>-1229495264.5949321</v>
      </c>
      <c r="D7" s="11">
        <f t="shared" ref="D7:N7" si="2">D6+C7</f>
        <v>-836798857.21493208</v>
      </c>
      <c r="E7" s="11">
        <f t="shared" si="2"/>
        <v>-294102449.83493209</v>
      </c>
      <c r="F7" s="11">
        <f t="shared" si="2"/>
        <v>498593957.54506791</v>
      </c>
      <c r="G7" s="11">
        <f t="shared" si="2"/>
        <v>441290376.9250679</v>
      </c>
      <c r="H7" s="11">
        <f t="shared" si="2"/>
        <v>383986796.3050679</v>
      </c>
      <c r="I7" s="11">
        <f t="shared" si="2"/>
        <v>326683215.68506789</v>
      </c>
      <c r="J7" s="11">
        <f t="shared" si="2"/>
        <v>269379635.06506789</v>
      </c>
      <c r="K7" s="11">
        <f t="shared" si="2"/>
        <v>212076054.44506788</v>
      </c>
      <c r="L7" s="11">
        <f t="shared" si="2"/>
        <v>154772473.82506788</v>
      </c>
      <c r="M7" s="11">
        <f t="shared" si="2"/>
        <v>97468893.205067873</v>
      </c>
      <c r="N7" s="11">
        <f t="shared" si="2"/>
        <v>235385534.10526359</v>
      </c>
    </row>
    <row r="8" spans="1:14" ht="16.2">
      <c r="A8" s="12"/>
      <c r="B8" s="13"/>
      <c r="C8" s="13">
        <v>1</v>
      </c>
      <c r="D8" s="13">
        <v>2</v>
      </c>
      <c r="E8" s="13">
        <v>3</v>
      </c>
      <c r="F8" s="13">
        <v>4</v>
      </c>
      <c r="G8" s="13">
        <v>5</v>
      </c>
      <c r="H8" s="13">
        <v>6</v>
      </c>
      <c r="I8" s="13">
        <v>7</v>
      </c>
      <c r="J8" s="13">
        <v>8</v>
      </c>
      <c r="K8" s="13">
        <v>9</v>
      </c>
      <c r="L8" s="13">
        <v>10</v>
      </c>
      <c r="M8" s="13">
        <v>11</v>
      </c>
    </row>
    <row r="9" spans="1:14" ht="16.8" thickBot="1">
      <c r="A9" s="12" t="s">
        <v>13</v>
      </c>
      <c r="B9" s="13">
        <v>0</v>
      </c>
      <c r="C9" s="13">
        <v>1</v>
      </c>
      <c r="D9" s="13">
        <v>2</v>
      </c>
      <c r="E9" s="13">
        <v>3</v>
      </c>
      <c r="F9" s="13">
        <v>4</v>
      </c>
      <c r="G9" s="13">
        <v>5</v>
      </c>
      <c r="H9" s="13">
        <v>6</v>
      </c>
      <c r="I9" s="13">
        <v>7</v>
      </c>
      <c r="J9" s="13">
        <v>8</v>
      </c>
      <c r="K9" s="13">
        <v>9</v>
      </c>
      <c r="L9" s="13">
        <v>10</v>
      </c>
      <c r="M9" s="13">
        <v>11</v>
      </c>
    </row>
    <row r="10" spans="1:14" ht="16.8" thickBot="1">
      <c r="A10" s="29" t="s">
        <v>296</v>
      </c>
      <c r="B10" s="30">
        <f>B6/(1+مفروضات!$B$12)^forbiden!B9</f>
        <v>-1470846409.0019569</v>
      </c>
      <c r="C10" s="30">
        <f>C6/(1+مفروضات!$B$12)^forbiden!C9</f>
        <v>202816087.73699567</v>
      </c>
      <c r="D10" s="30">
        <f>D6/(1+مفروضات!$B$12)^forbiden!D9</f>
        <v>277308387.38789636</v>
      </c>
      <c r="E10" s="30">
        <f>E6/(1+مفروضات!$B$12)^forbiden!E9</f>
        <v>322044630.43546635</v>
      </c>
      <c r="F10" s="30">
        <f>F6/(1+مفروضات!$B$12)^forbiden!F9</f>
        <v>395292927.71371084</v>
      </c>
      <c r="G10" s="30">
        <f>G6/(1+مفروضات!$B$12)^forbiden!G9</f>
        <v>-24013029.410905216</v>
      </c>
      <c r="H10" s="30">
        <f>H6/(1+مفروضات!$B$12)^forbiden!H9</f>
        <v>-20179016.311685059</v>
      </c>
      <c r="I10" s="30">
        <f>I6/(1+مفروضات!$B$12)^forbiden!I9</f>
        <v>-16957156.564441223</v>
      </c>
      <c r="J10" s="30">
        <f>J6/(1+مفروضات!$B$12)^forbiden!J9</f>
        <v>-14249711.398690103</v>
      </c>
      <c r="K10" s="30">
        <f>K6/(1+مفروضات!$B$12)^forbiden!K9</f>
        <v>-11974547.393857231</v>
      </c>
      <c r="L10" s="30">
        <f>L6/(1+مفروضات!$B$12)^forbiden!L9</f>
        <v>-10062644.868787589</v>
      </c>
      <c r="M10" s="30">
        <f>M6/(1+مفروضات!$B$12)^forbiden!M9</f>
        <v>-8456004.0914181415</v>
      </c>
      <c r="N10" s="30">
        <f>N6/(1+مفروضات!$B$12)^M9</f>
        <v>20351672.044027004</v>
      </c>
    </row>
    <row r="11" spans="1:14" ht="27" customHeight="1">
      <c r="A11" s="20" t="s">
        <v>255</v>
      </c>
      <c r="B11" s="21">
        <f>SUM(B10:N10)</f>
        <v>-358924813.72364539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4" ht="16.2">
      <c r="A12" s="31" t="s">
        <v>296</v>
      </c>
      <c r="B12" s="32">
        <f>B6/(1+'شاخص هاي اقتصادي'!$C$9)^B9</f>
        <v>-1470846409.0019569</v>
      </c>
      <c r="C12" s="32">
        <f>C6/(1+'شاخص هاي اقتصادي'!$C$9)^C9</f>
        <v>227375401.32429001</v>
      </c>
      <c r="D12" s="32">
        <f>D6/(1+'شاخص هاي اقتصادي'!$C$9)^D9</f>
        <v>348534007.9400748</v>
      </c>
      <c r="E12" s="32">
        <f>E6/(1+'شاخص هاي اقتصادي'!$C$9)^E9</f>
        <v>453773672.67256939</v>
      </c>
      <c r="F12" s="32">
        <f>F6/(1+'شاخص هاي اقتصادي'!$C$9)^F9</f>
        <v>624429417.04785585</v>
      </c>
      <c r="G12" s="32">
        <f>G6/(1+'شاخص هاي اقتصادي'!$C$9)^G9</f>
        <v>-42525785.142456509</v>
      </c>
      <c r="H12" s="32">
        <f>H6/(1+'شاخص هاي اقتصادي'!$C$9)^H9</f>
        <v>-40063275.801542632</v>
      </c>
      <c r="I12" s="32">
        <f>I6/(1+'شاخص هاي اقتصادي'!$C$9)^I9</f>
        <v>-37743361.176605761</v>
      </c>
      <c r="J12" s="32">
        <f>J6/(1+'شاخص هاي اقتصادي'!$C$9)^J9</f>
        <v>-35557784.140378721</v>
      </c>
      <c r="K12" s="32">
        <f>K6/(1+'شاخص هاي اقتصادي'!$C$9)^K9</f>
        <v>-33498765.704985667</v>
      </c>
      <c r="L12" s="32">
        <f>L6/(1+'شاخص هاي اقتصادي'!$C$9)^L9</f>
        <v>-31558977.334676284</v>
      </c>
      <c r="M12" s="32">
        <f>M6/(1+'شاخص هاي اقتصادي'!$C$9)^M9</f>
        <v>-29731514.861826081</v>
      </c>
      <c r="N12" s="32">
        <f>N6/(1+'شاخص هاي اقتصادي'!$C$9)^M9</f>
        <v>71556971.034828499</v>
      </c>
    </row>
    <row r="13" spans="1:14" ht="26.4">
      <c r="A13" s="34" t="s">
        <v>486</v>
      </c>
      <c r="B13" s="35">
        <f>SUM(B12:N12)</f>
        <v>4143596.855189994</v>
      </c>
      <c r="C13" s="36"/>
      <c r="D13" s="36"/>
      <c r="E13" s="36"/>
      <c r="F13" s="37" t="s">
        <v>253</v>
      </c>
      <c r="G13" s="36"/>
      <c r="H13" s="36"/>
      <c r="I13" s="38"/>
      <c r="J13" s="38"/>
      <c r="K13" s="38"/>
      <c r="L13" s="38"/>
      <c r="M13" s="33"/>
    </row>
    <row r="15" spans="1:14" ht="13.8" thickBot="1"/>
    <row r="16" spans="1:14" ht="21">
      <c r="A16" s="520" t="s">
        <v>483</v>
      </c>
      <c r="B16" s="521">
        <f>IF(B6+C6&gt;=0,(B6)/C6*-1,IF(B6+C6+D6&gt;=0,((B6+C6)/D6*-1)+C8,IF(B6+C6+D6+E6&gt;=0,((B6+C6+D6)/E6*-1)+D8,IF(B6+C6+D6+E6+F6&gt;=0,((B6+C6+D6+E6)/F6*-1)+E8,IF(B6+C6+D6+E6+F6+G6&gt;=0,((B6+C6+D6+E6+F6)/G6*-1)+F8,IF(B6+C6+D6+E6+F6+G6+H6&gt;=0,((B6+C6+D6+E6+F6+G6)/H6*-1)+G8,C16))))))</f>
        <v>3.3710152425277062</v>
      </c>
      <c r="C16" s="522">
        <f>IF(B6+C6+D6+E6+F6+G6+H6+I6&gt;=0,((B6+C6+D6+E6+F6+G6+H6)/I6*-1)+H8,IF(B6+C6+D6+E6+F6+G6+H6+I6+J6&gt;=0,((B6+C6+D6+E6+F6+G6+H6+I6)/J6*-1)+H8,IF(B6+C6+D6+E6+F6+G6+H6+I6+J6+K6&gt;=0,((B6+C6+D6+E6+F6+G6+H6+I6+J6)/K6*-1)+J8,IF(B6+C6+D6+E6+F6+G6+H6+I6+J6+K6+L6&gt;=0,((B6+C6+D6+E6+F6+G6+H6+I6+J6+K6)/L6*-1)+K8,IF(B6+C6+D6+E6+F6+G6+H6+I6+J6+K6+L6+M6&gt;=0,((B6+C6+D6+E6+F6+G6+H6+I6+J6+K6+L6)/M6*-1)+L8)))))</f>
        <v>12.700921515732464</v>
      </c>
    </row>
    <row r="17" spans="1:2" ht="21.6" thickBot="1">
      <c r="A17" s="196" t="s">
        <v>294</v>
      </c>
      <c r="B17" s="523">
        <f>IRR(B6:N6)</f>
        <v>6.1465501550900692E-2</v>
      </c>
    </row>
  </sheetData>
  <mergeCells count="1">
    <mergeCell ref="A1:M1"/>
  </mergeCells>
  <phoneticPr fontId="5" type="noConversion"/>
  <pageMargins left="0.75" right="0.75" top="1" bottom="1" header="0.5" footer="0.5"/>
  <pageSetup paperSize="9" scale="44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1">
    <tabColor indexed="53"/>
  </sheetPr>
  <dimension ref="A1"/>
  <sheetViews>
    <sheetView rightToLeft="1" view="pageBreakPreview" topLeftCell="A193" zoomScale="60" zoomScaleNormal="85" workbookViewId="0">
      <selection activeCell="E12" sqref="E12"/>
    </sheetView>
  </sheetViews>
  <sheetFormatPr defaultRowHeight="13.2"/>
  <sheetData/>
  <phoneticPr fontId="5" type="noConversion"/>
  <pageMargins left="0.75" right="0.75" top="1" bottom="1" header="0.5" footer="0.5"/>
  <pageSetup paperSize="9" scale="44" orientation="portrait" r:id="rId1"/>
  <headerFooter alignWithMargins="0"/>
  <rowBreaks count="1" manualBreakCount="1">
    <brk id="1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2"/>
  <dimension ref="A1:O53"/>
  <sheetViews>
    <sheetView rightToLeft="1" view="pageBreakPreview" topLeftCell="B1" zoomScaleNormal="100" zoomScaleSheetLayoutView="100" workbookViewId="0">
      <selection activeCell="E14" sqref="E14"/>
    </sheetView>
  </sheetViews>
  <sheetFormatPr defaultColWidth="9.109375" defaultRowHeight="17.399999999999999"/>
  <cols>
    <col min="1" max="1" width="3.88671875" style="800" customWidth="1"/>
    <col min="2" max="2" width="27.88671875" style="800" bestFit="1" customWidth="1"/>
    <col min="3" max="3" width="17.5546875" style="800" bestFit="1" customWidth="1"/>
    <col min="4" max="4" width="12.109375" style="800" bestFit="1" customWidth="1"/>
    <col min="5" max="5" width="18.88671875" style="800" bestFit="1" customWidth="1"/>
    <col min="6" max="6" width="11" style="800" bestFit="1" customWidth="1"/>
    <col min="7" max="7" width="26.109375" style="800" bestFit="1" customWidth="1"/>
    <col min="8" max="9" width="20.33203125" style="800" bestFit="1" customWidth="1"/>
    <col min="10" max="10" width="13.5546875" style="800" bestFit="1" customWidth="1"/>
    <col min="11" max="11" width="17" style="800" customWidth="1"/>
    <col min="12" max="12" width="15.44140625" style="800" customWidth="1"/>
    <col min="13" max="13" width="9.88671875" style="800" bestFit="1" customWidth="1"/>
    <col min="14" max="16384" width="9.109375" style="800"/>
  </cols>
  <sheetData>
    <row r="1" spans="1:15" ht="24.9" customHeight="1" thickBot="1">
      <c r="A1" s="1170" t="s">
        <v>182</v>
      </c>
      <c r="B1" s="1170"/>
      <c r="C1" s="1170"/>
      <c r="D1" s="1170"/>
      <c r="E1" s="1170"/>
      <c r="F1" s="1170"/>
      <c r="G1" s="1170"/>
      <c r="H1" s="1170"/>
      <c r="I1" s="1170"/>
    </row>
    <row r="2" spans="1:15" ht="23.25" customHeight="1">
      <c r="A2" s="1171" t="s">
        <v>6</v>
      </c>
      <c r="B2" s="1173" t="s">
        <v>7</v>
      </c>
      <c r="C2" s="1173" t="s">
        <v>202</v>
      </c>
      <c r="D2" s="1173"/>
      <c r="E2" s="1173"/>
      <c r="F2" s="1173" t="s">
        <v>555</v>
      </c>
      <c r="G2" s="1173"/>
      <c r="H2" s="1177" t="s">
        <v>189</v>
      </c>
      <c r="I2" s="1175" t="s">
        <v>190</v>
      </c>
    </row>
    <row r="3" spans="1:15" ht="23.25" customHeight="1">
      <c r="A3" s="1172"/>
      <c r="B3" s="1174"/>
      <c r="C3" s="801" t="s">
        <v>101</v>
      </c>
      <c r="D3" s="801" t="s">
        <v>24</v>
      </c>
      <c r="E3" s="801" t="s">
        <v>26</v>
      </c>
      <c r="F3" s="801" t="s">
        <v>24</v>
      </c>
      <c r="G3" s="801" t="s">
        <v>26</v>
      </c>
      <c r="H3" s="1178"/>
      <c r="I3" s="1176"/>
    </row>
    <row r="4" spans="1:15" ht="20.100000000000001" customHeight="1">
      <c r="A4" s="200">
        <v>1</v>
      </c>
      <c r="B4" s="802" t="str">
        <f>'سرمايه‌‌گذاري طرح'!B4</f>
        <v xml:space="preserve">زمين </v>
      </c>
      <c r="C4" s="812">
        <f>'سرمايه‌‌گذاري طرح'!D4</f>
        <v>0</v>
      </c>
      <c r="D4" s="810">
        <f>1-F4</f>
        <v>1</v>
      </c>
      <c r="E4" s="652">
        <f>'سرمايه‌‌گذاري طرح'!E4*'منابع تامين سرمايه گذاري'!D4</f>
        <v>0</v>
      </c>
      <c r="F4" s="869">
        <v>0</v>
      </c>
      <c r="G4" s="652">
        <f>'سرمايه‌‌گذاري طرح'!E4*'منابع تامين سرمايه گذاري'!F4</f>
        <v>0</v>
      </c>
      <c r="H4" s="652">
        <f>G4+E4</f>
        <v>0</v>
      </c>
      <c r="I4" s="655">
        <f>C4+H4</f>
        <v>0</v>
      </c>
    </row>
    <row r="5" spans="1:15" ht="20.100000000000001" customHeight="1">
      <c r="A5" s="200">
        <v>2</v>
      </c>
      <c r="B5" s="802" t="str">
        <f>'سرمايه‌‌گذاري طرح'!B5</f>
        <v>محوطه سازي</v>
      </c>
      <c r="C5" s="812">
        <f>'سرمايه‌‌گذاري طرح'!D5</f>
        <v>0</v>
      </c>
      <c r="D5" s="810">
        <f t="shared" ref="D5:D15" si="0">1-F5</f>
        <v>1</v>
      </c>
      <c r="E5" s="652">
        <f>'سرمايه‌‌گذاري طرح'!E5*'منابع تامين سرمايه گذاري'!D5</f>
        <v>0</v>
      </c>
      <c r="F5" s="869">
        <v>0</v>
      </c>
      <c r="G5" s="652">
        <f>'سرمايه‌‌گذاري طرح'!E5*'منابع تامين سرمايه گذاري'!F5</f>
        <v>0</v>
      </c>
      <c r="H5" s="652">
        <f t="shared" ref="H5:H13" si="1">G5+E5</f>
        <v>0</v>
      </c>
      <c r="I5" s="655">
        <f t="shared" ref="I5:I14" si="2">C5+H5</f>
        <v>0</v>
      </c>
      <c r="K5" s="868"/>
    </row>
    <row r="6" spans="1:15" ht="20.100000000000001" customHeight="1">
      <c r="A6" s="200">
        <v>3</v>
      </c>
      <c r="B6" s="802" t="str">
        <f>'سرمايه‌‌گذاري طرح'!B6</f>
        <v>ساختمان توليدي و اداري</v>
      </c>
      <c r="C6" s="812">
        <f>'سرمايه‌‌گذاري طرح'!D6</f>
        <v>57000000</v>
      </c>
      <c r="D6" s="810">
        <f t="shared" si="0"/>
        <v>1</v>
      </c>
      <c r="E6" s="652">
        <f>'سرمايه‌‌گذاري طرح'!E6*'منابع تامين سرمايه گذاري'!D6</f>
        <v>25000000</v>
      </c>
      <c r="F6" s="869">
        <v>0</v>
      </c>
      <c r="G6" s="652">
        <f>'سرمايه‌‌گذاري طرح'!E6*'منابع تامين سرمايه گذاري'!F6</f>
        <v>0</v>
      </c>
      <c r="H6" s="652">
        <f t="shared" si="1"/>
        <v>25000000</v>
      </c>
      <c r="I6" s="655">
        <f t="shared" si="2"/>
        <v>82000000</v>
      </c>
      <c r="K6" s="868"/>
    </row>
    <row r="7" spans="1:15" ht="20.100000000000001" customHeight="1">
      <c r="A7" s="200">
        <v>4</v>
      </c>
      <c r="B7" s="802" t="str">
        <f>'سرمايه‌‌گذاري طرح'!B7</f>
        <v>تاسيسات و تجهيزات عمومي</v>
      </c>
      <c r="C7" s="812">
        <f>'سرمايه‌‌گذاري طرح'!D7</f>
        <v>0</v>
      </c>
      <c r="D7" s="810">
        <f t="shared" si="0"/>
        <v>1</v>
      </c>
      <c r="E7" s="652">
        <f>'سرمايه‌‌گذاري طرح'!E7*'منابع تامين سرمايه گذاري'!D7</f>
        <v>0</v>
      </c>
      <c r="F7" s="869">
        <v>0</v>
      </c>
      <c r="G7" s="652">
        <f>'سرمايه‌‌گذاري طرح'!E7*'منابع تامين سرمايه گذاري'!F7</f>
        <v>0</v>
      </c>
      <c r="H7" s="652">
        <f t="shared" si="1"/>
        <v>0</v>
      </c>
      <c r="I7" s="655">
        <f t="shared" si="2"/>
        <v>0</v>
      </c>
      <c r="K7" s="868"/>
      <c r="N7" s="883"/>
    </row>
    <row r="8" spans="1:15" ht="20.100000000000001" customHeight="1">
      <c r="A8" s="200">
        <v>5</v>
      </c>
      <c r="B8" s="802" t="str">
        <f>'سرمايه‌‌گذاري طرح'!B8</f>
        <v xml:space="preserve">ماشين آلات و تجهيزات </v>
      </c>
      <c r="C8" s="812">
        <f>'سرمايه‌‌گذاري طرح'!D8</f>
        <v>0</v>
      </c>
      <c r="D8" s="810">
        <f t="shared" si="0"/>
        <v>1</v>
      </c>
      <c r="E8" s="652">
        <f>'سرمايه‌‌گذاري طرح'!E8*'منابع تامين سرمايه گذاري'!D8</f>
        <v>0</v>
      </c>
      <c r="F8" s="869">
        <v>0</v>
      </c>
      <c r="G8" s="652">
        <f>'سرمايه‌‌گذاري طرح'!E8*'منابع تامين سرمايه گذاري'!F8</f>
        <v>0</v>
      </c>
      <c r="H8" s="652">
        <f t="shared" si="1"/>
        <v>0</v>
      </c>
      <c r="I8" s="655">
        <f t="shared" si="2"/>
        <v>0</v>
      </c>
      <c r="J8" s="800" t="e">
        <f>70000000/H8</f>
        <v>#DIV/0!</v>
      </c>
      <c r="K8" s="868"/>
      <c r="N8" s="883"/>
    </row>
    <row r="9" spans="1:15" ht="20.100000000000001" customHeight="1">
      <c r="A9" s="200">
        <v>6</v>
      </c>
      <c r="B9" s="802" t="str">
        <f>'سرمايه‌‌گذاري طرح'!B9</f>
        <v>اثاثيه و تجهيزات اداري</v>
      </c>
      <c r="C9" s="812">
        <f>'سرمايه‌‌گذاري طرح'!D9</f>
        <v>8400000</v>
      </c>
      <c r="D9" s="810">
        <f t="shared" si="0"/>
        <v>1</v>
      </c>
      <c r="E9" s="652">
        <f>'سرمايه‌‌گذاري طرح'!E9*'منابع تامين سرمايه گذاري'!D9</f>
        <v>2100000</v>
      </c>
      <c r="F9" s="869">
        <v>0</v>
      </c>
      <c r="G9" s="652">
        <f>'سرمايه‌‌گذاري طرح'!E9*'منابع تامين سرمايه گذاري'!F9</f>
        <v>0</v>
      </c>
      <c r="H9" s="652">
        <f t="shared" si="1"/>
        <v>2100000</v>
      </c>
      <c r="I9" s="655">
        <f t="shared" si="2"/>
        <v>10500000</v>
      </c>
      <c r="K9" s="868"/>
      <c r="N9" s="883"/>
    </row>
    <row r="10" spans="1:15" ht="20.100000000000001" customHeight="1">
      <c r="A10" s="200">
        <v>7</v>
      </c>
      <c r="B10" s="802" t="str">
        <f>'سرمايه‌‌گذاري طرح'!B10</f>
        <v>وسائط نقليه</v>
      </c>
      <c r="C10" s="812">
        <f>'سرمايه‌‌گذاري طرح'!D10</f>
        <v>7000000</v>
      </c>
      <c r="D10" s="810">
        <f t="shared" si="0"/>
        <v>1</v>
      </c>
      <c r="E10" s="652">
        <f>'سرمايه‌‌گذاري طرح'!E10*'منابع تامين سرمايه گذاري'!D10</f>
        <v>0</v>
      </c>
      <c r="F10" s="869">
        <v>0</v>
      </c>
      <c r="G10" s="652">
        <f>'سرمايه‌‌گذاري طرح'!E10*'منابع تامين سرمايه گذاري'!F10</f>
        <v>0</v>
      </c>
      <c r="H10" s="652">
        <f>G10+E10</f>
        <v>0</v>
      </c>
      <c r="I10" s="655">
        <f t="shared" si="2"/>
        <v>7000000</v>
      </c>
      <c r="K10" s="868"/>
    </row>
    <row r="11" spans="1:15" ht="20.100000000000001" customHeight="1">
      <c r="A11" s="200">
        <v>8</v>
      </c>
      <c r="B11" s="802" t="str">
        <f>'سرمايه‌‌گذاري طرح'!B11</f>
        <v>ساير هزينه هاي بخش ثابت</v>
      </c>
      <c r="C11" s="812">
        <f>'سرمايه‌‌گذاري طرح'!D11</f>
        <v>480000</v>
      </c>
      <c r="D11" s="810">
        <f t="shared" si="0"/>
        <v>1</v>
      </c>
      <c r="E11" s="652">
        <f>'سرمايه‌‌گذاري طرح'!E11*'منابع تامين سرمايه گذاري'!D11</f>
        <v>91200000</v>
      </c>
      <c r="F11" s="869">
        <v>0</v>
      </c>
      <c r="G11" s="652">
        <f>'سرمايه‌‌گذاري طرح'!E11*'منابع تامين سرمايه گذاري'!F11</f>
        <v>0</v>
      </c>
      <c r="H11" s="652">
        <f>G11+E11</f>
        <v>91200000</v>
      </c>
      <c r="I11" s="655">
        <f t="shared" si="2"/>
        <v>91680000</v>
      </c>
      <c r="N11" s="883"/>
    </row>
    <row r="12" spans="1:15" ht="20.100000000000001" customHeight="1">
      <c r="A12" s="200">
        <v>9</v>
      </c>
      <c r="B12" s="802" t="str">
        <f>'سرمايه‌‌گذاري طرح'!B12</f>
        <v>هزينه‌هاي پيش‌بيني‌نشده‌</v>
      </c>
      <c r="C12" s="812">
        <f>'سرمايه‌‌گذاري طرح'!D12</f>
        <v>0</v>
      </c>
      <c r="D12" s="810">
        <f t="shared" si="0"/>
        <v>1</v>
      </c>
      <c r="E12" s="652">
        <f>'سرمايه‌‌گذاري طرح'!E12*'منابع تامين سرمايه گذاري'!D12</f>
        <v>4665000</v>
      </c>
      <c r="F12" s="869">
        <v>0</v>
      </c>
      <c r="G12" s="652">
        <f>'سرمايه‌‌گذاري طرح'!E12*'منابع تامين سرمايه گذاري'!F12</f>
        <v>0</v>
      </c>
      <c r="H12" s="652">
        <f t="shared" si="1"/>
        <v>4665000</v>
      </c>
      <c r="I12" s="655">
        <f t="shared" si="2"/>
        <v>4665000</v>
      </c>
      <c r="J12" s="883"/>
    </row>
    <row r="13" spans="1:15" ht="20.100000000000001" customHeight="1">
      <c r="A13" s="200">
        <v>10</v>
      </c>
      <c r="B13" s="802" t="s">
        <v>44</v>
      </c>
      <c r="C13" s="812">
        <f>'سرمايه‌‌گذاري طرح'!D14</f>
        <v>0</v>
      </c>
      <c r="D13" s="810">
        <f t="shared" si="0"/>
        <v>1</v>
      </c>
      <c r="E13" s="652">
        <f>'سرمايه‌‌گذاري طرح'!E14*'منابع تامين سرمايه گذاري'!D13</f>
        <v>1275001409.0019569</v>
      </c>
      <c r="F13" s="869">
        <v>0</v>
      </c>
      <c r="G13" s="652">
        <f>'سرمايه‌‌گذاري طرح'!E14*'منابع تامين سرمايه گذاري'!F13</f>
        <v>0</v>
      </c>
      <c r="H13" s="652">
        <f t="shared" si="1"/>
        <v>1275001409.0019569</v>
      </c>
      <c r="I13" s="655">
        <f t="shared" si="2"/>
        <v>1275001409.0019569</v>
      </c>
      <c r="J13" s="883"/>
    </row>
    <row r="14" spans="1:15" ht="20.100000000000001" customHeight="1">
      <c r="A14" s="200">
        <v>11</v>
      </c>
      <c r="B14" s="802" t="s">
        <v>46</v>
      </c>
      <c r="C14" s="812">
        <f>'سرمايه‌‌گذاري طرح'!D16</f>
        <v>0</v>
      </c>
      <c r="D14" s="810">
        <f t="shared" si="0"/>
        <v>0.81434658599999998</v>
      </c>
      <c r="E14" s="652">
        <f>'سرمايه‌‌گذاري طرح'!E16*'منابع تامين سرمايه گذاري'!D14</f>
        <v>5900835.7870248333</v>
      </c>
      <c r="F14" s="869">
        <v>0.18565341399999999</v>
      </c>
      <c r="G14" s="652">
        <f>'سرمايه‌‌گذاري طرح'!E16*'منابع تامين سرمايه گذاري'!F14</f>
        <v>1345262.9729751665</v>
      </c>
      <c r="H14" s="652">
        <f>G14+E14</f>
        <v>7246098.7599999998</v>
      </c>
      <c r="I14" s="655">
        <f t="shared" si="2"/>
        <v>7246098.7599999998</v>
      </c>
      <c r="J14" s="883">
        <f>30000000/H14</f>
        <v>4.1401588625325338</v>
      </c>
      <c r="L14" s="883"/>
      <c r="O14" s="883"/>
    </row>
    <row r="15" spans="1:15" ht="24.9" customHeight="1" thickBot="1">
      <c r="A15" s="1168" t="s">
        <v>142</v>
      </c>
      <c r="B15" s="1169"/>
      <c r="C15" s="813">
        <f>SUM(C4:C14)</f>
        <v>72880000</v>
      </c>
      <c r="D15" s="870">
        <f t="shared" si="0"/>
        <v>0.99908986550847745</v>
      </c>
      <c r="E15" s="813">
        <f>SUM(E4:E14)</f>
        <v>1403867244.7889817</v>
      </c>
      <c r="F15" s="870">
        <f>(G15+E42+E19)/I15</f>
        <v>9.1013449152251415E-4</v>
      </c>
      <c r="G15" s="813">
        <f>SUM(G4:G14)</f>
        <v>1345262.9729751665</v>
      </c>
      <c r="H15" s="813">
        <f>SUM(H4:H14)</f>
        <v>1405212507.7619569</v>
      </c>
      <c r="I15" s="814">
        <f>SUM(I4:I14)</f>
        <v>1478092507.7619569</v>
      </c>
      <c r="L15" s="883"/>
    </row>
    <row r="16" spans="1:15" ht="24.9" customHeight="1">
      <c r="C16" s="1165">
        <f>C15+E15</f>
        <v>1476747244.7889817</v>
      </c>
      <c r="D16" s="1166"/>
      <c r="E16" s="1167"/>
      <c r="F16" s="811"/>
      <c r="G16" s="811"/>
      <c r="H16" s="811"/>
      <c r="I16" s="811"/>
      <c r="J16" s="883"/>
      <c r="L16" s="867"/>
    </row>
    <row r="17" spans="2:15">
      <c r="G17" s="803"/>
      <c r="K17" s="883"/>
    </row>
    <row r="18" spans="2:15" ht="20.100000000000001" customHeight="1">
      <c r="B18" s="804" t="s">
        <v>191</v>
      </c>
      <c r="E18" s="815">
        <f>G15-G14</f>
        <v>0</v>
      </c>
      <c r="F18" s="889">
        <f>G18+20000000</f>
        <v>15900835.787024833</v>
      </c>
      <c r="G18" s="889">
        <f>E14-10000000</f>
        <v>-4099164.2129751667</v>
      </c>
      <c r="J18" s="883"/>
      <c r="L18" s="652">
        <f>E15-E13-E12</f>
        <v>124200835.78702474</v>
      </c>
      <c r="N18" s="883"/>
    </row>
    <row r="19" spans="2:15" ht="20.100000000000001" hidden="1" customHeight="1">
      <c r="B19" s="804" t="s">
        <v>584</v>
      </c>
      <c r="E19" s="815">
        <v>0</v>
      </c>
      <c r="G19" s="806"/>
      <c r="N19" s="883"/>
    </row>
    <row r="20" spans="2:15" ht="20.100000000000001" customHeight="1">
      <c r="B20" s="804" t="s">
        <v>553</v>
      </c>
      <c r="E20" s="859">
        <f>(G15-G14)/(H15-H14)</f>
        <v>0</v>
      </c>
      <c r="F20" s="889">
        <f>F18+C15</f>
        <v>88780835.787024826</v>
      </c>
      <c r="G20" s="803">
        <f>E14+E8-20000000</f>
        <v>-14099164.212975167</v>
      </c>
      <c r="H20" s="807"/>
      <c r="I20" s="800">
        <f>30000000/H14</f>
        <v>4.1401588625325338</v>
      </c>
      <c r="L20" s="889">
        <f>L18-20000000</f>
        <v>104200835.78702474</v>
      </c>
      <c r="N20" s="883"/>
    </row>
    <row r="21" spans="2:15" ht="20.100000000000001" customHeight="1">
      <c r="B21" s="804" t="s">
        <v>192</v>
      </c>
      <c r="E21" s="873">
        <v>0.12</v>
      </c>
      <c r="G21" s="852" t="s">
        <v>558</v>
      </c>
      <c r="H21" s="873">
        <v>0.12</v>
      </c>
      <c r="J21" s="883"/>
      <c r="N21" s="883"/>
    </row>
    <row r="22" spans="2:15" ht="20.100000000000001" customHeight="1">
      <c r="B22" s="804" t="s">
        <v>281</v>
      </c>
      <c r="E22" s="874">
        <v>90</v>
      </c>
      <c r="H22" s="808"/>
      <c r="J22" s="883"/>
    </row>
    <row r="23" spans="2:15" ht="20.100000000000001" hidden="1" customHeight="1">
      <c r="B23" s="804" t="s">
        <v>585</v>
      </c>
      <c r="E23" s="874">
        <v>0</v>
      </c>
      <c r="G23" s="852" t="s">
        <v>558</v>
      </c>
      <c r="H23" s="873">
        <v>0.12</v>
      </c>
    </row>
    <row r="24" spans="2:15" ht="20.100000000000001" customHeight="1">
      <c r="B24" s="804" t="s">
        <v>237</v>
      </c>
      <c r="E24" s="874">
        <v>4</v>
      </c>
      <c r="H24" s="808"/>
      <c r="K24" s="883"/>
    </row>
    <row r="25" spans="2:15" ht="20.100000000000001" customHeight="1">
      <c r="B25" s="804" t="s">
        <v>193</v>
      </c>
      <c r="E25" s="874">
        <v>60</v>
      </c>
      <c r="J25" s="883"/>
      <c r="K25" s="888"/>
    </row>
    <row r="26" spans="2:15" ht="20.100000000000001" customHeight="1">
      <c r="B26" s="804" t="s">
        <v>194</v>
      </c>
      <c r="E26" s="874">
        <v>1</v>
      </c>
      <c r="J26" s="889"/>
      <c r="M26" s="887"/>
    </row>
    <row r="27" spans="2:15" ht="20.100000000000001" customHeight="1">
      <c r="B27" s="804" t="s">
        <v>279</v>
      </c>
      <c r="E27" s="815">
        <f>E18*H21*E22/360</f>
        <v>0</v>
      </c>
      <c r="K27" s="883"/>
      <c r="L27" s="883"/>
      <c r="O27" s="883"/>
    </row>
    <row r="28" spans="2:15" ht="20.100000000000001" hidden="1" customHeight="1">
      <c r="B28" s="804" t="s">
        <v>586</v>
      </c>
      <c r="E28" s="815">
        <f>E19*H23*E23/360</f>
        <v>0</v>
      </c>
    </row>
    <row r="29" spans="2:15" ht="20.100000000000001" customHeight="1">
      <c r="B29" s="804" t="s">
        <v>280</v>
      </c>
      <c r="E29" s="815">
        <f>IF(E24&gt;0,0,(E18+E27)*E21*(E25+1)*E26/24)</f>
        <v>0</v>
      </c>
    </row>
    <row r="30" spans="2:15" ht="20.100000000000001" customHeight="1">
      <c r="B30" s="804" t="s">
        <v>282</v>
      </c>
      <c r="E30" s="815">
        <f>IF(E24=0,0,((E18+E27)*E21*(2*(E24+E26)+E25*E26-E26)/24))</f>
        <v>0</v>
      </c>
    </row>
    <row r="31" spans="2:15" ht="20.100000000000001" customHeight="1">
      <c r="B31" s="804" t="s">
        <v>283</v>
      </c>
      <c r="E31" s="815">
        <f>E27+E29+E30+E28</f>
        <v>0</v>
      </c>
      <c r="K31" s="883"/>
    </row>
    <row r="32" spans="2:15" ht="20.100000000000001" customHeight="1">
      <c r="B32" s="804" t="s">
        <v>195</v>
      </c>
      <c r="E32" s="815">
        <f>E25*E26</f>
        <v>60</v>
      </c>
    </row>
    <row r="33" spans="2:7" ht="20.100000000000001" customHeight="1">
      <c r="B33" s="804" t="s">
        <v>196</v>
      </c>
      <c r="E33" s="815">
        <f>E32/12</f>
        <v>5</v>
      </c>
    </row>
    <row r="34" spans="2:7" ht="20.100000000000001" customHeight="1">
      <c r="B34" s="804" t="s">
        <v>197</v>
      </c>
      <c r="E34" s="815">
        <f>(E31)/E33</f>
        <v>0</v>
      </c>
    </row>
    <row r="35" spans="2:7" ht="20.100000000000001" customHeight="1">
      <c r="B35" s="804" t="s">
        <v>198</v>
      </c>
      <c r="E35" s="815">
        <f>(E18+E19)/E33</f>
        <v>0</v>
      </c>
    </row>
    <row r="36" spans="2:7" ht="20.100000000000001" customHeight="1">
      <c r="B36" s="804" t="s">
        <v>457</v>
      </c>
      <c r="E36" s="815">
        <f>E31/E25</f>
        <v>0</v>
      </c>
    </row>
    <row r="37" spans="2:7" ht="20.100000000000001" customHeight="1">
      <c r="B37" s="804" t="s">
        <v>458</v>
      </c>
      <c r="E37" s="815">
        <f>E18/E25</f>
        <v>0</v>
      </c>
    </row>
    <row r="38" spans="2:7" ht="20.100000000000001" hidden="1" customHeight="1">
      <c r="B38" s="804" t="s">
        <v>459</v>
      </c>
      <c r="E38" s="816"/>
    </row>
    <row r="39" spans="2:7" ht="20.100000000000001" hidden="1" customHeight="1">
      <c r="B39" s="804" t="s">
        <v>468</v>
      </c>
      <c r="E39" s="816"/>
    </row>
    <row r="40" spans="2:7" ht="20.100000000000001" customHeight="1">
      <c r="B40" s="804"/>
      <c r="E40" s="815"/>
    </row>
    <row r="41" spans="2:7" ht="20.100000000000001" customHeight="1">
      <c r="B41" s="804" t="s">
        <v>199</v>
      </c>
      <c r="E41" s="815">
        <f>G14</f>
        <v>1345262.9729751665</v>
      </c>
    </row>
    <row r="42" spans="2:7" ht="20.100000000000001" hidden="1" customHeight="1">
      <c r="B42" s="804" t="s">
        <v>583</v>
      </c>
      <c r="E42" s="815">
        <v>0</v>
      </c>
    </row>
    <row r="43" spans="2:7" ht="20.100000000000001" customHeight="1">
      <c r="B43" s="804" t="s">
        <v>552</v>
      </c>
      <c r="E43" s="815">
        <f>E41/(H14)</f>
        <v>0.18565341399999999</v>
      </c>
      <c r="G43" s="809"/>
    </row>
    <row r="44" spans="2:7" ht="20.100000000000001" customHeight="1">
      <c r="B44" s="804" t="s">
        <v>200</v>
      </c>
      <c r="E44" s="873">
        <v>0</v>
      </c>
    </row>
    <row r="45" spans="2:7" ht="20.100000000000001" customHeight="1">
      <c r="B45" s="804" t="s">
        <v>193</v>
      </c>
      <c r="E45" s="874">
        <v>6</v>
      </c>
    </row>
    <row r="46" spans="2:7" ht="20.100000000000001" customHeight="1">
      <c r="B46" s="804" t="s">
        <v>194</v>
      </c>
      <c r="E46" s="874">
        <v>2</v>
      </c>
    </row>
    <row r="47" spans="2:7" ht="20.100000000000001" customHeight="1">
      <c r="B47" s="804" t="s">
        <v>201</v>
      </c>
      <c r="E47" s="815">
        <f>(E41*E44*E46*(E45+1))/24</f>
        <v>0</v>
      </c>
    </row>
    <row r="48" spans="2:7" ht="20.100000000000001" customHeight="1">
      <c r="B48" s="804" t="s">
        <v>195</v>
      </c>
      <c r="E48" s="815">
        <f>E45*E46</f>
        <v>12</v>
      </c>
    </row>
    <row r="49" spans="2:5" ht="20.100000000000001" customHeight="1">
      <c r="B49" s="804" t="s">
        <v>196</v>
      </c>
      <c r="E49" s="815">
        <f>E48/12</f>
        <v>1</v>
      </c>
    </row>
    <row r="50" spans="2:5" ht="20.100000000000001" customHeight="1">
      <c r="B50" s="804" t="s">
        <v>451</v>
      </c>
      <c r="E50" s="815">
        <f>IF(E45=0,0,IF(E46=0,0,E47/E49))</f>
        <v>0</v>
      </c>
    </row>
    <row r="51" spans="2:5" ht="20.100000000000001" customHeight="1">
      <c r="B51" s="804" t="s">
        <v>452</v>
      </c>
      <c r="E51" s="815">
        <f>IF(E45=0,0,IF(E46=0,0,(E41+E42)/E49))</f>
        <v>1345262.9729751665</v>
      </c>
    </row>
    <row r="52" spans="2:5" ht="20.100000000000001" customHeight="1">
      <c r="B52" s="804"/>
      <c r="E52" s="805"/>
    </row>
    <row r="53" spans="2:5" ht="20.100000000000001" customHeight="1">
      <c r="B53" s="804"/>
      <c r="E53" s="805"/>
    </row>
  </sheetData>
  <mergeCells count="9">
    <mergeCell ref="C16:E16"/>
    <mergeCell ref="A15:B15"/>
    <mergeCell ref="A1:I1"/>
    <mergeCell ref="A2:A3"/>
    <mergeCell ref="B2:B3"/>
    <mergeCell ref="C2:E2"/>
    <mergeCell ref="F2:G2"/>
    <mergeCell ref="I2:I3"/>
    <mergeCell ref="H2:H3"/>
  </mergeCells>
  <phoneticPr fontId="5" type="noConversion"/>
  <printOptions horizontalCentered="1"/>
  <pageMargins left="0" right="0" top="1.5748031496062993" bottom="0.39370078740157483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I62"/>
  <sheetViews>
    <sheetView rightToLeft="1" view="pageBreakPreview" topLeftCell="A37" zoomScaleNormal="100" workbookViewId="0">
      <selection activeCell="C22" sqref="C22"/>
    </sheetView>
  </sheetViews>
  <sheetFormatPr defaultColWidth="14.5546875" defaultRowHeight="17.399999999999999"/>
  <cols>
    <col min="1" max="1" width="3.44140625" style="66" customWidth="1"/>
    <col min="2" max="2" width="35.88671875" style="66" customWidth="1"/>
    <col min="3" max="3" width="7.88671875" style="66" customWidth="1"/>
    <col min="4" max="4" width="8.6640625" style="66" bestFit="1" customWidth="1"/>
    <col min="5" max="5" width="10.109375" style="66" customWidth="1"/>
    <col min="6" max="6" width="14.88671875" style="66" bestFit="1" customWidth="1"/>
    <col min="7" max="7" width="12.6640625" style="66" bestFit="1" customWidth="1"/>
    <col min="8" max="8" width="11.44140625" style="66" customWidth="1"/>
    <col min="9" max="9" width="12.6640625" style="66" bestFit="1" customWidth="1"/>
    <col min="10" max="16384" width="14.5546875" style="66"/>
  </cols>
  <sheetData>
    <row r="1" spans="1:9" ht="24.9" customHeight="1" thickBot="1">
      <c r="A1" s="912" t="s">
        <v>157</v>
      </c>
      <c r="B1" s="912"/>
      <c r="C1" s="912"/>
      <c r="D1" s="912"/>
      <c r="E1" s="912"/>
      <c r="F1" s="912"/>
      <c r="G1" s="912"/>
      <c r="H1" s="912"/>
      <c r="I1" s="912"/>
    </row>
    <row r="2" spans="1:9" ht="20.100000000000001" customHeight="1">
      <c r="A2" s="920" t="s">
        <v>6</v>
      </c>
      <c r="B2" s="915" t="s">
        <v>20</v>
      </c>
      <c r="C2" s="915" t="s">
        <v>12</v>
      </c>
      <c r="D2" s="918" t="s">
        <v>172</v>
      </c>
      <c r="E2" s="918" t="s">
        <v>159</v>
      </c>
      <c r="F2" s="918" t="s">
        <v>156</v>
      </c>
      <c r="G2" s="915" t="s">
        <v>114</v>
      </c>
      <c r="H2" s="915"/>
      <c r="I2" s="917"/>
    </row>
    <row r="3" spans="1:9" ht="20.100000000000001" customHeight="1">
      <c r="A3" s="921"/>
      <c r="B3" s="906"/>
      <c r="C3" s="906"/>
      <c r="D3" s="919"/>
      <c r="E3" s="919"/>
      <c r="F3" s="919"/>
      <c r="G3" s="45" t="s">
        <v>101</v>
      </c>
      <c r="H3" s="45" t="s">
        <v>26</v>
      </c>
      <c r="I3" s="68" t="s">
        <v>8</v>
      </c>
    </row>
    <row r="4" spans="1:9" ht="18.600000000000001">
      <c r="A4" s="69">
        <v>1</v>
      </c>
      <c r="B4" s="58" t="s">
        <v>598</v>
      </c>
      <c r="C4" s="58"/>
      <c r="D4" s="651"/>
      <c r="E4" s="651"/>
      <c r="F4" s="651"/>
      <c r="G4" s="652">
        <f t="shared" ref="G4:G11" si="0">D4*F4</f>
        <v>0</v>
      </c>
      <c r="H4" s="652">
        <f t="shared" ref="H4:H11" si="1">E4*F4</f>
        <v>0</v>
      </c>
      <c r="I4" s="655">
        <f t="shared" ref="I4:I11" si="2">G4+H4</f>
        <v>0</v>
      </c>
    </row>
    <row r="5" spans="1:9" ht="18.600000000000001" hidden="1">
      <c r="A5" s="69">
        <v>2</v>
      </c>
      <c r="B5" s="624"/>
      <c r="C5" s="58"/>
      <c r="D5" s="651"/>
      <c r="E5" s="651"/>
      <c r="F5" s="651"/>
      <c r="G5" s="652">
        <f t="shared" si="0"/>
        <v>0</v>
      </c>
      <c r="H5" s="652">
        <f t="shared" si="1"/>
        <v>0</v>
      </c>
      <c r="I5" s="655">
        <f t="shared" si="2"/>
        <v>0</v>
      </c>
    </row>
    <row r="6" spans="1:9" ht="18.600000000000001" hidden="1">
      <c r="A6" s="69"/>
      <c r="B6" s="624"/>
      <c r="C6" s="58"/>
      <c r="D6" s="651"/>
      <c r="E6" s="651"/>
      <c r="F6" s="651"/>
      <c r="G6" s="652">
        <f t="shared" si="0"/>
        <v>0</v>
      </c>
      <c r="H6" s="652">
        <f t="shared" si="1"/>
        <v>0</v>
      </c>
      <c r="I6" s="655">
        <f t="shared" si="2"/>
        <v>0</v>
      </c>
    </row>
    <row r="7" spans="1:9" ht="18.600000000000001" hidden="1">
      <c r="A7" s="69"/>
      <c r="B7" s="624"/>
      <c r="C7" s="58"/>
      <c r="D7" s="651"/>
      <c r="E7" s="651"/>
      <c r="F7" s="651"/>
      <c r="G7" s="652">
        <f t="shared" si="0"/>
        <v>0</v>
      </c>
      <c r="H7" s="652">
        <f t="shared" si="1"/>
        <v>0</v>
      </c>
      <c r="I7" s="655">
        <f t="shared" si="2"/>
        <v>0</v>
      </c>
    </row>
    <row r="8" spans="1:9" ht="18.600000000000001" hidden="1">
      <c r="A8" s="69"/>
      <c r="B8" s="624"/>
      <c r="C8" s="58"/>
      <c r="D8" s="651"/>
      <c r="E8" s="651"/>
      <c r="F8" s="651"/>
      <c r="G8" s="652">
        <f t="shared" si="0"/>
        <v>0</v>
      </c>
      <c r="H8" s="652">
        <f t="shared" si="1"/>
        <v>0</v>
      </c>
      <c r="I8" s="655">
        <f t="shared" si="2"/>
        <v>0</v>
      </c>
    </row>
    <row r="9" spans="1:9" ht="18.600000000000001" hidden="1">
      <c r="A9" s="69"/>
      <c r="B9" s="624"/>
      <c r="C9" s="58"/>
      <c r="D9" s="651"/>
      <c r="E9" s="651"/>
      <c r="F9" s="651"/>
      <c r="G9" s="652">
        <f t="shared" si="0"/>
        <v>0</v>
      </c>
      <c r="H9" s="652">
        <f t="shared" si="1"/>
        <v>0</v>
      </c>
      <c r="I9" s="655">
        <f t="shared" si="2"/>
        <v>0</v>
      </c>
    </row>
    <row r="10" spans="1:9" ht="18.600000000000001" hidden="1">
      <c r="A10" s="69"/>
      <c r="B10" s="624"/>
      <c r="C10" s="58"/>
      <c r="D10" s="651"/>
      <c r="E10" s="651"/>
      <c r="F10" s="651"/>
      <c r="G10" s="652">
        <f t="shared" si="0"/>
        <v>0</v>
      </c>
      <c r="H10" s="652">
        <f t="shared" si="1"/>
        <v>0</v>
      </c>
      <c r="I10" s="655">
        <f t="shared" si="2"/>
        <v>0</v>
      </c>
    </row>
    <row r="11" spans="1:9" ht="18.600000000000001">
      <c r="A11" s="69">
        <v>2</v>
      </c>
      <c r="B11" s="624"/>
      <c r="C11" s="58"/>
      <c r="D11" s="651"/>
      <c r="E11" s="651"/>
      <c r="F11" s="651"/>
      <c r="G11" s="652">
        <f t="shared" si="0"/>
        <v>0</v>
      </c>
      <c r="H11" s="652">
        <f t="shared" si="1"/>
        <v>0</v>
      </c>
      <c r="I11" s="655">
        <f t="shared" si="2"/>
        <v>0</v>
      </c>
    </row>
    <row r="12" spans="1:9" s="83" customFormat="1" ht="24.9" customHeight="1" thickBot="1">
      <c r="A12" s="913"/>
      <c r="B12" s="914"/>
      <c r="C12" s="74"/>
      <c r="D12" s="656"/>
      <c r="E12" s="656"/>
      <c r="F12" s="656"/>
      <c r="G12" s="657">
        <f>SUM(G4:G11)</f>
        <v>0</v>
      </c>
      <c r="H12" s="657">
        <f>SUM(H4:H11)</f>
        <v>0</v>
      </c>
      <c r="I12" s="658">
        <f>SUM(I4:I11)</f>
        <v>0</v>
      </c>
    </row>
    <row r="13" spans="1:9" ht="19.5" customHeight="1">
      <c r="A13" s="898"/>
      <c r="B13" s="916"/>
      <c r="C13" s="916"/>
      <c r="D13" s="916"/>
      <c r="E13" s="916"/>
      <c r="F13" s="916"/>
      <c r="G13" s="916"/>
      <c r="H13" s="916"/>
      <c r="I13" s="916"/>
    </row>
    <row r="14" spans="1:9" ht="24.9" customHeight="1" thickBot="1">
      <c r="A14" s="912" t="s">
        <v>158</v>
      </c>
      <c r="B14" s="912"/>
      <c r="C14" s="912"/>
      <c r="D14" s="912"/>
      <c r="E14" s="912"/>
      <c r="F14" s="912"/>
      <c r="G14" s="912"/>
      <c r="H14" s="912"/>
      <c r="I14" s="912"/>
    </row>
    <row r="15" spans="1:9" ht="20.100000000000001" customHeight="1">
      <c r="A15" s="920" t="s">
        <v>6</v>
      </c>
      <c r="B15" s="915" t="s">
        <v>20</v>
      </c>
      <c r="C15" s="915" t="s">
        <v>12</v>
      </c>
      <c r="D15" s="918" t="s">
        <v>172</v>
      </c>
      <c r="E15" s="918" t="s">
        <v>159</v>
      </c>
      <c r="F15" s="918" t="s">
        <v>156</v>
      </c>
      <c r="G15" s="915" t="s">
        <v>114</v>
      </c>
      <c r="H15" s="915"/>
      <c r="I15" s="917"/>
    </row>
    <row r="16" spans="1:9" ht="20.100000000000001" customHeight="1">
      <c r="A16" s="921"/>
      <c r="B16" s="906"/>
      <c r="C16" s="906"/>
      <c r="D16" s="919"/>
      <c r="E16" s="919"/>
      <c r="F16" s="919"/>
      <c r="G16" s="45" t="s">
        <v>101</v>
      </c>
      <c r="H16" s="45" t="s">
        <v>26</v>
      </c>
      <c r="I16" s="68" t="s">
        <v>8</v>
      </c>
    </row>
    <row r="17" spans="1:9" ht="18.600000000000001">
      <c r="A17" s="69">
        <v>1</v>
      </c>
      <c r="B17" s="82" t="s">
        <v>599</v>
      </c>
      <c r="C17" s="58"/>
      <c r="D17" s="651"/>
      <c r="E17" s="651"/>
      <c r="F17" s="651"/>
      <c r="G17" s="652">
        <f>D17*F17</f>
        <v>0</v>
      </c>
      <c r="H17" s="652">
        <f>E17*F17</f>
        <v>0</v>
      </c>
      <c r="I17" s="655">
        <f>G17+H17</f>
        <v>0</v>
      </c>
    </row>
    <row r="18" spans="1:9" ht="20.100000000000001" hidden="1" customHeight="1">
      <c r="A18" s="69">
        <v>2</v>
      </c>
      <c r="B18" s="82"/>
      <c r="C18" s="58"/>
      <c r="D18" s="651"/>
      <c r="E18" s="651"/>
      <c r="F18" s="651"/>
      <c r="G18" s="652">
        <f>D18*F18</f>
        <v>0</v>
      </c>
      <c r="H18" s="652">
        <f>E18*F18</f>
        <v>0</v>
      </c>
      <c r="I18" s="655">
        <f>G18+H18</f>
        <v>0</v>
      </c>
    </row>
    <row r="19" spans="1:9" ht="20.100000000000001" hidden="1" customHeight="1">
      <c r="A19" s="69">
        <v>3</v>
      </c>
      <c r="B19" s="82"/>
      <c r="C19" s="58"/>
      <c r="D19" s="651"/>
      <c r="E19" s="651"/>
      <c r="F19" s="651"/>
      <c r="G19" s="652">
        <f>D19*F19</f>
        <v>0</v>
      </c>
      <c r="H19" s="652">
        <f>E19*F19</f>
        <v>0</v>
      </c>
      <c r="I19" s="655">
        <f>G19+H19</f>
        <v>0</v>
      </c>
    </row>
    <row r="20" spans="1:9" ht="20.100000000000001" hidden="1" customHeight="1">
      <c r="A20" s="69">
        <v>4</v>
      </c>
      <c r="B20" s="82"/>
      <c r="C20" s="58"/>
      <c r="D20" s="651"/>
      <c r="E20" s="651"/>
      <c r="F20" s="651"/>
      <c r="G20" s="652">
        <f>D20*F20</f>
        <v>0</v>
      </c>
      <c r="H20" s="652">
        <f>E20*F20</f>
        <v>0</v>
      </c>
      <c r="I20" s="655">
        <f>G20+H20</f>
        <v>0</v>
      </c>
    </row>
    <row r="21" spans="1:9" ht="18.600000000000001">
      <c r="A21" s="69"/>
      <c r="B21" s="82"/>
      <c r="C21" s="58"/>
      <c r="D21" s="651"/>
      <c r="E21" s="651"/>
      <c r="F21" s="651"/>
      <c r="G21" s="652">
        <f>D21*F21</f>
        <v>0</v>
      </c>
      <c r="H21" s="652">
        <f>E21*F21</f>
        <v>0</v>
      </c>
      <c r="I21" s="655">
        <f>G21+H21</f>
        <v>0</v>
      </c>
    </row>
    <row r="22" spans="1:9" s="83" customFormat="1" ht="24.9" customHeight="1" thickBot="1">
      <c r="A22" s="913" t="s">
        <v>17</v>
      </c>
      <c r="B22" s="914"/>
      <c r="C22" s="74"/>
      <c r="D22" s="656"/>
      <c r="E22" s="656"/>
      <c r="F22" s="656"/>
      <c r="G22" s="657">
        <f>SUM(G17:G21)</f>
        <v>0</v>
      </c>
      <c r="H22" s="657">
        <f>SUM(H17:H21)</f>
        <v>0</v>
      </c>
      <c r="I22" s="658">
        <f>SUM(I17:I21)</f>
        <v>0</v>
      </c>
    </row>
    <row r="23" spans="1:9" s="83" customFormat="1" ht="24.9" customHeight="1">
      <c r="A23" s="898"/>
      <c r="B23" s="916"/>
      <c r="C23" s="916"/>
      <c r="D23" s="916"/>
      <c r="E23" s="916"/>
      <c r="F23" s="916"/>
      <c r="G23" s="916"/>
      <c r="H23" s="916"/>
      <c r="I23" s="916"/>
    </row>
    <row r="24" spans="1:9" s="83" customFormat="1" ht="24.9" hidden="1" customHeight="1">
      <c r="A24" s="84"/>
      <c r="B24" s="84"/>
      <c r="C24" s="85"/>
      <c r="D24" s="85"/>
      <c r="E24" s="85"/>
      <c r="F24" s="85"/>
      <c r="G24" s="86"/>
      <c r="H24" s="86"/>
      <c r="I24" s="86"/>
    </row>
    <row r="25" spans="1:9" ht="24.9" customHeight="1" thickBot="1">
      <c r="A25" s="912" t="s">
        <v>160</v>
      </c>
      <c r="B25" s="912"/>
      <c r="C25" s="912"/>
      <c r="D25" s="912"/>
      <c r="E25" s="912"/>
      <c r="F25" s="912"/>
      <c r="G25" s="912"/>
      <c r="H25" s="912"/>
      <c r="I25" s="912"/>
    </row>
    <row r="26" spans="1:9" ht="20.100000000000001" customHeight="1">
      <c r="A26" s="920" t="s">
        <v>6</v>
      </c>
      <c r="B26" s="915" t="s">
        <v>20</v>
      </c>
      <c r="C26" s="915" t="s">
        <v>12</v>
      </c>
      <c r="D26" s="918" t="s">
        <v>172</v>
      </c>
      <c r="E26" s="918" t="s">
        <v>159</v>
      </c>
      <c r="F26" s="918" t="s">
        <v>156</v>
      </c>
      <c r="G26" s="915" t="s">
        <v>114</v>
      </c>
      <c r="H26" s="915"/>
      <c r="I26" s="917"/>
    </row>
    <row r="27" spans="1:9" ht="20.100000000000001" customHeight="1">
      <c r="A27" s="921"/>
      <c r="B27" s="906"/>
      <c r="C27" s="906"/>
      <c r="D27" s="919"/>
      <c r="E27" s="919"/>
      <c r="F27" s="919"/>
      <c r="G27" s="45" t="s">
        <v>101</v>
      </c>
      <c r="H27" s="45" t="s">
        <v>26</v>
      </c>
      <c r="I27" s="68" t="s">
        <v>8</v>
      </c>
    </row>
    <row r="28" spans="1:9" ht="18.600000000000001">
      <c r="A28" s="69">
        <v>1</v>
      </c>
      <c r="B28" s="82" t="s">
        <v>600</v>
      </c>
      <c r="C28" s="258"/>
      <c r="D28" s="651"/>
      <c r="E28" s="651"/>
      <c r="F28" s="651"/>
      <c r="G28" s="652">
        <f t="shared" ref="G28:G33" si="3">D28*F28</f>
        <v>0</v>
      </c>
      <c r="H28" s="652">
        <f t="shared" ref="H28:H33" si="4">F28*E28</f>
        <v>0</v>
      </c>
      <c r="I28" s="655">
        <f t="shared" ref="I28:I33" si="5">G28+H28</f>
        <v>0</v>
      </c>
    </row>
    <row r="29" spans="1:9" ht="20.100000000000001" customHeight="1">
      <c r="A29" s="69">
        <v>2</v>
      </c>
      <c r="B29" s="82"/>
      <c r="C29" s="258"/>
      <c r="D29" s="651"/>
      <c r="E29" s="651"/>
      <c r="F29" s="651"/>
      <c r="G29" s="652">
        <f t="shared" si="3"/>
        <v>0</v>
      </c>
      <c r="H29" s="652">
        <f t="shared" si="4"/>
        <v>0</v>
      </c>
      <c r="I29" s="655">
        <f t="shared" si="5"/>
        <v>0</v>
      </c>
    </row>
    <row r="30" spans="1:9" ht="20.100000000000001" customHeight="1">
      <c r="A30" s="69">
        <v>3</v>
      </c>
      <c r="B30" s="82"/>
      <c r="C30" s="258"/>
      <c r="D30" s="651"/>
      <c r="E30" s="651"/>
      <c r="F30" s="651"/>
      <c r="G30" s="652">
        <f t="shared" si="3"/>
        <v>0</v>
      </c>
      <c r="H30" s="652">
        <f t="shared" si="4"/>
        <v>0</v>
      </c>
      <c r="I30" s="655">
        <f t="shared" si="5"/>
        <v>0</v>
      </c>
    </row>
    <row r="31" spans="1:9" ht="20.100000000000001" hidden="1" customHeight="1">
      <c r="A31" s="69"/>
      <c r="B31" s="82"/>
      <c r="C31" s="258"/>
      <c r="D31" s="651"/>
      <c r="E31" s="651"/>
      <c r="F31" s="651"/>
      <c r="G31" s="652">
        <f t="shared" si="3"/>
        <v>0</v>
      </c>
      <c r="H31" s="652">
        <f t="shared" si="4"/>
        <v>0</v>
      </c>
      <c r="I31" s="655">
        <f t="shared" si="5"/>
        <v>0</v>
      </c>
    </row>
    <row r="32" spans="1:9" ht="20.100000000000001" hidden="1" customHeight="1">
      <c r="A32" s="69"/>
      <c r="B32" s="82"/>
      <c r="C32" s="258"/>
      <c r="D32" s="651"/>
      <c r="E32" s="651"/>
      <c r="F32" s="651"/>
      <c r="G32" s="652">
        <f t="shared" si="3"/>
        <v>0</v>
      </c>
      <c r="H32" s="652">
        <f t="shared" si="4"/>
        <v>0</v>
      </c>
      <c r="I32" s="655">
        <f t="shared" si="5"/>
        <v>0</v>
      </c>
    </row>
    <row r="33" spans="1:9" ht="20.100000000000001" hidden="1" customHeight="1">
      <c r="A33" s="69"/>
      <c r="B33" s="82"/>
      <c r="C33" s="58"/>
      <c r="D33" s="651"/>
      <c r="E33" s="651"/>
      <c r="F33" s="651"/>
      <c r="G33" s="652">
        <f t="shared" si="3"/>
        <v>0</v>
      </c>
      <c r="H33" s="652">
        <f t="shared" si="4"/>
        <v>0</v>
      </c>
      <c r="I33" s="655">
        <f t="shared" si="5"/>
        <v>0</v>
      </c>
    </row>
    <row r="34" spans="1:9" s="83" customFormat="1" ht="24.9" customHeight="1" thickBot="1">
      <c r="A34" s="913" t="s">
        <v>17</v>
      </c>
      <c r="B34" s="914"/>
      <c r="C34" s="74" t="s">
        <v>66</v>
      </c>
      <c r="D34" s="656"/>
      <c r="E34" s="656" t="s">
        <v>66</v>
      </c>
      <c r="F34" s="656" t="s">
        <v>66</v>
      </c>
      <c r="G34" s="657">
        <f>SUM(G28:G33)</f>
        <v>0</v>
      </c>
      <c r="H34" s="657">
        <f>SUM(H28:H33)</f>
        <v>0</v>
      </c>
      <c r="I34" s="658">
        <f>SUM(I28:I33)</f>
        <v>0</v>
      </c>
    </row>
    <row r="35" spans="1:9" ht="42.75" customHeight="1">
      <c r="A35" s="898"/>
      <c r="B35" s="916"/>
      <c r="C35" s="916"/>
      <c r="D35" s="916"/>
      <c r="E35" s="916"/>
      <c r="F35" s="916"/>
      <c r="G35" s="916"/>
      <c r="H35" s="916"/>
      <c r="I35" s="916"/>
    </row>
    <row r="36" spans="1:9" ht="18.600000000000001" hidden="1">
      <c r="A36" s="84"/>
      <c r="B36" s="84"/>
      <c r="C36" s="87"/>
      <c r="D36" s="87"/>
      <c r="E36" s="87"/>
      <c r="F36" s="87"/>
      <c r="G36" s="85"/>
      <c r="H36" s="85"/>
      <c r="I36" s="85"/>
    </row>
    <row r="37" spans="1:9" ht="24.9" customHeight="1" thickBot="1">
      <c r="A37" s="912" t="s">
        <v>161</v>
      </c>
      <c r="B37" s="912"/>
      <c r="C37" s="912"/>
      <c r="D37" s="912"/>
      <c r="E37" s="912"/>
      <c r="F37" s="912"/>
      <c r="G37" s="912"/>
      <c r="H37" s="912"/>
      <c r="I37" s="912"/>
    </row>
    <row r="38" spans="1:9" ht="20.100000000000001" customHeight="1">
      <c r="A38" s="920" t="s">
        <v>6</v>
      </c>
      <c r="B38" s="915" t="s">
        <v>20</v>
      </c>
      <c r="C38" s="915" t="s">
        <v>12</v>
      </c>
      <c r="D38" s="918" t="s">
        <v>172</v>
      </c>
      <c r="E38" s="918" t="s">
        <v>159</v>
      </c>
      <c r="F38" s="918" t="s">
        <v>156</v>
      </c>
      <c r="G38" s="915" t="s">
        <v>114</v>
      </c>
      <c r="H38" s="915"/>
      <c r="I38" s="917"/>
    </row>
    <row r="39" spans="1:9" ht="20.100000000000001" customHeight="1">
      <c r="A39" s="921"/>
      <c r="B39" s="906"/>
      <c r="C39" s="906"/>
      <c r="D39" s="919"/>
      <c r="E39" s="919"/>
      <c r="F39" s="919"/>
      <c r="G39" s="45" t="s">
        <v>101</v>
      </c>
      <c r="H39" s="45" t="s">
        <v>26</v>
      </c>
      <c r="I39" s="68" t="s">
        <v>8</v>
      </c>
    </row>
    <row r="40" spans="1:9" ht="23.25" customHeight="1">
      <c r="A40" s="69">
        <v>1</v>
      </c>
      <c r="B40" s="82"/>
      <c r="C40" s="82"/>
      <c r="D40" s="651"/>
      <c r="E40" s="651"/>
      <c r="F40" s="651"/>
      <c r="G40" s="652">
        <f>F40*D40</f>
        <v>0</v>
      </c>
      <c r="H40" s="652">
        <f>F40*E40</f>
        <v>0</v>
      </c>
      <c r="I40" s="655">
        <f>G40+H40</f>
        <v>0</v>
      </c>
    </row>
    <row r="41" spans="1:9" ht="20.100000000000001" hidden="1" customHeight="1">
      <c r="A41" s="69"/>
      <c r="B41" s="82"/>
      <c r="C41" s="82"/>
      <c r="D41" s="651"/>
      <c r="E41" s="651"/>
      <c r="F41" s="651"/>
      <c r="G41" s="652">
        <f t="shared" ref="G41:G48" si="6">F41*D41</f>
        <v>0</v>
      </c>
      <c r="H41" s="652">
        <f t="shared" ref="H41:H48" si="7">F41*E41</f>
        <v>0</v>
      </c>
      <c r="I41" s="655">
        <f t="shared" ref="I41:I48" si="8">G41+H41</f>
        <v>0</v>
      </c>
    </row>
    <row r="42" spans="1:9" ht="20.100000000000001" hidden="1" customHeight="1">
      <c r="A42" s="69"/>
      <c r="B42" s="82"/>
      <c r="C42" s="82"/>
      <c r="D42" s="651"/>
      <c r="E42" s="651"/>
      <c r="F42" s="651"/>
      <c r="G42" s="652">
        <f t="shared" si="6"/>
        <v>0</v>
      </c>
      <c r="H42" s="652">
        <f t="shared" si="7"/>
        <v>0</v>
      </c>
      <c r="I42" s="655">
        <f t="shared" si="8"/>
        <v>0</v>
      </c>
    </row>
    <row r="43" spans="1:9" ht="20.100000000000001" hidden="1" customHeight="1">
      <c r="A43" s="69"/>
      <c r="B43" s="82"/>
      <c r="C43" s="82"/>
      <c r="D43" s="651"/>
      <c r="E43" s="651"/>
      <c r="F43" s="651"/>
      <c r="G43" s="652">
        <f t="shared" si="6"/>
        <v>0</v>
      </c>
      <c r="H43" s="652">
        <f t="shared" si="7"/>
        <v>0</v>
      </c>
      <c r="I43" s="655">
        <f t="shared" si="8"/>
        <v>0</v>
      </c>
    </row>
    <row r="44" spans="1:9" ht="20.100000000000001" hidden="1" customHeight="1">
      <c r="A44" s="69"/>
      <c r="B44" s="82"/>
      <c r="C44" s="82"/>
      <c r="D44" s="651"/>
      <c r="E44" s="651"/>
      <c r="F44" s="651"/>
      <c r="G44" s="652">
        <f t="shared" si="6"/>
        <v>0</v>
      </c>
      <c r="H44" s="652">
        <f t="shared" si="7"/>
        <v>0</v>
      </c>
      <c r="I44" s="655">
        <f t="shared" si="8"/>
        <v>0</v>
      </c>
    </row>
    <row r="45" spans="1:9" ht="20.100000000000001" hidden="1" customHeight="1">
      <c r="A45" s="69"/>
      <c r="B45" s="82"/>
      <c r="C45" s="82"/>
      <c r="D45" s="651"/>
      <c r="E45" s="651"/>
      <c r="F45" s="651"/>
      <c r="G45" s="652">
        <f t="shared" si="6"/>
        <v>0</v>
      </c>
      <c r="H45" s="652">
        <f t="shared" si="7"/>
        <v>0</v>
      </c>
      <c r="I45" s="655">
        <f t="shared" si="8"/>
        <v>0</v>
      </c>
    </row>
    <row r="46" spans="1:9" ht="20.100000000000001" hidden="1" customHeight="1">
      <c r="A46" s="69"/>
      <c r="B46" s="82"/>
      <c r="C46" s="82"/>
      <c r="D46" s="651"/>
      <c r="E46" s="651"/>
      <c r="F46" s="651"/>
      <c r="G46" s="652">
        <f t="shared" si="6"/>
        <v>0</v>
      </c>
      <c r="H46" s="652">
        <f t="shared" si="7"/>
        <v>0</v>
      </c>
      <c r="I46" s="655">
        <f t="shared" si="8"/>
        <v>0</v>
      </c>
    </row>
    <row r="47" spans="1:9" ht="20.100000000000001" hidden="1" customHeight="1">
      <c r="A47" s="69"/>
      <c r="B47" s="82"/>
      <c r="C47" s="82"/>
      <c r="D47" s="651"/>
      <c r="E47" s="651"/>
      <c r="F47" s="651"/>
      <c r="G47" s="652">
        <f t="shared" si="6"/>
        <v>0</v>
      </c>
      <c r="H47" s="652">
        <f t="shared" si="7"/>
        <v>0</v>
      </c>
      <c r="I47" s="655">
        <f t="shared" si="8"/>
        <v>0</v>
      </c>
    </row>
    <row r="48" spans="1:9" ht="20.100000000000001" hidden="1" customHeight="1">
      <c r="A48" s="69"/>
      <c r="B48" s="82"/>
      <c r="C48" s="58"/>
      <c r="D48" s="651"/>
      <c r="E48" s="651"/>
      <c r="F48" s="651"/>
      <c r="G48" s="652">
        <f t="shared" si="6"/>
        <v>0</v>
      </c>
      <c r="H48" s="652">
        <f t="shared" si="7"/>
        <v>0</v>
      </c>
      <c r="I48" s="655">
        <f t="shared" si="8"/>
        <v>0</v>
      </c>
    </row>
    <row r="49" spans="1:9" s="83" customFormat="1" ht="24.9" customHeight="1" thickBot="1">
      <c r="A49" s="913" t="s">
        <v>17</v>
      </c>
      <c r="B49" s="914"/>
      <c r="C49" s="74"/>
      <c r="D49" s="656"/>
      <c r="E49" s="656"/>
      <c r="F49" s="656"/>
      <c r="G49" s="657">
        <f>SUM(G40:G48)</f>
        <v>0</v>
      </c>
      <c r="H49" s="657">
        <f>SUM(H40:H48)</f>
        <v>0</v>
      </c>
      <c r="I49" s="658">
        <f>SUM(I40:I48)</f>
        <v>0</v>
      </c>
    </row>
    <row r="50" spans="1:9" ht="19.5" customHeight="1">
      <c r="A50" s="898"/>
      <c r="B50" s="916"/>
      <c r="C50" s="916"/>
      <c r="D50" s="916"/>
      <c r="E50" s="916"/>
      <c r="F50" s="916"/>
      <c r="G50" s="916"/>
      <c r="H50" s="916"/>
      <c r="I50" s="916"/>
    </row>
    <row r="51" spans="1:9" ht="24.9" hidden="1" customHeight="1" thickBot="1">
      <c r="A51" s="912" t="s">
        <v>590</v>
      </c>
      <c r="B51" s="912"/>
      <c r="C51" s="912"/>
      <c r="D51" s="912"/>
      <c r="E51" s="912"/>
      <c r="F51" s="912"/>
      <c r="G51" s="912"/>
      <c r="H51" s="912"/>
      <c r="I51" s="912"/>
    </row>
    <row r="52" spans="1:9" ht="20.100000000000001" hidden="1" customHeight="1">
      <c r="A52" s="920" t="s">
        <v>6</v>
      </c>
      <c r="B52" s="915" t="s">
        <v>20</v>
      </c>
      <c r="C52" s="915" t="s">
        <v>12</v>
      </c>
      <c r="D52" s="918" t="s">
        <v>172</v>
      </c>
      <c r="E52" s="918" t="s">
        <v>159</v>
      </c>
      <c r="F52" s="918" t="s">
        <v>156</v>
      </c>
      <c r="G52" s="915" t="s">
        <v>114</v>
      </c>
      <c r="H52" s="915"/>
      <c r="I52" s="917"/>
    </row>
    <row r="53" spans="1:9" ht="20.100000000000001" hidden="1" customHeight="1">
      <c r="A53" s="921"/>
      <c r="B53" s="906"/>
      <c r="C53" s="906"/>
      <c r="D53" s="919"/>
      <c r="E53" s="919"/>
      <c r="F53" s="919"/>
      <c r="G53" s="45" t="s">
        <v>101</v>
      </c>
      <c r="H53" s="45" t="s">
        <v>26</v>
      </c>
      <c r="I53" s="68" t="s">
        <v>8</v>
      </c>
    </row>
    <row r="54" spans="1:9" ht="20.100000000000001" hidden="1" customHeight="1">
      <c r="A54" s="69">
        <v>1</v>
      </c>
      <c r="B54" s="850" t="s">
        <v>544</v>
      </c>
      <c r="C54" s="259"/>
      <c r="D54" s="651">
        <v>0</v>
      </c>
      <c r="E54" s="651">
        <v>0</v>
      </c>
      <c r="F54" s="651">
        <v>20000</v>
      </c>
      <c r="G54" s="652">
        <f t="shared" ref="G54:G59" si="9">D54*F54</f>
        <v>0</v>
      </c>
      <c r="H54" s="652">
        <f t="shared" ref="H54:H59" si="10">E54*F54</f>
        <v>0</v>
      </c>
      <c r="I54" s="655">
        <f t="shared" ref="I54:I59" si="11">H54+G54</f>
        <v>0</v>
      </c>
    </row>
    <row r="55" spans="1:9" ht="20.100000000000001" hidden="1" customHeight="1">
      <c r="A55" s="69">
        <v>2</v>
      </c>
      <c r="B55" s="850" t="s">
        <v>545</v>
      </c>
      <c r="C55" s="259"/>
      <c r="D55" s="651">
        <v>0</v>
      </c>
      <c r="E55" s="651">
        <v>0</v>
      </c>
      <c r="F55" s="651">
        <v>15000</v>
      </c>
      <c r="G55" s="652">
        <f t="shared" si="9"/>
        <v>0</v>
      </c>
      <c r="H55" s="652">
        <f t="shared" si="10"/>
        <v>0</v>
      </c>
      <c r="I55" s="655">
        <f t="shared" si="11"/>
        <v>0</v>
      </c>
    </row>
    <row r="56" spans="1:9" ht="20.100000000000001" hidden="1" customHeight="1">
      <c r="A56" s="69">
        <v>1</v>
      </c>
      <c r="B56" s="82"/>
      <c r="C56" s="58"/>
      <c r="D56" s="651"/>
      <c r="E56" s="651">
        <v>0</v>
      </c>
      <c r="F56" s="651">
        <v>0</v>
      </c>
      <c r="G56" s="652">
        <f t="shared" si="9"/>
        <v>0</v>
      </c>
      <c r="H56" s="652">
        <f t="shared" si="10"/>
        <v>0</v>
      </c>
      <c r="I56" s="655">
        <f t="shared" si="11"/>
        <v>0</v>
      </c>
    </row>
    <row r="57" spans="1:9" ht="20.100000000000001" hidden="1" customHeight="1">
      <c r="A57" s="69">
        <v>2</v>
      </c>
      <c r="B57" s="82"/>
      <c r="C57" s="58"/>
      <c r="D57" s="651"/>
      <c r="E57" s="651">
        <v>0</v>
      </c>
      <c r="F57" s="651">
        <v>0</v>
      </c>
      <c r="G57" s="652">
        <f t="shared" si="9"/>
        <v>0</v>
      </c>
      <c r="H57" s="652">
        <f t="shared" si="10"/>
        <v>0</v>
      </c>
      <c r="I57" s="655">
        <f t="shared" si="11"/>
        <v>0</v>
      </c>
    </row>
    <row r="58" spans="1:9" ht="20.100000000000001" hidden="1" customHeight="1">
      <c r="A58" s="69">
        <v>3</v>
      </c>
      <c r="B58" s="82"/>
      <c r="C58" s="58"/>
      <c r="D58" s="651"/>
      <c r="E58" s="651">
        <v>0</v>
      </c>
      <c r="F58" s="651"/>
      <c r="G58" s="652">
        <f t="shared" si="9"/>
        <v>0</v>
      </c>
      <c r="H58" s="652">
        <f t="shared" si="10"/>
        <v>0</v>
      </c>
      <c r="I58" s="655">
        <f t="shared" si="11"/>
        <v>0</v>
      </c>
    </row>
    <row r="59" spans="1:9" ht="20.100000000000001" hidden="1" customHeight="1">
      <c r="A59" s="69"/>
      <c r="B59" s="82"/>
      <c r="C59" s="58"/>
      <c r="D59" s="651"/>
      <c r="E59" s="651"/>
      <c r="F59" s="651"/>
      <c r="G59" s="652">
        <f t="shared" si="9"/>
        <v>0</v>
      </c>
      <c r="H59" s="652">
        <f t="shared" si="10"/>
        <v>0</v>
      </c>
      <c r="I59" s="655">
        <f t="shared" si="11"/>
        <v>0</v>
      </c>
    </row>
    <row r="60" spans="1:9" s="83" customFormat="1" ht="24.9" hidden="1" customHeight="1" thickBot="1">
      <c r="A60" s="913" t="s">
        <v>17</v>
      </c>
      <c r="B60" s="914"/>
      <c r="C60" s="74"/>
      <c r="D60" s="656"/>
      <c r="E60" s="656"/>
      <c r="F60" s="656"/>
      <c r="G60" s="657">
        <f>SUM(G54:G59)</f>
        <v>0</v>
      </c>
      <c r="H60" s="657">
        <f>SUM(H54:H59)</f>
        <v>0</v>
      </c>
      <c r="I60" s="658">
        <f>SUM(I54:I59)</f>
        <v>0</v>
      </c>
    </row>
    <row r="61" spans="1:9" ht="17.25" hidden="1" customHeight="1" thickBot="1">
      <c r="A61" s="898"/>
      <c r="B61" s="916"/>
      <c r="C61" s="916"/>
      <c r="D61" s="916"/>
      <c r="E61" s="916"/>
      <c r="F61" s="916"/>
      <c r="G61" s="916"/>
      <c r="H61" s="916"/>
      <c r="I61" s="916"/>
    </row>
    <row r="62" spans="1:9" ht="18.600000000000001" hidden="1">
      <c r="A62" s="898"/>
      <c r="B62" s="916"/>
      <c r="C62" s="916"/>
      <c r="D62" s="916"/>
      <c r="E62" s="916"/>
      <c r="F62" s="916"/>
      <c r="G62" s="916"/>
      <c r="H62" s="916"/>
      <c r="I62" s="916"/>
    </row>
  </sheetData>
  <sheetProtection insertRows="0"/>
  <mergeCells count="51">
    <mergeCell ref="A61:I61"/>
    <mergeCell ref="A62:I62"/>
    <mergeCell ref="F52:F53"/>
    <mergeCell ref="G52:I52"/>
    <mergeCell ref="A60:B60"/>
    <mergeCell ref="E52:E53"/>
    <mergeCell ref="C52:C53"/>
    <mergeCell ref="B52:B53"/>
    <mergeCell ref="A52:A53"/>
    <mergeCell ref="D52:D53"/>
    <mergeCell ref="A1:I1"/>
    <mergeCell ref="E15:E16"/>
    <mergeCell ref="A14:I14"/>
    <mergeCell ref="C2:C3"/>
    <mergeCell ref="D2:D3"/>
    <mergeCell ref="D15:D16"/>
    <mergeCell ref="B15:B16"/>
    <mergeCell ref="F15:F16"/>
    <mergeCell ref="A12:B12"/>
    <mergeCell ref="F2:F3"/>
    <mergeCell ref="E2:E3"/>
    <mergeCell ref="B2:B3"/>
    <mergeCell ref="A2:A3"/>
    <mergeCell ref="A23:I23"/>
    <mergeCell ref="G2:I2"/>
    <mergeCell ref="G15:I15"/>
    <mergeCell ref="A22:B22"/>
    <mergeCell ref="C15:C16"/>
    <mergeCell ref="A13:I13"/>
    <mergeCell ref="A15:A16"/>
    <mergeCell ref="A51:I51"/>
    <mergeCell ref="A49:B49"/>
    <mergeCell ref="E38:E39"/>
    <mergeCell ref="D38:D39"/>
    <mergeCell ref="F38:F39"/>
    <mergeCell ref="A38:A39"/>
    <mergeCell ref="B38:B39"/>
    <mergeCell ref="A50:I50"/>
    <mergeCell ref="C38:C39"/>
    <mergeCell ref="G38:I38"/>
    <mergeCell ref="A25:I25"/>
    <mergeCell ref="A37:I37"/>
    <mergeCell ref="A34:B34"/>
    <mergeCell ref="C26:C27"/>
    <mergeCell ref="A35:I35"/>
    <mergeCell ref="G26:I26"/>
    <mergeCell ref="F26:F27"/>
    <mergeCell ref="E26:E27"/>
    <mergeCell ref="D26:D27"/>
    <mergeCell ref="B26:B27"/>
    <mergeCell ref="A26:A27"/>
  </mergeCells>
  <phoneticPr fontId="0" type="noConversion"/>
  <printOptions horizontalCentered="1"/>
  <pageMargins left="0" right="0" top="1.9685039370078741" bottom="0.39370078740157483" header="0.51181102362204722" footer="0.51181102362204722"/>
  <pageSetup paperSize="9" scale="73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4">
    <tabColor indexed="53"/>
  </sheetPr>
  <dimension ref="A1:EL64"/>
  <sheetViews>
    <sheetView rightToLeft="1" topLeftCell="P1" workbookViewId="0">
      <selection activeCell="E12" sqref="E12"/>
    </sheetView>
  </sheetViews>
  <sheetFormatPr defaultRowHeight="21"/>
  <cols>
    <col min="1" max="1" width="14.5546875" customWidth="1"/>
    <col min="16" max="16" width="10.33203125" style="486" customWidth="1"/>
    <col min="17" max="17" width="9" style="486" bestFit="1" customWidth="1"/>
    <col min="18" max="142" width="9.109375" style="486" customWidth="1"/>
  </cols>
  <sheetData>
    <row r="1" spans="1:136" ht="21.6" thickBot="1">
      <c r="A1" s="485" t="s">
        <v>466</v>
      </c>
    </row>
    <row r="2" spans="1:136" ht="21.6" thickBot="1">
      <c r="A2" s="485">
        <f>Q3/'منابع تامين سرمايه گذاري'!E25</f>
        <v>0</v>
      </c>
      <c r="B2" s="1179" t="s">
        <v>467</v>
      </c>
      <c r="C2" s="1180"/>
      <c r="D2" s="1180"/>
      <c r="E2" s="1180"/>
      <c r="F2" s="1180"/>
      <c r="G2" s="1180"/>
      <c r="H2" s="1180"/>
      <c r="I2" s="1180"/>
      <c r="J2" s="1180"/>
      <c r="K2" s="1180"/>
      <c r="L2" s="1180"/>
      <c r="M2" s="1181"/>
      <c r="P2" s="486" t="s">
        <v>470</v>
      </c>
      <c r="Q2" s="486">
        <v>1</v>
      </c>
      <c r="R2" s="486">
        <v>2</v>
      </c>
      <c r="S2" s="486">
        <v>3</v>
      </c>
      <c r="T2" s="486">
        <v>4</v>
      </c>
      <c r="U2" s="486">
        <v>5</v>
      </c>
      <c r="V2" s="486">
        <v>6</v>
      </c>
      <c r="W2" s="486">
        <v>7</v>
      </c>
      <c r="X2" s="486">
        <v>8</v>
      </c>
      <c r="Y2" s="486">
        <v>9</v>
      </c>
      <c r="Z2" s="486">
        <v>10</v>
      </c>
      <c r="AA2" s="486">
        <v>11</v>
      </c>
      <c r="AB2" s="486">
        <v>12</v>
      </c>
      <c r="AC2" s="486">
        <v>13</v>
      </c>
      <c r="AD2" s="486">
        <v>14</v>
      </c>
      <c r="AE2" s="486">
        <v>15</v>
      </c>
      <c r="AF2" s="486">
        <v>16</v>
      </c>
      <c r="AG2" s="486">
        <v>17</v>
      </c>
      <c r="AH2" s="486">
        <v>18</v>
      </c>
      <c r="AI2" s="486">
        <v>19</v>
      </c>
      <c r="AJ2" s="486">
        <v>20</v>
      </c>
      <c r="AK2" s="486">
        <v>21</v>
      </c>
      <c r="AL2" s="486">
        <v>22</v>
      </c>
      <c r="AM2" s="486">
        <v>23</v>
      </c>
      <c r="AN2" s="486">
        <v>24</v>
      </c>
      <c r="AO2" s="486">
        <v>25</v>
      </c>
      <c r="AP2" s="486">
        <v>26</v>
      </c>
      <c r="AQ2" s="486">
        <v>27</v>
      </c>
      <c r="AR2" s="486">
        <v>28</v>
      </c>
      <c r="AS2" s="486">
        <v>29</v>
      </c>
      <c r="AT2" s="486">
        <v>30</v>
      </c>
      <c r="AU2" s="486">
        <v>31</v>
      </c>
      <c r="AV2" s="486">
        <v>32</v>
      </c>
      <c r="AW2" s="486">
        <v>33</v>
      </c>
      <c r="AX2" s="486">
        <v>34</v>
      </c>
      <c r="AY2" s="486">
        <v>35</v>
      </c>
      <c r="AZ2" s="486">
        <v>36</v>
      </c>
      <c r="BA2" s="486">
        <v>37</v>
      </c>
      <c r="BB2" s="486">
        <v>38</v>
      </c>
      <c r="BC2" s="486">
        <v>39</v>
      </c>
      <c r="BD2" s="486">
        <v>40</v>
      </c>
      <c r="BE2" s="486">
        <v>41</v>
      </c>
      <c r="BF2" s="486">
        <v>42</v>
      </c>
      <c r="BG2" s="486">
        <v>43</v>
      </c>
      <c r="BH2" s="486">
        <v>44</v>
      </c>
      <c r="BI2" s="486">
        <v>45</v>
      </c>
      <c r="BJ2" s="486">
        <v>46</v>
      </c>
      <c r="BK2" s="486">
        <v>47</v>
      </c>
      <c r="BL2" s="486">
        <v>48</v>
      </c>
      <c r="BM2" s="486">
        <v>49</v>
      </c>
      <c r="BN2" s="486">
        <v>50</v>
      </c>
      <c r="BO2" s="486">
        <v>51</v>
      </c>
      <c r="BP2" s="486">
        <v>52</v>
      </c>
      <c r="BQ2" s="486">
        <v>53</v>
      </c>
      <c r="BR2" s="486">
        <v>54</v>
      </c>
      <c r="BS2" s="486">
        <v>55</v>
      </c>
      <c r="BT2" s="486">
        <v>56</v>
      </c>
      <c r="BU2" s="486">
        <v>57</v>
      </c>
      <c r="BV2" s="486">
        <v>58</v>
      </c>
      <c r="BW2" s="486">
        <v>59</v>
      </c>
      <c r="BX2" s="486">
        <v>60</v>
      </c>
      <c r="BY2" s="486">
        <v>61</v>
      </c>
      <c r="BZ2" s="486">
        <v>62</v>
      </c>
      <c r="CA2" s="486">
        <v>63</v>
      </c>
      <c r="CB2" s="486">
        <v>64</v>
      </c>
      <c r="CC2" s="486">
        <v>65</v>
      </c>
      <c r="CD2" s="486">
        <v>66</v>
      </c>
      <c r="CE2" s="486">
        <v>67</v>
      </c>
      <c r="CF2" s="486">
        <v>68</v>
      </c>
      <c r="CG2" s="486">
        <v>69</v>
      </c>
      <c r="CH2" s="486">
        <v>70</v>
      </c>
      <c r="CI2" s="486">
        <v>71</v>
      </c>
      <c r="CJ2" s="486">
        <v>72</v>
      </c>
      <c r="CK2" s="486">
        <v>73</v>
      </c>
      <c r="CL2" s="486">
        <v>74</v>
      </c>
      <c r="CM2" s="486">
        <v>75</v>
      </c>
      <c r="CN2" s="486">
        <v>76</v>
      </c>
      <c r="CO2" s="486">
        <v>77</v>
      </c>
      <c r="CP2" s="486">
        <v>78</v>
      </c>
      <c r="CQ2" s="486">
        <v>79</v>
      </c>
      <c r="CR2" s="486">
        <v>80</v>
      </c>
      <c r="CS2" s="486">
        <v>81</v>
      </c>
      <c r="CT2" s="486">
        <v>82</v>
      </c>
      <c r="CU2" s="486">
        <v>83</v>
      </c>
      <c r="CV2" s="486">
        <v>84</v>
      </c>
      <c r="CW2" s="486">
        <v>85</v>
      </c>
      <c r="CX2" s="486">
        <v>86</v>
      </c>
      <c r="CY2" s="486">
        <v>87</v>
      </c>
      <c r="CZ2" s="486">
        <v>88</v>
      </c>
      <c r="DA2" s="486">
        <v>89</v>
      </c>
      <c r="DB2" s="486">
        <v>90</v>
      </c>
      <c r="DC2" s="486">
        <v>91</v>
      </c>
      <c r="DD2" s="486">
        <v>92</v>
      </c>
      <c r="DE2" s="486">
        <v>93</v>
      </c>
      <c r="DF2" s="486">
        <v>94</v>
      </c>
      <c r="DG2" s="486">
        <v>95</v>
      </c>
      <c r="DH2" s="486">
        <v>96</v>
      </c>
      <c r="DI2" s="486">
        <v>97</v>
      </c>
      <c r="DJ2" s="486">
        <v>98</v>
      </c>
      <c r="DK2" s="486">
        <v>99</v>
      </c>
      <c r="DL2" s="486">
        <v>100</v>
      </c>
      <c r="DM2" s="486">
        <v>101</v>
      </c>
      <c r="DN2" s="486">
        <v>102</v>
      </c>
      <c r="DO2" s="486">
        <v>103</v>
      </c>
      <c r="DP2" s="486">
        <v>104</v>
      </c>
      <c r="DQ2" s="486">
        <v>105</v>
      </c>
      <c r="DR2" s="486">
        <v>106</v>
      </c>
      <c r="DS2" s="486">
        <v>107</v>
      </c>
      <c r="DT2" s="486">
        <v>108</v>
      </c>
      <c r="DU2" s="486">
        <v>109</v>
      </c>
      <c r="DV2" s="486">
        <v>110</v>
      </c>
      <c r="DW2" s="486">
        <v>111</v>
      </c>
      <c r="DX2" s="486">
        <v>112</v>
      </c>
      <c r="DY2" s="486">
        <v>113</v>
      </c>
      <c r="DZ2" s="486">
        <v>114</v>
      </c>
      <c r="EA2" s="486">
        <v>115</v>
      </c>
      <c r="EB2" s="486">
        <v>116</v>
      </c>
      <c r="EC2" s="486">
        <v>117</v>
      </c>
      <c r="ED2" s="486">
        <v>118</v>
      </c>
      <c r="EE2" s="486">
        <v>119</v>
      </c>
      <c r="EF2" s="486">
        <v>120</v>
      </c>
    </row>
    <row r="3" spans="1:136" ht="21.6" thickBot="1">
      <c r="B3" s="479">
        <v>1</v>
      </c>
      <c r="C3" s="480">
        <v>2</v>
      </c>
      <c r="D3" s="480">
        <v>3</v>
      </c>
      <c r="E3" s="480">
        <v>4</v>
      </c>
      <c r="F3" s="480">
        <v>5</v>
      </c>
      <c r="G3" s="480">
        <v>6</v>
      </c>
      <c r="H3" s="480">
        <v>7</v>
      </c>
      <c r="I3" s="480">
        <v>8</v>
      </c>
      <c r="J3" s="480">
        <v>9</v>
      </c>
      <c r="K3" s="480">
        <v>10</v>
      </c>
      <c r="L3" s="480">
        <v>11</v>
      </c>
      <c r="M3" s="481">
        <v>12</v>
      </c>
      <c r="N3" t="s">
        <v>8</v>
      </c>
      <c r="P3" s="486" t="s">
        <v>471</v>
      </c>
      <c r="Q3" s="486">
        <f>2*'منابع تامين سرمايه گذاري'!E31/(1+'منابع تامين سرمايه گذاري'!E25)</f>
        <v>0</v>
      </c>
      <c r="R3" s="486">
        <f>IF(R2&lt;='منابع تامين سرمايه گذاري'!$E$25,Q3-$A$2,0)</f>
        <v>0</v>
      </c>
      <c r="S3" s="486">
        <f>IF(S2&lt;='منابع تامين سرمايه گذاري'!$E$25,R3-$A$2,0)</f>
        <v>0</v>
      </c>
      <c r="T3" s="486">
        <f>IF(T2&lt;='منابع تامين سرمايه گذاري'!$E$25,S3-$A$2,0)</f>
        <v>0</v>
      </c>
      <c r="U3" s="486">
        <f>IF(U2&lt;='منابع تامين سرمايه گذاري'!$E$25,T3-$A$2,0)</f>
        <v>0</v>
      </c>
      <c r="V3" s="486">
        <f>IF(V2&lt;='منابع تامين سرمايه گذاري'!$E$25,U3-$A$2,0)</f>
        <v>0</v>
      </c>
      <c r="W3" s="486">
        <f>IF(W2&lt;='منابع تامين سرمايه گذاري'!$E$25,V3-$A$2,0)</f>
        <v>0</v>
      </c>
      <c r="X3" s="486">
        <f>IF(X2&lt;='منابع تامين سرمايه گذاري'!$E$25,W3-$A$2,0)</f>
        <v>0</v>
      </c>
      <c r="Y3" s="486">
        <f>IF(Y2&lt;='منابع تامين سرمايه گذاري'!$E$25,X3-$A$2,0)</f>
        <v>0</v>
      </c>
      <c r="Z3" s="486">
        <f>IF(Z2&lt;='منابع تامين سرمايه گذاري'!$E$25,Y3-$A$2,0)</f>
        <v>0</v>
      </c>
      <c r="AA3" s="486">
        <f>IF(AA2&lt;='منابع تامين سرمايه گذاري'!$E$25,Z3-$A$2,0)</f>
        <v>0</v>
      </c>
      <c r="AB3" s="486">
        <f>IF(AB2&lt;='منابع تامين سرمايه گذاري'!$E$25,AA3-$A$2,0)</f>
        <v>0</v>
      </c>
      <c r="AC3" s="486">
        <f>IF(AC2&lt;='منابع تامين سرمايه گذاري'!$E$25,AB3-$A$2,0)</f>
        <v>0</v>
      </c>
      <c r="AD3" s="486">
        <f>IF(AD2&lt;='منابع تامين سرمايه گذاري'!$E$25,AC3-$A$2,0)</f>
        <v>0</v>
      </c>
      <c r="AE3" s="486">
        <f>IF(AE2&lt;='منابع تامين سرمايه گذاري'!$E$25,AD3-$A$2,0)</f>
        <v>0</v>
      </c>
      <c r="AF3" s="486">
        <f>IF(AF2&lt;='منابع تامين سرمايه گذاري'!$E$25,AE3-$A$2,0)</f>
        <v>0</v>
      </c>
      <c r="AG3" s="486">
        <f>IF(AG2&lt;='منابع تامين سرمايه گذاري'!$E$25,AF3-$A$2,0)</f>
        <v>0</v>
      </c>
      <c r="AH3" s="486">
        <f>IF(AH2&lt;='منابع تامين سرمايه گذاري'!$E$25,AG3-$A$2,0)</f>
        <v>0</v>
      </c>
      <c r="AI3" s="486">
        <f>IF(AI2&lt;='منابع تامين سرمايه گذاري'!$E$25,AH3-$A$2,0)</f>
        <v>0</v>
      </c>
      <c r="AJ3" s="486">
        <f>IF(AJ2&lt;='منابع تامين سرمايه گذاري'!$E$25,AI3-$A$2,0)</f>
        <v>0</v>
      </c>
      <c r="AK3" s="486">
        <f>IF(AK2&lt;='منابع تامين سرمايه گذاري'!$E$25,AJ3-$A$2,0)</f>
        <v>0</v>
      </c>
      <c r="AL3" s="486">
        <f>IF(AL2&lt;='منابع تامين سرمايه گذاري'!$E$25,AK3-$A$2,0)</f>
        <v>0</v>
      </c>
      <c r="AM3" s="486">
        <f>IF(AM2&lt;='منابع تامين سرمايه گذاري'!$E$25,AL3-$A$2,0)</f>
        <v>0</v>
      </c>
      <c r="AN3" s="486">
        <f>IF(AN2&lt;='منابع تامين سرمايه گذاري'!$E$25,AM3-$A$2,0)</f>
        <v>0</v>
      </c>
      <c r="AO3" s="486">
        <f>IF(AO2&lt;='منابع تامين سرمايه گذاري'!$E$25,AN3-$A$2,0)</f>
        <v>0</v>
      </c>
      <c r="AP3" s="486">
        <f>IF(AP2&lt;='منابع تامين سرمايه گذاري'!$E$25,AO3-$A$2,0)</f>
        <v>0</v>
      </c>
      <c r="AQ3" s="486">
        <f>IF(AQ2&lt;='منابع تامين سرمايه گذاري'!$E$25,AP3-$A$2,0)</f>
        <v>0</v>
      </c>
      <c r="AR3" s="486">
        <f>IF(AR2&lt;='منابع تامين سرمايه گذاري'!$E$25,AQ3-$A$2,0)</f>
        <v>0</v>
      </c>
      <c r="AS3" s="486">
        <f>IF(AS2&lt;='منابع تامين سرمايه گذاري'!$E$25,AR3-$A$2,0)</f>
        <v>0</v>
      </c>
      <c r="AT3" s="486">
        <f>IF(AT2&lt;='منابع تامين سرمايه گذاري'!$E$25,AS3-$A$2,0)</f>
        <v>0</v>
      </c>
      <c r="AU3" s="486">
        <f>IF(AU2&lt;='منابع تامين سرمايه گذاري'!$E$25,AT3-$A$2,0)</f>
        <v>0</v>
      </c>
      <c r="AV3" s="486">
        <f>IF(AV2&lt;='منابع تامين سرمايه گذاري'!$E$25,AU3-$A$2,0)</f>
        <v>0</v>
      </c>
      <c r="AW3" s="486">
        <f>IF(AW2&lt;='منابع تامين سرمايه گذاري'!$E$25,AV3-$A$2,0)</f>
        <v>0</v>
      </c>
      <c r="AX3" s="486">
        <f>IF(AX2&lt;='منابع تامين سرمايه گذاري'!$E$25,AW3-$A$2,0)</f>
        <v>0</v>
      </c>
      <c r="AY3" s="486">
        <f>IF(AY2&lt;='منابع تامين سرمايه گذاري'!$E$25,AX3-$A$2,0)</f>
        <v>0</v>
      </c>
      <c r="AZ3" s="486">
        <f>IF(AZ2&lt;='منابع تامين سرمايه گذاري'!$E$25,AY3-$A$2,0)</f>
        <v>0</v>
      </c>
      <c r="BA3" s="486">
        <f>IF(BA2&lt;='منابع تامين سرمايه گذاري'!$E$25,AZ3-$A$2,0)</f>
        <v>0</v>
      </c>
      <c r="BB3" s="486">
        <f>IF(BB2&lt;='منابع تامين سرمايه گذاري'!$E$25,BA3-$A$2,0)</f>
        <v>0</v>
      </c>
      <c r="BC3" s="486">
        <f>IF(BC2&lt;='منابع تامين سرمايه گذاري'!$E$25,BB3-$A$2,0)</f>
        <v>0</v>
      </c>
      <c r="BD3" s="486">
        <f>IF(BD2&lt;='منابع تامين سرمايه گذاري'!$E$25,BC3-$A$2,0)</f>
        <v>0</v>
      </c>
      <c r="BE3" s="486">
        <f>IF(BE2&lt;='منابع تامين سرمايه گذاري'!$E$25,BD3-$A$2,0)</f>
        <v>0</v>
      </c>
      <c r="BF3" s="486">
        <f>IF(BF2&lt;='منابع تامين سرمايه گذاري'!$E$25,BE3-$A$2,0)</f>
        <v>0</v>
      </c>
      <c r="BG3" s="486">
        <f>IF(BG2&lt;='منابع تامين سرمايه گذاري'!$E$25,BF3-$A$2,0)</f>
        <v>0</v>
      </c>
      <c r="BH3" s="486">
        <f>IF(BH2&lt;='منابع تامين سرمايه گذاري'!$E$25,BG3-$A$2,0)</f>
        <v>0</v>
      </c>
      <c r="BI3" s="486">
        <f>IF(BI2&lt;='منابع تامين سرمايه گذاري'!$E$25,BH3-$A$2,0)</f>
        <v>0</v>
      </c>
      <c r="BJ3" s="486">
        <f>IF(BJ2&lt;='منابع تامين سرمايه گذاري'!$E$25,BI3-$A$2,0)</f>
        <v>0</v>
      </c>
      <c r="BK3" s="486">
        <f>IF(BK2&lt;='منابع تامين سرمايه گذاري'!$E$25,BJ3-$A$2,0)</f>
        <v>0</v>
      </c>
      <c r="BL3" s="486">
        <f>IF(BL2&lt;='منابع تامين سرمايه گذاري'!$E$25,BK3-$A$2,0)</f>
        <v>0</v>
      </c>
      <c r="BM3" s="486">
        <f>IF(BM2&lt;='منابع تامين سرمايه گذاري'!$E$25,BL3-$A$2,0)</f>
        <v>0</v>
      </c>
      <c r="BN3" s="486">
        <f>IF(BN2&lt;='منابع تامين سرمايه گذاري'!$E$25,BM3-$A$2,0)</f>
        <v>0</v>
      </c>
      <c r="BO3" s="486">
        <f>IF(BO2&lt;='منابع تامين سرمايه گذاري'!$E$25,BN3-$A$2,0)</f>
        <v>0</v>
      </c>
      <c r="BP3" s="486">
        <f>IF(BP2&lt;='منابع تامين سرمايه گذاري'!$E$25,BO3-$A$2,0)</f>
        <v>0</v>
      </c>
      <c r="BQ3" s="486">
        <f>IF(BQ2&lt;='منابع تامين سرمايه گذاري'!$E$25,BP3-$A$2,0)</f>
        <v>0</v>
      </c>
      <c r="BR3" s="486">
        <f>IF(BR2&lt;='منابع تامين سرمايه گذاري'!$E$25,BQ3-$A$2,0)</f>
        <v>0</v>
      </c>
      <c r="BS3" s="486">
        <f>IF(BS2&lt;='منابع تامين سرمايه گذاري'!$E$25,BR3-$A$2,0)</f>
        <v>0</v>
      </c>
      <c r="BT3" s="486">
        <f>IF(BT2&lt;='منابع تامين سرمايه گذاري'!$E$25,BS3-$A$2,0)</f>
        <v>0</v>
      </c>
      <c r="BU3" s="486">
        <f>IF(BU2&lt;='منابع تامين سرمايه گذاري'!$E$25,BT3-$A$2,0)</f>
        <v>0</v>
      </c>
      <c r="BV3" s="486">
        <f>IF(BV2&lt;='منابع تامين سرمايه گذاري'!$E$25,BU3-$A$2,0)</f>
        <v>0</v>
      </c>
      <c r="BW3" s="486">
        <f>IF(BW2&lt;='منابع تامين سرمايه گذاري'!$E$25,BV3-$A$2,0)</f>
        <v>0</v>
      </c>
      <c r="BX3" s="486">
        <f>IF(BX2&lt;='منابع تامين سرمايه گذاري'!$E$25,BW3-$A$2,0)</f>
        <v>0</v>
      </c>
      <c r="BY3" s="486">
        <f>IF(BY2&lt;='منابع تامين سرمايه گذاري'!$E$25,BX3-$A$2,0)</f>
        <v>0</v>
      </c>
      <c r="BZ3" s="486">
        <f>IF(BZ2&lt;='منابع تامين سرمايه گذاري'!$E$25,BY3-$A$2,0)</f>
        <v>0</v>
      </c>
      <c r="CA3" s="486">
        <f>IF(CA2&lt;='منابع تامين سرمايه گذاري'!$E$25,BZ3-$A$2,0)</f>
        <v>0</v>
      </c>
      <c r="CB3" s="486">
        <f>IF(CB2&lt;='منابع تامين سرمايه گذاري'!$E$25,CA3-$A$2,0)</f>
        <v>0</v>
      </c>
      <c r="CC3" s="486">
        <f>IF(CC2&lt;='منابع تامين سرمايه گذاري'!$E$25,CB3-$A$2,0)</f>
        <v>0</v>
      </c>
      <c r="CD3" s="486">
        <f>IF(CD2&lt;='منابع تامين سرمايه گذاري'!$E$25,CC3-$A$2,0)</f>
        <v>0</v>
      </c>
      <c r="CE3" s="486">
        <f>IF(CE2&lt;='منابع تامين سرمايه گذاري'!$E$25,CD3-$A$2,0)</f>
        <v>0</v>
      </c>
      <c r="CF3" s="486">
        <f>IF(CF2&lt;='منابع تامين سرمايه گذاري'!$E$25,CE3-$A$2,0)</f>
        <v>0</v>
      </c>
      <c r="CG3" s="486">
        <f>IF(CG2&lt;='منابع تامين سرمايه گذاري'!$E$25,CF3-$A$2,0)</f>
        <v>0</v>
      </c>
      <c r="CH3" s="486">
        <f>IF(CH2&lt;='منابع تامين سرمايه گذاري'!$E$25,CG3-$A$2,0)</f>
        <v>0</v>
      </c>
      <c r="CI3" s="486">
        <f>IF(CI2&lt;='منابع تامين سرمايه گذاري'!$E$25,CH3-$A$2,0)</f>
        <v>0</v>
      </c>
      <c r="CJ3" s="486">
        <f>IF(CJ2&lt;='منابع تامين سرمايه گذاري'!$E$25,CI3-$A$2,0)</f>
        <v>0</v>
      </c>
      <c r="CK3" s="486">
        <f>IF(CK2&lt;='منابع تامين سرمايه گذاري'!$E$25,CJ3-$A$2,0)</f>
        <v>0</v>
      </c>
      <c r="CL3" s="486">
        <f>IF(CL2&lt;='منابع تامين سرمايه گذاري'!$E$25,CK3-$A$2,0)</f>
        <v>0</v>
      </c>
      <c r="CM3" s="486">
        <f>IF(CM2&lt;='منابع تامين سرمايه گذاري'!$E$25,CL3-$A$2,0)</f>
        <v>0</v>
      </c>
      <c r="CN3" s="486">
        <f>IF(CN2&lt;='منابع تامين سرمايه گذاري'!$E$25,CM3-$A$2,0)</f>
        <v>0</v>
      </c>
      <c r="CO3" s="486">
        <f>IF(CO2&lt;='منابع تامين سرمايه گذاري'!$E$25,CN3-$A$2,0)</f>
        <v>0</v>
      </c>
      <c r="CP3" s="486">
        <f>IF(CP2&lt;='منابع تامين سرمايه گذاري'!$E$25,CO3-$A$2,0)</f>
        <v>0</v>
      </c>
      <c r="CQ3" s="486">
        <f>IF(CQ2&lt;='منابع تامين سرمايه گذاري'!$E$25,CP3-$A$2,0)</f>
        <v>0</v>
      </c>
      <c r="CR3" s="486">
        <f>IF(CR2&lt;='منابع تامين سرمايه گذاري'!$E$25,CQ3-$A$2,0)</f>
        <v>0</v>
      </c>
      <c r="CS3" s="486">
        <f>IF(CS2&lt;='منابع تامين سرمايه گذاري'!$E$25,CR3-$A$2,0)</f>
        <v>0</v>
      </c>
      <c r="CT3" s="486">
        <f>IF(CT2&lt;='منابع تامين سرمايه گذاري'!$E$25,CS3-$A$2,0)</f>
        <v>0</v>
      </c>
      <c r="CU3" s="486">
        <f>IF(CU2&lt;='منابع تامين سرمايه گذاري'!$E$25,CT3-$A$2,0)</f>
        <v>0</v>
      </c>
      <c r="CV3" s="486">
        <f>IF(CV2&lt;='منابع تامين سرمايه گذاري'!$E$25,CU3-$A$2,0)</f>
        <v>0</v>
      </c>
      <c r="CW3" s="486">
        <f>IF(CW2&lt;='منابع تامين سرمايه گذاري'!$E$25,CV3-$A$2,0)</f>
        <v>0</v>
      </c>
      <c r="CX3" s="486">
        <f>IF(CX2&lt;='منابع تامين سرمايه گذاري'!$E$25,CW3-$A$2,0)</f>
        <v>0</v>
      </c>
      <c r="CY3" s="486">
        <f>IF(CY2&lt;='منابع تامين سرمايه گذاري'!$E$25,CX3-$A$2,0)</f>
        <v>0</v>
      </c>
      <c r="CZ3" s="486">
        <f>IF(CZ2&lt;='منابع تامين سرمايه گذاري'!$E$25,CY3-$A$2,0)</f>
        <v>0</v>
      </c>
      <c r="DA3" s="486">
        <f>IF(DA2&lt;='منابع تامين سرمايه گذاري'!$E$25,CZ3-$A$2,0)</f>
        <v>0</v>
      </c>
      <c r="DB3" s="486">
        <f>IF(DB2&lt;='منابع تامين سرمايه گذاري'!$E$25,DA3-$A$2,0)</f>
        <v>0</v>
      </c>
      <c r="DC3" s="486">
        <f>IF(DC2&lt;='منابع تامين سرمايه گذاري'!$E$25,DB3-$A$2,0)</f>
        <v>0</v>
      </c>
      <c r="DD3" s="486">
        <f>IF(DD2&lt;='منابع تامين سرمايه گذاري'!$E$25,DC3-$A$2,0)</f>
        <v>0</v>
      </c>
      <c r="DE3" s="486">
        <f>IF(DE2&lt;='منابع تامين سرمايه گذاري'!$E$25,DD3-$A$2,0)</f>
        <v>0</v>
      </c>
      <c r="DF3" s="486">
        <f>IF(DF2&lt;='منابع تامين سرمايه گذاري'!$E$25,DE3-$A$2,0)</f>
        <v>0</v>
      </c>
      <c r="DG3" s="486">
        <f>IF(DG2&lt;='منابع تامين سرمايه گذاري'!$E$25,DF3-$A$2,0)</f>
        <v>0</v>
      </c>
      <c r="DH3" s="486">
        <f>IF(DH2&lt;='منابع تامين سرمايه گذاري'!$E$25,DG3-$A$2,0)</f>
        <v>0</v>
      </c>
      <c r="DI3" s="486">
        <f>IF(DI2&lt;='منابع تامين سرمايه گذاري'!$E$25,DH3-$A$2,0)</f>
        <v>0</v>
      </c>
      <c r="DJ3" s="486">
        <f>IF(DJ2&lt;='منابع تامين سرمايه گذاري'!$E$25,DI3-$A$2,0)</f>
        <v>0</v>
      </c>
      <c r="DK3" s="486">
        <f>IF(DK2&lt;='منابع تامين سرمايه گذاري'!$E$25,DJ3-$A$2,0)</f>
        <v>0</v>
      </c>
      <c r="DL3" s="486">
        <f>IF(DL2&lt;='منابع تامين سرمايه گذاري'!$E$25,DK3-$A$2,0)</f>
        <v>0</v>
      </c>
      <c r="DM3" s="486">
        <f>IF(DM2&lt;='منابع تامين سرمايه گذاري'!$E$25,DL3-$A$2,0)</f>
        <v>0</v>
      </c>
      <c r="DN3" s="486">
        <f>IF(DN2&lt;='منابع تامين سرمايه گذاري'!$E$25,DM3-$A$2,0)</f>
        <v>0</v>
      </c>
      <c r="DO3" s="486">
        <f>IF(DO2&lt;='منابع تامين سرمايه گذاري'!$E$25,DN3-$A$2,0)</f>
        <v>0</v>
      </c>
      <c r="DP3" s="486">
        <f>IF(DP2&lt;='منابع تامين سرمايه گذاري'!$E$25,DO3-$A$2,0)</f>
        <v>0</v>
      </c>
      <c r="DQ3" s="486">
        <f>IF(DQ2&lt;='منابع تامين سرمايه گذاري'!$E$25,DP3-$A$2,0)</f>
        <v>0</v>
      </c>
      <c r="DR3" s="486">
        <f>IF(DR2&lt;='منابع تامين سرمايه گذاري'!$E$25,DQ3-$A$2,0)</f>
        <v>0</v>
      </c>
      <c r="DS3" s="486">
        <f>IF(DS2&lt;='منابع تامين سرمايه گذاري'!$E$25,DR3-$A$2,0)</f>
        <v>0</v>
      </c>
      <c r="DT3" s="486">
        <f>IF(DT2&lt;='منابع تامين سرمايه گذاري'!$E$25,DS3-$A$2,0)</f>
        <v>0</v>
      </c>
      <c r="DU3" s="486">
        <f>IF(DU2&lt;='منابع تامين سرمايه گذاري'!$E$25,DT3-$A$2,0)</f>
        <v>0</v>
      </c>
      <c r="DV3" s="486">
        <f>IF(DV2&lt;='منابع تامين سرمايه گذاري'!$E$25,DU3-$A$2,0)</f>
        <v>0</v>
      </c>
      <c r="DW3" s="486">
        <f>IF(DW2&lt;='منابع تامين سرمايه گذاري'!$E$25,DV3-$A$2,0)</f>
        <v>0</v>
      </c>
      <c r="DX3" s="486">
        <f>IF(DX2&lt;='منابع تامين سرمايه گذاري'!$E$25,DW3-$A$2,0)</f>
        <v>0</v>
      </c>
      <c r="DY3" s="486">
        <f>IF(DY2&lt;='منابع تامين سرمايه گذاري'!$E$25,DX3-$A$2,0)</f>
        <v>0</v>
      </c>
      <c r="DZ3" s="486">
        <f>IF(DZ2&lt;='منابع تامين سرمايه گذاري'!$E$25,DY3-$A$2,0)</f>
        <v>0</v>
      </c>
      <c r="EA3" s="486">
        <f>IF(EA2&lt;='منابع تامين سرمايه گذاري'!$E$25,DZ3-$A$2,0)</f>
        <v>0</v>
      </c>
      <c r="EB3" s="486">
        <f>IF(EB2&lt;='منابع تامين سرمايه گذاري'!$E$25,EA3-$A$2,0)</f>
        <v>0</v>
      </c>
      <c r="EC3" s="486">
        <f>IF(EC2&lt;='منابع تامين سرمايه گذاري'!$E$25,EB3-$A$2,0)</f>
        <v>0</v>
      </c>
      <c r="ED3" s="486">
        <f>IF(ED2&lt;='منابع تامين سرمايه گذاري'!$E$25,EC3-$A$2,0)</f>
        <v>0</v>
      </c>
      <c r="EE3" s="486">
        <f>IF(EE2&lt;='منابع تامين سرمايه گذاري'!$E$25,ED3-$A$2,0)</f>
        <v>0</v>
      </c>
      <c r="EF3" s="486">
        <f>IF(EF2&lt;='منابع تامين سرمايه گذاري'!$E$25,EE3-$A$2,0)</f>
        <v>0</v>
      </c>
    </row>
    <row r="4" spans="1:136">
      <c r="A4" t="s">
        <v>299</v>
      </c>
      <c r="B4">
        <f>IF(مفروضات!T4=TRUE,IF('منابع تامين سرمايه گذاري'!E39=تسهیلات!B3,5,0),0)</f>
        <v>0</v>
      </c>
      <c r="C4" t="e">
        <f>IF(مفروضات!#REF!=TRUE,5,0)</f>
        <v>#REF!</v>
      </c>
      <c r="D4">
        <f>IF(مفروضات!U4=TRUE,5,0)</f>
        <v>0</v>
      </c>
      <c r="E4">
        <f>IF(مفروضات!V4=TRUE,5,0)</f>
        <v>0</v>
      </c>
      <c r="F4">
        <f>IF(مفروضات!W4=TRUE,5,0)</f>
        <v>0</v>
      </c>
      <c r="G4">
        <f>IF(مفروضات!X4=TRUE,5,0)</f>
        <v>0</v>
      </c>
      <c r="H4">
        <f>IF(مفروضات!Y4=TRUE,5,0)</f>
        <v>0</v>
      </c>
      <c r="I4">
        <f>IF(مفروضات!Z4=TRUE,5,0)</f>
        <v>0</v>
      </c>
      <c r="J4">
        <f>IF(مفروضات!AA4=TRUE,5,0)</f>
        <v>0</v>
      </c>
      <c r="K4">
        <f>IF(مفروضات!AB4=TRUE,5,0)</f>
        <v>0</v>
      </c>
      <c r="L4">
        <f>IF(مفروضات!AC4=TRUE,5,0)</f>
        <v>0</v>
      </c>
      <c r="M4">
        <f>IF(مفروضات!AD4=TRUE,5,0)</f>
        <v>0</v>
      </c>
      <c r="N4" t="e">
        <f>SUM(B4:M4)</f>
        <v>#REF!</v>
      </c>
    </row>
    <row r="5" spans="1:136">
      <c r="A5" t="s">
        <v>469</v>
      </c>
      <c r="B5">
        <f>IF(مفروضات!$T$4=TRUE,IF('منابع تامين سرمايه گذاري'!$E$39=تسهیلات!B3,$Q$3,0),0)</f>
        <v>0</v>
      </c>
      <c r="C5">
        <f>IF(مفروضات!$T$4=TRUE,IF('منابع تامين سرمايه گذاري'!$E$39=تسهیلات!C3,$Q$3,0),0)</f>
        <v>0</v>
      </c>
      <c r="D5">
        <f>IF(مفروضات!$T$4=TRUE,IF('منابع تامين سرمايه گذاري'!$E$39=تسهیلات!D3,$Q$3,0),0)</f>
        <v>0</v>
      </c>
      <c r="E5">
        <f>IF(مفروضات!$T$4=TRUE,IF('منابع تامين سرمايه گذاري'!$E$39=تسهیلات!E3,$Q$3,0),0)</f>
        <v>0</v>
      </c>
      <c r="F5">
        <f>IF(مفروضات!$T$4=TRUE,IF('منابع تامين سرمايه گذاري'!$E$39=تسهیلات!F3,$Q$3,0),0)</f>
        <v>0</v>
      </c>
      <c r="G5">
        <f>IF(مفروضات!$T$4=TRUE,IF('منابع تامين سرمايه گذاري'!$E$39=تسهیلات!G3,$Q$3,0),0)</f>
        <v>0</v>
      </c>
      <c r="H5">
        <f>IF(مفروضات!$T$4=TRUE,IF('منابع تامين سرمايه گذاري'!$E$39=تسهیلات!H3,$Q$3,0),0)</f>
        <v>0</v>
      </c>
      <c r="I5">
        <f>IF(مفروضات!$T$4=TRUE,IF('منابع تامين سرمايه گذاري'!$E$39=تسهیلات!I3,$Q$3,0),0)</f>
        <v>0</v>
      </c>
      <c r="J5">
        <f>IF(مفروضات!$T$4=TRUE,IF('منابع تامين سرمايه گذاري'!$E$39=تسهیلات!J3,$Q$3,0),0)</f>
        <v>0</v>
      </c>
      <c r="K5">
        <f>IF(مفروضات!$T$4=TRUE,IF('منابع تامين سرمايه گذاري'!$E$39=تسهیلات!K3,$Q$3,0),0)</f>
        <v>0</v>
      </c>
      <c r="L5">
        <f>IF(مفروضات!$T$4=TRUE,IF('منابع تامين سرمايه گذاري'!$E$39=تسهیلات!L3,$Q$3,0),0)</f>
        <v>0</v>
      </c>
      <c r="M5">
        <f>IF(مفروضات!$T$4=TRUE,IF('منابع تامين سرمايه گذاري'!$E$39=تسهیلات!M3,$Q$3,0),0)</f>
        <v>0</v>
      </c>
      <c r="N5">
        <f>SUM(B5:M5)</f>
        <v>0</v>
      </c>
      <c r="Q5" s="490">
        <v>0</v>
      </c>
      <c r="R5" s="490">
        <v>1</v>
      </c>
      <c r="S5" s="490">
        <v>2</v>
      </c>
      <c r="T5" s="490">
        <v>3</v>
      </c>
      <c r="U5" s="490">
        <v>4</v>
      </c>
      <c r="V5" s="490">
        <v>5</v>
      </c>
      <c r="W5" s="490">
        <v>6</v>
      </c>
      <c r="X5" s="490">
        <v>7</v>
      </c>
      <c r="Y5" s="490">
        <v>8</v>
      </c>
      <c r="Z5" s="490">
        <v>9</v>
      </c>
      <c r="AA5" s="490">
        <v>10</v>
      </c>
    </row>
    <row r="6" spans="1:136">
      <c r="A6" t="s">
        <v>8</v>
      </c>
      <c r="N6">
        <f>SUM(B6:M6)</f>
        <v>0</v>
      </c>
      <c r="P6" s="486" t="s">
        <v>13</v>
      </c>
      <c r="Q6" s="486" t="s">
        <v>472</v>
      </c>
      <c r="R6" s="486">
        <v>1</v>
      </c>
      <c r="S6" s="486">
        <v>2</v>
      </c>
      <c r="T6" s="486">
        <v>3</v>
      </c>
      <c r="U6" s="486">
        <v>4</v>
      </c>
      <c r="V6" s="486">
        <v>5</v>
      </c>
      <c r="W6" s="486">
        <v>6</v>
      </c>
      <c r="X6" s="486">
        <v>7</v>
      </c>
      <c r="Y6" s="486">
        <v>8</v>
      </c>
      <c r="Z6" s="486">
        <v>9</v>
      </c>
      <c r="AA6" s="486">
        <v>10</v>
      </c>
    </row>
    <row r="7" spans="1:136" ht="21.6" thickBot="1">
      <c r="P7" s="486" t="s">
        <v>471</v>
      </c>
    </row>
    <row r="8" spans="1:136" ht="21.6" thickBot="1">
      <c r="B8" s="1179" t="s">
        <v>165</v>
      </c>
      <c r="C8" s="1180"/>
      <c r="D8" s="1180"/>
      <c r="E8" s="1180"/>
      <c r="F8" s="1180"/>
      <c r="G8" s="1180"/>
      <c r="H8" s="1180"/>
      <c r="I8" s="1180"/>
      <c r="J8" s="1180"/>
      <c r="K8" s="1180"/>
      <c r="L8" s="1180"/>
      <c r="M8" s="1181"/>
      <c r="P8" s="486" t="s">
        <v>473</v>
      </c>
      <c r="Q8" s="486">
        <f>Q9-Q7</f>
        <v>0</v>
      </c>
      <c r="R8" s="486">
        <f t="shared" ref="R8:AA8" si="0">R9-R7</f>
        <v>0</v>
      </c>
      <c r="S8" s="486">
        <f t="shared" si="0"/>
        <v>0</v>
      </c>
      <c r="T8" s="486">
        <f t="shared" si="0"/>
        <v>0</v>
      </c>
      <c r="U8" s="486">
        <f t="shared" si="0"/>
        <v>0</v>
      </c>
      <c r="V8" s="486">
        <f t="shared" si="0"/>
        <v>0</v>
      </c>
      <c r="W8" s="486">
        <f t="shared" si="0"/>
        <v>0</v>
      </c>
      <c r="X8" s="486">
        <f t="shared" si="0"/>
        <v>0</v>
      </c>
      <c r="Y8" s="486">
        <f t="shared" si="0"/>
        <v>0</v>
      </c>
      <c r="Z8" s="486">
        <f t="shared" si="0"/>
        <v>0</v>
      </c>
      <c r="AA8" s="486">
        <f t="shared" si="0"/>
        <v>0</v>
      </c>
    </row>
    <row r="9" spans="1:136" ht="21.6" thickBot="1">
      <c r="B9" s="482">
        <v>13</v>
      </c>
      <c r="C9" s="483">
        <v>14</v>
      </c>
      <c r="D9" s="483">
        <v>15</v>
      </c>
      <c r="E9" s="483">
        <v>16</v>
      </c>
      <c r="F9" s="483">
        <v>17</v>
      </c>
      <c r="G9" s="483">
        <v>18</v>
      </c>
      <c r="H9" s="483">
        <v>19</v>
      </c>
      <c r="I9" s="483">
        <v>20</v>
      </c>
      <c r="J9" s="483">
        <v>21</v>
      </c>
      <c r="K9" s="483">
        <v>22</v>
      </c>
      <c r="L9" s="483">
        <v>23</v>
      </c>
      <c r="M9" s="484">
        <v>24</v>
      </c>
      <c r="N9" t="s">
        <v>8</v>
      </c>
      <c r="P9" s="486" t="s">
        <v>8</v>
      </c>
      <c r="Q9" s="486">
        <f>IF(('منابع تامين سرمايه گذاري'!$E$33-P5)&gt;=0,IF(('منابع تامين سرمايه گذاري'!$E$33-P5)&gt;=1,'منابع تامين سرمايه گذاري'!$E$35*'برآورد فروش'!B3/12,IF('منابع تامين سرمايه گذاري'!$E$18-'پيش بيني عملكرد سود و زيان'!$C$33-'منابع تامين سرمايه گذاري'!$E$35*P5&gt;='منابع تامين سرمايه گذاري'!$E$35,'منابع تامين سرمايه گذاري'!$E$35,'منابع تامين سرمايه گذاري'!$E$18-'پيش بيني عملكرد سود و زيان'!$C$33-'منابع تامين سرمايه گذاري'!$E$35*P5)),0)</f>
        <v>0</v>
      </c>
      <c r="R9" s="486">
        <f>IF(('منابع تامين سرمايه گذاري'!$E$33-Q5)&gt;=0,IF(('منابع تامين سرمايه گذاري'!$E$33-Q5)&gt;=1,'منابع تامين سرمايه گذاري'!$E$35*'برآورد فروش'!C3/12,IF('منابع تامين سرمايه گذاري'!$E$18-'پيش بيني عملكرد سود و زيان'!$C$33-'منابع تامين سرمايه گذاري'!$E$35*Q5&gt;='منابع تامين سرمايه گذاري'!$E$35,'منابع تامين سرمايه گذاري'!$E$35,'منابع تامين سرمايه گذاري'!$E$18-'پيش بيني عملكرد سود و زيان'!$C$33-'منابع تامين سرمايه گذاري'!$E$35*Q5)),0)</f>
        <v>0</v>
      </c>
      <c r="S9" s="486">
        <f>IF(('منابع تامين سرمايه گذاري'!$E$33-R5)&gt;=0,IF(('منابع تامين سرمايه گذاري'!$E$33-R5)&gt;=1,'منابع تامين سرمايه گذاري'!$E$35*'برآورد فروش'!D3/12,IF('منابع تامين سرمايه گذاري'!$E$18-'پيش بيني عملكرد سود و زيان'!$C$33-'منابع تامين سرمايه گذاري'!$E$35*R5&gt;='منابع تامين سرمايه گذاري'!$E$35,'منابع تامين سرمايه گذاري'!$E$35,'منابع تامين سرمايه گذاري'!$E$18-'پيش بيني عملكرد سود و زيان'!$C$33-'منابع تامين سرمايه گذاري'!$E$35*R5)),0)</f>
        <v>0</v>
      </c>
      <c r="T9" s="486">
        <f>IF(('منابع تامين سرمايه گذاري'!$E$33-S5)&gt;=0,IF(('منابع تامين سرمايه گذاري'!$E$33-S5)&gt;=1,'منابع تامين سرمايه گذاري'!$E$35*'برآورد فروش'!E3/12,IF('منابع تامين سرمايه گذاري'!$E$18-'پيش بيني عملكرد سود و زيان'!$C$33-'منابع تامين سرمايه گذاري'!$E$35*S5&gt;='منابع تامين سرمايه گذاري'!$E$35,'منابع تامين سرمايه گذاري'!$E$35,'منابع تامين سرمايه گذاري'!$E$18-'پيش بيني عملكرد سود و زيان'!$C$33-'منابع تامين سرمايه گذاري'!$E$35*S5)),0)</f>
        <v>0</v>
      </c>
      <c r="U9" s="486">
        <f>IF(('منابع تامين سرمايه گذاري'!$E$33-T5)&gt;=0,IF(('منابع تامين سرمايه گذاري'!$E$33-T5)&gt;=1,'منابع تامين سرمايه گذاري'!$E$35*'برآورد فروش'!F3/12,IF('منابع تامين سرمايه گذاري'!$E$18-'پيش بيني عملكرد سود و زيان'!$C$33-'منابع تامين سرمايه گذاري'!$E$35*T5&gt;='منابع تامين سرمايه گذاري'!$E$35,'منابع تامين سرمايه گذاري'!$E$35,'منابع تامين سرمايه گذاري'!$E$18-'پيش بيني عملكرد سود و زيان'!$C$33-'منابع تامين سرمايه گذاري'!$E$35*T5)),0)</f>
        <v>0</v>
      </c>
      <c r="V9" s="486">
        <f>IF(('منابع تامين سرمايه گذاري'!$E$33-U5)&gt;=0,IF(('منابع تامين سرمايه گذاري'!$E$33-U5)&gt;=1,'منابع تامين سرمايه گذاري'!$E$35*'برآورد فروش'!G3/12,IF('منابع تامين سرمايه گذاري'!$E$18-'پيش بيني عملكرد سود و زيان'!$C$33-'منابع تامين سرمايه گذاري'!$E$35*U5&gt;='منابع تامين سرمايه گذاري'!$E$35,'منابع تامين سرمايه گذاري'!$E$35,'منابع تامين سرمايه گذاري'!$E$18-'پيش بيني عملكرد سود و زيان'!$C$33-'منابع تامين سرمايه گذاري'!$E$35*U5)),0)</f>
        <v>0</v>
      </c>
      <c r="W9" s="486">
        <f>IF(('منابع تامين سرمايه گذاري'!$E$33-V5)&gt;=0,IF(('منابع تامين سرمايه گذاري'!$E$33-V5)&gt;=1,'منابع تامين سرمايه گذاري'!$E$35*'برآورد فروش'!H3/12,IF('منابع تامين سرمايه گذاري'!$E$18-'پيش بيني عملكرد سود و زيان'!$C$33-'منابع تامين سرمايه گذاري'!$E$35*V5&gt;='منابع تامين سرمايه گذاري'!$E$35,'منابع تامين سرمايه گذاري'!$E$35,'منابع تامين سرمايه گذاري'!$E$18-'پيش بيني عملكرد سود و زيان'!$C$33-'منابع تامين سرمايه گذاري'!$E$35*V5)),0)</f>
        <v>0</v>
      </c>
      <c r="X9" s="486">
        <f>IF(('منابع تامين سرمايه گذاري'!$E$33-W5)&gt;=0,IF(('منابع تامين سرمايه گذاري'!$E$33-W5)&gt;=1,'منابع تامين سرمايه گذاري'!$E$35*'برآورد فروش'!I3/12,IF('منابع تامين سرمايه گذاري'!$E$18-'پيش بيني عملكرد سود و زيان'!$C$33-'منابع تامين سرمايه گذاري'!$E$35*W5&gt;='منابع تامين سرمايه گذاري'!$E$35,'منابع تامين سرمايه گذاري'!$E$35,'منابع تامين سرمايه گذاري'!$E$18-'پيش بيني عملكرد سود و زيان'!$C$33-'منابع تامين سرمايه گذاري'!$E$35*W5)),0)</f>
        <v>0</v>
      </c>
      <c r="Y9" s="486">
        <f>IF(('منابع تامين سرمايه گذاري'!$E$33-X5)&gt;=0,IF(('منابع تامين سرمايه گذاري'!$E$33-X5)&gt;=1,'منابع تامين سرمايه گذاري'!$E$35*'برآورد فروش'!J3/12,IF('منابع تامين سرمايه گذاري'!$E$18-'پيش بيني عملكرد سود و زيان'!$C$33-'منابع تامين سرمايه گذاري'!$E$35*X5&gt;='منابع تامين سرمايه گذاري'!$E$35,'منابع تامين سرمايه گذاري'!$E$35,'منابع تامين سرمايه گذاري'!$E$18-'پيش بيني عملكرد سود و زيان'!$C$33-'منابع تامين سرمايه گذاري'!$E$35*X5)),0)</f>
        <v>0</v>
      </c>
      <c r="Z9" s="486">
        <f>IF(('منابع تامين سرمايه گذاري'!$E$33-Y5)&gt;=0,IF(('منابع تامين سرمايه گذاري'!$E$33-Y5)&gt;=1,'منابع تامين سرمايه گذاري'!$E$35*'برآورد فروش'!K3/12,IF('منابع تامين سرمايه گذاري'!$E$18-'پيش بيني عملكرد سود و زيان'!$C$33-'منابع تامين سرمايه گذاري'!$E$35*Y5&gt;='منابع تامين سرمايه گذاري'!$E$35,'منابع تامين سرمايه گذاري'!$E$35,'منابع تامين سرمايه گذاري'!$E$18-'پيش بيني عملكرد سود و زيان'!$C$33-'منابع تامين سرمايه گذاري'!$E$35*Y5)),0)</f>
        <v>0</v>
      </c>
      <c r="AA9" s="486">
        <f>IF(('منابع تامين سرمايه گذاري'!$E$33-Z5)&gt;=0,IF(('منابع تامين سرمايه گذاري'!$E$33-Z5)&gt;=1,'منابع تامين سرمايه گذاري'!$E$35*'برآورد فروش'!L3/12,IF('منابع تامين سرمايه گذاري'!$E$18-'پيش بيني عملكرد سود و زيان'!$C$33-'منابع تامين سرمايه گذاري'!$E$35*Z5&gt;='منابع تامين سرمايه گذاري'!$E$35,'منابع تامين سرمايه گذاري'!$E$35,'منابع تامين سرمايه گذاري'!$E$18-'پيش بيني عملكرد سود و زيان'!$C$33-'منابع تامين سرمايه گذاري'!$E$35*Z5)),0)</f>
        <v>0</v>
      </c>
    </row>
    <row r="10" spans="1:136">
      <c r="A10" t="s">
        <v>299</v>
      </c>
    </row>
    <row r="11" spans="1:136">
      <c r="A11" t="s">
        <v>469</v>
      </c>
      <c r="I11" t="e">
        <f ca="1">G(11+2)</f>
        <v>#NAME?</v>
      </c>
    </row>
    <row r="12" spans="1:136">
      <c r="A12" t="s">
        <v>8</v>
      </c>
    </row>
    <row r="13" spans="1:136" ht="21.6" thickBot="1">
      <c r="G13">
        <v>5</v>
      </c>
    </row>
    <row r="14" spans="1:136" ht="21.6" thickBot="1">
      <c r="B14" s="1179" t="s">
        <v>166</v>
      </c>
      <c r="C14" s="1180"/>
      <c r="D14" s="1180"/>
      <c r="E14" s="1180"/>
      <c r="F14" s="1180"/>
      <c r="G14" s="1180"/>
      <c r="H14" s="1180"/>
      <c r="I14" s="1180"/>
      <c r="J14" s="1180"/>
      <c r="K14" s="1180"/>
      <c r="L14" s="1180"/>
      <c r="M14" s="1181"/>
    </row>
    <row r="15" spans="1:136" ht="21.6" thickBot="1">
      <c r="B15" s="482">
        <v>25</v>
      </c>
      <c r="C15" s="483">
        <v>26</v>
      </c>
      <c r="D15" s="483">
        <v>27</v>
      </c>
      <c r="E15" s="483">
        <v>28</v>
      </c>
      <c r="F15" s="483">
        <v>29</v>
      </c>
      <c r="G15" s="483">
        <v>30</v>
      </c>
      <c r="H15" s="483">
        <v>31</v>
      </c>
      <c r="I15" s="483">
        <v>32</v>
      </c>
      <c r="J15" s="483">
        <v>33</v>
      </c>
      <c r="K15" s="483">
        <v>34</v>
      </c>
      <c r="L15" s="483">
        <v>35</v>
      </c>
      <c r="M15" s="484">
        <v>36</v>
      </c>
      <c r="N15" t="s">
        <v>8</v>
      </c>
    </row>
    <row r="16" spans="1:136">
      <c r="A16" t="s">
        <v>299</v>
      </c>
    </row>
    <row r="17" spans="1:14">
      <c r="A17" t="s">
        <v>469</v>
      </c>
    </row>
    <row r="18" spans="1:14">
      <c r="A18" t="s">
        <v>8</v>
      </c>
    </row>
    <row r="19" spans="1:14" ht="21.6" thickBot="1"/>
    <row r="20" spans="1:14" ht="21.6" thickBot="1">
      <c r="B20" s="1179" t="s">
        <v>167</v>
      </c>
      <c r="C20" s="1180"/>
      <c r="D20" s="1180"/>
      <c r="E20" s="1180"/>
      <c r="F20" s="1180"/>
      <c r="G20" s="1180"/>
      <c r="H20" s="1180"/>
      <c r="I20" s="1180"/>
      <c r="J20" s="1180"/>
      <c r="K20" s="1180"/>
      <c r="L20" s="1180"/>
      <c r="M20" s="1181"/>
    </row>
    <row r="21" spans="1:14" ht="21.6" thickBot="1">
      <c r="B21" s="482">
        <v>37</v>
      </c>
      <c r="C21" s="483">
        <v>38</v>
      </c>
      <c r="D21" s="483">
        <v>39</v>
      </c>
      <c r="E21" s="483">
        <v>40</v>
      </c>
      <c r="F21" s="483">
        <v>41</v>
      </c>
      <c r="G21" s="483">
        <v>42</v>
      </c>
      <c r="H21" s="483">
        <v>43</v>
      </c>
      <c r="I21" s="483">
        <v>44</v>
      </c>
      <c r="J21" s="483">
        <v>45</v>
      </c>
      <c r="K21" s="483">
        <v>46</v>
      </c>
      <c r="L21" s="483">
        <v>47</v>
      </c>
      <c r="M21" s="484">
        <v>48</v>
      </c>
      <c r="N21" t="s">
        <v>8</v>
      </c>
    </row>
    <row r="22" spans="1:14">
      <c r="A22" t="s">
        <v>299</v>
      </c>
    </row>
    <row r="23" spans="1:14">
      <c r="A23" t="s">
        <v>469</v>
      </c>
    </row>
    <row r="24" spans="1:14">
      <c r="A24" t="s">
        <v>8</v>
      </c>
    </row>
    <row r="25" spans="1:14" ht="21.6" thickBot="1"/>
    <row r="26" spans="1:14" ht="21.6" thickBot="1">
      <c r="B26" s="1179" t="s">
        <v>168</v>
      </c>
      <c r="C26" s="1180"/>
      <c r="D26" s="1180"/>
      <c r="E26" s="1180"/>
      <c r="F26" s="1180"/>
      <c r="G26" s="1180"/>
      <c r="H26" s="1180"/>
      <c r="I26" s="1180"/>
      <c r="J26" s="1180"/>
      <c r="K26" s="1180"/>
      <c r="L26" s="1180"/>
      <c r="M26" s="1181"/>
    </row>
    <row r="27" spans="1:14" ht="21.6" thickBot="1">
      <c r="B27" s="482">
        <v>49</v>
      </c>
      <c r="C27" s="483">
        <v>50</v>
      </c>
      <c r="D27" s="483">
        <v>51</v>
      </c>
      <c r="E27" s="483">
        <v>52</v>
      </c>
      <c r="F27" s="483">
        <v>53</v>
      </c>
      <c r="G27" s="483">
        <v>54</v>
      </c>
      <c r="H27" s="483">
        <v>55</v>
      </c>
      <c r="I27" s="483">
        <v>56</v>
      </c>
      <c r="J27" s="483">
        <v>57</v>
      </c>
      <c r="K27" s="483">
        <v>58</v>
      </c>
      <c r="L27" s="483">
        <v>59</v>
      </c>
      <c r="M27" s="484">
        <v>60</v>
      </c>
      <c r="N27" t="s">
        <v>8</v>
      </c>
    </row>
    <row r="28" spans="1:14">
      <c r="A28" t="s">
        <v>299</v>
      </c>
    </row>
    <row r="29" spans="1:14">
      <c r="A29" t="s">
        <v>469</v>
      </c>
    </row>
    <row r="30" spans="1:14">
      <c r="A30" t="s">
        <v>8</v>
      </c>
    </row>
    <row r="32" spans="1:14" ht="21.6" thickBot="1"/>
    <row r="33" spans="1:14" ht="21.6" thickBot="1">
      <c r="B33" s="1179" t="s">
        <v>243</v>
      </c>
      <c r="C33" s="1180"/>
      <c r="D33" s="1180"/>
      <c r="E33" s="1180"/>
      <c r="F33" s="1180"/>
      <c r="G33" s="1180"/>
      <c r="H33" s="1180"/>
      <c r="I33" s="1180"/>
      <c r="J33" s="1180"/>
      <c r="K33" s="1180"/>
      <c r="L33" s="1180"/>
      <c r="M33" s="1181"/>
    </row>
    <row r="34" spans="1:14" ht="21.6" thickBot="1">
      <c r="B34" s="482">
        <v>61</v>
      </c>
      <c r="C34" s="483">
        <v>62</v>
      </c>
      <c r="D34" s="483">
        <v>63</v>
      </c>
      <c r="E34" s="483">
        <v>64</v>
      </c>
      <c r="F34" s="483">
        <v>65</v>
      </c>
      <c r="G34" s="483">
        <v>66</v>
      </c>
      <c r="H34" s="483">
        <v>67</v>
      </c>
      <c r="I34" s="483">
        <v>68</v>
      </c>
      <c r="J34" s="483">
        <v>69</v>
      </c>
      <c r="K34" s="483">
        <v>70</v>
      </c>
      <c r="L34" s="483">
        <v>71</v>
      </c>
      <c r="M34" s="484">
        <v>72</v>
      </c>
      <c r="N34" t="s">
        <v>8</v>
      </c>
    </row>
    <row r="35" spans="1:14">
      <c r="A35" t="s">
        <v>299</v>
      </c>
    </row>
    <row r="36" spans="1:14">
      <c r="A36" t="s">
        <v>469</v>
      </c>
    </row>
    <row r="37" spans="1:14">
      <c r="A37" t="s">
        <v>8</v>
      </c>
    </row>
    <row r="38" spans="1:14" ht="21.6" thickBot="1"/>
    <row r="39" spans="1:14">
      <c r="B39" s="1182" t="s">
        <v>244</v>
      </c>
      <c r="C39" s="1183"/>
      <c r="D39" s="1183"/>
      <c r="E39" s="1183"/>
      <c r="F39" s="1183"/>
      <c r="G39" s="1183"/>
      <c r="H39" s="1183"/>
      <c r="I39" s="1183"/>
      <c r="J39" s="1183"/>
      <c r="K39" s="1183"/>
      <c r="L39" s="1183"/>
      <c r="M39" s="1184"/>
    </row>
    <row r="40" spans="1:14" ht="21.6" thickBot="1">
      <c r="B40" s="482">
        <v>73</v>
      </c>
      <c r="C40" s="483">
        <v>74</v>
      </c>
      <c r="D40" s="483">
        <v>75</v>
      </c>
      <c r="E40" s="483">
        <v>76</v>
      </c>
      <c r="F40" s="483">
        <v>77</v>
      </c>
      <c r="G40" s="483">
        <v>78</v>
      </c>
      <c r="H40" s="483">
        <v>79</v>
      </c>
      <c r="I40" s="483">
        <v>80</v>
      </c>
      <c r="J40" s="483">
        <v>81</v>
      </c>
      <c r="K40" s="483">
        <v>82</v>
      </c>
      <c r="L40" s="483">
        <v>83</v>
      </c>
      <c r="M40" s="484">
        <v>84</v>
      </c>
      <c r="N40" t="s">
        <v>8</v>
      </c>
    </row>
    <row r="41" spans="1:14">
      <c r="A41" t="s">
        <v>299</v>
      </c>
    </row>
    <row r="42" spans="1:14">
      <c r="A42" t="s">
        <v>469</v>
      </c>
    </row>
    <row r="43" spans="1:14">
      <c r="A43" t="s">
        <v>8</v>
      </c>
    </row>
    <row r="45" spans="1:14" ht="21.6" thickBot="1"/>
    <row r="46" spans="1:14" ht="21.6" thickBot="1">
      <c r="B46" s="1182" t="s">
        <v>245</v>
      </c>
      <c r="C46" s="1183"/>
      <c r="D46" s="1183"/>
      <c r="E46" s="1183"/>
      <c r="F46" s="1183"/>
      <c r="G46" s="1183"/>
      <c r="H46" s="1183"/>
      <c r="I46" s="1183"/>
      <c r="J46" s="1183"/>
      <c r="K46" s="1183"/>
      <c r="L46" s="1183"/>
      <c r="M46" s="1184"/>
    </row>
    <row r="47" spans="1:14" ht="21.6" thickBot="1">
      <c r="B47" s="479">
        <v>85</v>
      </c>
      <c r="C47" s="480">
        <v>86</v>
      </c>
      <c r="D47" s="480">
        <v>87</v>
      </c>
      <c r="E47" s="480">
        <v>88</v>
      </c>
      <c r="F47" s="480">
        <v>89</v>
      </c>
      <c r="G47" s="480">
        <v>90</v>
      </c>
      <c r="H47" s="480">
        <v>91</v>
      </c>
      <c r="I47" s="480">
        <v>92</v>
      </c>
      <c r="J47" s="480">
        <v>93</v>
      </c>
      <c r="K47" s="480">
        <v>94</v>
      </c>
      <c r="L47" s="480">
        <v>95</v>
      </c>
      <c r="M47" s="481">
        <v>96</v>
      </c>
      <c r="N47" t="s">
        <v>8</v>
      </c>
    </row>
    <row r="48" spans="1:14">
      <c r="A48" t="s">
        <v>299</v>
      </c>
    </row>
    <row r="49" spans="1:14">
      <c r="A49" t="s">
        <v>469</v>
      </c>
    </row>
    <row r="50" spans="1:14">
      <c r="A50" t="s">
        <v>8</v>
      </c>
    </row>
    <row r="52" spans="1:14" ht="21.6" thickBot="1"/>
    <row r="53" spans="1:14" ht="21.6" thickBot="1">
      <c r="B53" s="1182" t="s">
        <v>246</v>
      </c>
      <c r="C53" s="1183"/>
      <c r="D53" s="1183"/>
      <c r="E53" s="1183"/>
      <c r="F53" s="1183"/>
      <c r="G53" s="1183"/>
      <c r="H53" s="1183"/>
      <c r="I53" s="1183"/>
      <c r="J53" s="1183"/>
      <c r="K53" s="1183"/>
      <c r="L53" s="1183"/>
      <c r="M53" s="1184"/>
    </row>
    <row r="54" spans="1:14" ht="21.6" thickBot="1">
      <c r="B54" s="479">
        <v>97</v>
      </c>
      <c r="C54" s="480">
        <v>98</v>
      </c>
      <c r="D54" s="480">
        <v>99</v>
      </c>
      <c r="E54" s="480">
        <v>100</v>
      </c>
      <c r="F54" s="480">
        <v>101</v>
      </c>
      <c r="G54" s="480">
        <v>102</v>
      </c>
      <c r="H54" s="480">
        <v>103</v>
      </c>
      <c r="I54" s="480">
        <v>104</v>
      </c>
      <c r="J54" s="480">
        <v>105</v>
      </c>
      <c r="K54" s="480">
        <v>106</v>
      </c>
      <c r="L54" s="480">
        <v>107</v>
      </c>
      <c r="M54" s="481">
        <v>108</v>
      </c>
      <c r="N54" t="s">
        <v>8</v>
      </c>
    </row>
    <row r="55" spans="1:14">
      <c r="A55" t="s">
        <v>299</v>
      </c>
    </row>
    <row r="56" spans="1:14">
      <c r="A56" t="s">
        <v>469</v>
      </c>
    </row>
    <row r="57" spans="1:14">
      <c r="A57" t="s">
        <v>8</v>
      </c>
    </row>
    <row r="59" spans="1:14" ht="21.6" thickBot="1"/>
    <row r="60" spans="1:14" ht="21.6" thickBot="1">
      <c r="B60" s="1182" t="s">
        <v>247</v>
      </c>
      <c r="C60" s="1183"/>
      <c r="D60" s="1183"/>
      <c r="E60" s="1183"/>
      <c r="F60" s="1183"/>
      <c r="G60" s="1183"/>
      <c r="H60" s="1183"/>
      <c r="I60" s="1183"/>
      <c r="J60" s="1183"/>
      <c r="K60" s="1183"/>
      <c r="L60" s="1183"/>
      <c r="M60" s="1184"/>
    </row>
    <row r="61" spans="1:14" ht="21.6" thickBot="1">
      <c r="B61" s="479">
        <v>109</v>
      </c>
      <c r="C61" s="480">
        <v>110</v>
      </c>
      <c r="D61" s="480">
        <v>111</v>
      </c>
      <c r="E61" s="480">
        <v>112</v>
      </c>
      <c r="F61" s="480">
        <v>113</v>
      </c>
      <c r="G61" s="480">
        <v>114</v>
      </c>
      <c r="H61" s="480">
        <v>115</v>
      </c>
      <c r="I61" s="480">
        <v>116</v>
      </c>
      <c r="J61" s="480">
        <v>117</v>
      </c>
      <c r="K61" s="480">
        <v>118</v>
      </c>
      <c r="L61" s="480">
        <v>119</v>
      </c>
      <c r="M61" s="481">
        <v>120</v>
      </c>
      <c r="N61" t="s">
        <v>8</v>
      </c>
    </row>
    <row r="62" spans="1:14">
      <c r="A62" t="s">
        <v>299</v>
      </c>
    </row>
    <row r="63" spans="1:14">
      <c r="A63" t="s">
        <v>469</v>
      </c>
    </row>
    <row r="64" spans="1:14">
      <c r="A64" t="s">
        <v>8</v>
      </c>
    </row>
  </sheetData>
  <mergeCells count="10">
    <mergeCell ref="B60:M60"/>
    <mergeCell ref="B20:M20"/>
    <mergeCell ref="B26:M26"/>
    <mergeCell ref="B33:M33"/>
    <mergeCell ref="B39:M39"/>
    <mergeCell ref="B14:M14"/>
    <mergeCell ref="B2:M2"/>
    <mergeCell ref="B8:M8"/>
    <mergeCell ref="B46:M46"/>
    <mergeCell ref="B53:M53"/>
  </mergeCells>
  <phoneticPr fontId="5" type="noConversion"/>
  <pageMargins left="0.75" right="0.75" top="1" bottom="1" header="0.5" footer="0.5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3"/>
  <dimension ref="A1:M30"/>
  <sheetViews>
    <sheetView rightToLeft="1" tabSelected="1" view="pageBreakPreview" topLeftCell="A20" zoomScaleNormal="100" workbookViewId="0">
      <selection activeCell="J29" sqref="J29"/>
    </sheetView>
  </sheetViews>
  <sheetFormatPr defaultColWidth="9.109375" defaultRowHeight="17.399999999999999"/>
  <cols>
    <col min="1" max="1" width="21" style="817" customWidth="1"/>
    <col min="2" max="2" width="16.33203125" style="817" customWidth="1"/>
    <col min="3" max="3" width="18.33203125" style="817" customWidth="1"/>
    <col min="4" max="4" width="18.6640625" style="817" customWidth="1"/>
    <col min="5" max="5" width="36.44140625" style="817" customWidth="1"/>
    <col min="6" max="6" width="16.33203125" style="817" customWidth="1"/>
    <col min="7" max="7" width="15.88671875" style="817" customWidth="1"/>
    <col min="8" max="11" width="9.109375" style="817"/>
    <col min="12" max="13" width="0" style="817" hidden="1" customWidth="1"/>
    <col min="14" max="16384" width="9.109375" style="817"/>
  </cols>
  <sheetData>
    <row r="1" spans="1:13" ht="50.25" customHeight="1" thickBot="1">
      <c r="A1" s="1208" t="s">
        <v>321</v>
      </c>
      <c r="B1" s="1208"/>
      <c r="C1" s="1208"/>
      <c r="D1" s="1208"/>
      <c r="E1" s="1208"/>
      <c r="F1" s="1208"/>
      <c r="G1" s="1208"/>
    </row>
    <row r="2" spans="1:13" ht="32.1" customHeight="1">
      <c r="A2" s="1189" t="s">
        <v>203</v>
      </c>
      <c r="B2" s="1190"/>
      <c r="C2" s="1190"/>
      <c r="D2" s="1190"/>
      <c r="E2" s="1190" t="s">
        <v>204</v>
      </c>
      <c r="F2" s="1190"/>
      <c r="G2" s="1209"/>
    </row>
    <row r="3" spans="1:13" ht="32.1" customHeight="1">
      <c r="A3" s="818" t="s">
        <v>205</v>
      </c>
      <c r="B3" s="1188" t="s">
        <v>619</v>
      </c>
      <c r="C3" s="1188"/>
      <c r="D3" s="1188"/>
      <c r="E3" s="819" t="s">
        <v>22</v>
      </c>
      <c r="F3" s="1191" t="s">
        <v>616</v>
      </c>
      <c r="G3" s="1192"/>
    </row>
    <row r="4" spans="1:13" ht="32.1" customHeight="1">
      <c r="A4" s="818" t="s">
        <v>206</v>
      </c>
      <c r="B4" s="1210" t="s">
        <v>620</v>
      </c>
      <c r="C4" s="1210"/>
      <c r="D4" s="1210"/>
      <c r="E4" s="819" t="s">
        <v>23</v>
      </c>
      <c r="F4" s="1191" t="s">
        <v>617</v>
      </c>
      <c r="G4" s="1192"/>
    </row>
    <row r="5" spans="1:13" ht="32.1" customHeight="1">
      <c r="A5" s="818" t="s">
        <v>207</v>
      </c>
      <c r="B5" s="1188" t="s">
        <v>631</v>
      </c>
      <c r="C5" s="1188"/>
      <c r="D5" s="1188"/>
      <c r="E5" s="819" t="s">
        <v>208</v>
      </c>
      <c r="F5" s="1191" t="s">
        <v>618</v>
      </c>
      <c r="G5" s="1192"/>
      <c r="H5" s="820"/>
    </row>
    <row r="6" spans="1:13" ht="32.1" customHeight="1">
      <c r="A6" s="818" t="s">
        <v>229</v>
      </c>
      <c r="B6" s="1188" t="s">
        <v>621</v>
      </c>
      <c r="C6" s="1188"/>
      <c r="D6" s="1188"/>
      <c r="E6" s="819" t="s">
        <v>230</v>
      </c>
      <c r="F6" s="1191" t="s">
        <v>616</v>
      </c>
      <c r="G6" s="1192"/>
      <c r="H6" s="820"/>
    </row>
    <row r="7" spans="1:13" ht="32.1" customHeight="1">
      <c r="A7" s="818" t="s">
        <v>209</v>
      </c>
      <c r="B7" s="1211" t="s">
        <v>614</v>
      </c>
      <c r="C7" s="1212"/>
      <c r="D7" s="1213"/>
      <c r="E7" s="1214" t="s">
        <v>210</v>
      </c>
      <c r="F7" s="1214"/>
      <c r="G7" s="1215"/>
      <c r="I7" s="821"/>
    </row>
    <row r="8" spans="1:13" ht="32.1" customHeight="1">
      <c r="A8" s="818" t="s">
        <v>304</v>
      </c>
      <c r="B8" s="1193">
        <v>10000000</v>
      </c>
      <c r="C8" s="1193"/>
      <c r="D8" s="1193"/>
      <c r="E8" s="822" t="s">
        <v>211</v>
      </c>
      <c r="F8" s="1194">
        <f>'سرمايه‌‌گذاري طرح'!F15</f>
        <v>1470846409.0019569</v>
      </c>
      <c r="G8" s="1195"/>
      <c r="I8" s="821"/>
    </row>
    <row r="9" spans="1:13" ht="32.1" customHeight="1">
      <c r="A9" s="818" t="s">
        <v>305</v>
      </c>
      <c r="B9" s="864"/>
      <c r="C9" s="865">
        <v>10000000</v>
      </c>
      <c r="D9" s="866"/>
      <c r="E9" s="819" t="s">
        <v>105</v>
      </c>
      <c r="F9" s="1194">
        <f>'سرمايه‌‌گذاري طرح'!F16</f>
        <v>7246098.7599999998</v>
      </c>
      <c r="G9" s="1195"/>
      <c r="I9" s="821"/>
    </row>
    <row r="10" spans="1:13" ht="32.1" customHeight="1">
      <c r="A10" s="823" t="s">
        <v>21</v>
      </c>
      <c r="B10" s="1200" t="s">
        <v>632</v>
      </c>
      <c r="C10" s="1200"/>
      <c r="D10" s="1201"/>
      <c r="E10" s="819" t="s">
        <v>102</v>
      </c>
      <c r="F10" s="1194">
        <f>'سرمايه‌‌گذاري طرح'!F17</f>
        <v>1478092507.7619569</v>
      </c>
      <c r="G10" s="1195"/>
      <c r="H10" s="820"/>
      <c r="L10" s="817" t="b">
        <v>0</v>
      </c>
      <c r="M10" s="817" t="b">
        <v>1</v>
      </c>
    </row>
    <row r="11" spans="1:13" ht="32.25" customHeight="1">
      <c r="A11" s="825" t="s">
        <v>212</v>
      </c>
      <c r="B11" s="1217" t="s">
        <v>542</v>
      </c>
      <c r="C11" s="1217"/>
      <c r="D11" s="1218"/>
      <c r="E11" s="819" t="s">
        <v>213</v>
      </c>
      <c r="F11" s="1194">
        <f>'سرمايه‌‌گذاري طرح'!D17</f>
        <v>72880000</v>
      </c>
      <c r="G11" s="1195"/>
      <c r="H11" s="820"/>
      <c r="L11" s="817" t="b">
        <v>0</v>
      </c>
      <c r="M11" s="817" t="b">
        <v>0</v>
      </c>
    </row>
    <row r="12" spans="1:13" ht="32.25" customHeight="1">
      <c r="A12" s="823" t="s">
        <v>214</v>
      </c>
      <c r="B12" s="1219" t="s">
        <v>574</v>
      </c>
      <c r="C12" s="1200"/>
      <c r="D12" s="1201"/>
      <c r="E12" s="819" t="s">
        <v>215</v>
      </c>
      <c r="F12" s="1194">
        <f>'سرمايه‌‌گذاري طرح'!E15</f>
        <v>1397966409.0019569</v>
      </c>
      <c r="G12" s="1195"/>
      <c r="H12" s="820"/>
      <c r="L12" s="817" t="b">
        <v>1</v>
      </c>
      <c r="M12" s="817" t="b">
        <v>0</v>
      </c>
    </row>
    <row r="13" spans="1:13" ht="32.25" customHeight="1">
      <c r="A13" s="1202" t="s">
        <v>615</v>
      </c>
      <c r="B13" s="1203"/>
      <c r="C13" s="1203"/>
      <c r="D13" s="1204"/>
      <c r="E13" s="819" t="s">
        <v>216</v>
      </c>
      <c r="F13" s="1194">
        <f>'سرمايه‌‌گذاري طرح'!E16</f>
        <v>7246098.7599999998</v>
      </c>
      <c r="G13" s="1195"/>
      <c r="H13" s="820"/>
      <c r="L13" s="817" t="b">
        <v>0</v>
      </c>
      <c r="M13" s="817" t="b">
        <v>0</v>
      </c>
    </row>
    <row r="14" spans="1:13" ht="42.75" customHeight="1">
      <c r="A14" s="1205"/>
      <c r="B14" s="1206"/>
      <c r="C14" s="1206"/>
      <c r="D14" s="1207"/>
      <c r="E14" s="1197" t="s">
        <v>28</v>
      </c>
      <c r="F14" s="1198"/>
      <c r="G14" s="1199"/>
      <c r="H14" s="820"/>
    </row>
    <row r="15" spans="1:13" ht="32.1" customHeight="1">
      <c r="A15" s="1216" t="s">
        <v>217</v>
      </c>
      <c r="B15" s="1214"/>
      <c r="C15" s="1214"/>
      <c r="D15" s="1214"/>
      <c r="E15" s="819" t="s">
        <v>329</v>
      </c>
      <c r="F15" s="848">
        <f>'شاخص هاي اقتصادي'!C7</f>
        <v>5.9849260425263173E-2</v>
      </c>
      <c r="G15" s="826" t="s">
        <v>24</v>
      </c>
    </row>
    <row r="16" spans="1:13" ht="32.1" customHeight="1">
      <c r="A16" s="818" t="s">
        <v>218</v>
      </c>
      <c r="B16" s="1196" t="s">
        <v>257</v>
      </c>
      <c r="C16" s="1196"/>
      <c r="D16" s="1196"/>
      <c r="E16" s="819" t="s">
        <v>219</v>
      </c>
      <c r="F16" s="847">
        <f>'شاخص هاي اقتصادي'!C12</f>
        <v>3.3710152425277062</v>
      </c>
      <c r="G16" s="826" t="s">
        <v>13</v>
      </c>
    </row>
    <row r="17" spans="1:8" ht="32.1" customHeight="1">
      <c r="A17" s="823" t="s">
        <v>238</v>
      </c>
      <c r="B17" s="824"/>
      <c r="C17" s="827"/>
      <c r="D17" s="828"/>
      <c r="E17" s="819" t="s">
        <v>326</v>
      </c>
      <c r="F17" s="849">
        <f>'شاخص هاي اقتصادي'!F3</f>
        <v>0.61134365026786497</v>
      </c>
      <c r="G17" s="826" t="s">
        <v>24</v>
      </c>
      <c r="H17" s="820"/>
    </row>
    <row r="18" spans="1:8" ht="32.1" customHeight="1">
      <c r="A18" s="829" t="s">
        <v>220</v>
      </c>
      <c r="B18" s="844">
        <v>0</v>
      </c>
      <c r="C18" s="863" t="s">
        <v>221</v>
      </c>
      <c r="D18" s="845" t="s">
        <v>66</v>
      </c>
      <c r="E18" s="819" t="s">
        <v>104</v>
      </c>
      <c r="F18" s="847">
        <f>'برآورد فروش'!G34</f>
        <v>12</v>
      </c>
      <c r="G18" s="832" t="s">
        <v>188</v>
      </c>
      <c r="H18" s="820"/>
    </row>
    <row r="19" spans="1:8" ht="32.1" customHeight="1">
      <c r="A19" s="823" t="s">
        <v>239</v>
      </c>
      <c r="B19" s="824"/>
      <c r="C19" s="827"/>
      <c r="D19" s="828"/>
      <c r="E19" s="819" t="s">
        <v>103</v>
      </c>
      <c r="F19" s="847">
        <f>'پيش بيني عملكرد سود و زيان'!E26</f>
        <v>75590050.139295459</v>
      </c>
      <c r="G19" s="832" t="s">
        <v>188</v>
      </c>
      <c r="H19" s="820"/>
    </row>
    <row r="20" spans="1:8" ht="32.1" customHeight="1">
      <c r="A20" s="829" t="s">
        <v>315</v>
      </c>
      <c r="B20" s="846">
        <v>150000000</v>
      </c>
      <c r="C20" s="830" t="s">
        <v>221</v>
      </c>
      <c r="D20" s="845">
        <v>0</v>
      </c>
      <c r="E20" s="1197" t="s">
        <v>222</v>
      </c>
      <c r="F20" s="1198"/>
      <c r="G20" s="1199"/>
      <c r="H20" s="820"/>
    </row>
    <row r="21" spans="1:8" ht="32.1" customHeight="1">
      <c r="A21" s="833" t="s">
        <v>240</v>
      </c>
      <c r="B21" s="834"/>
      <c r="C21" s="835"/>
      <c r="D21" s="836"/>
      <c r="E21" s="729" t="s">
        <v>223</v>
      </c>
      <c r="F21" s="849">
        <f>'منابع تامين سرمايه گذاري'!E21</f>
        <v>0.12</v>
      </c>
      <c r="G21" s="826" t="s">
        <v>24</v>
      </c>
      <c r="H21" s="820"/>
    </row>
    <row r="22" spans="1:8" ht="32.1" customHeight="1">
      <c r="A22" s="829" t="s">
        <v>315</v>
      </c>
      <c r="B22" s="846">
        <v>150000000</v>
      </c>
      <c r="C22" s="830" t="s">
        <v>221</v>
      </c>
      <c r="D22" s="845">
        <v>0</v>
      </c>
      <c r="E22" s="729" t="s">
        <v>224</v>
      </c>
      <c r="F22" s="849">
        <f>'منابع تامين سرمايه گذاري'!E44</f>
        <v>0</v>
      </c>
      <c r="G22" s="826" t="s">
        <v>24</v>
      </c>
      <c r="H22" s="820"/>
    </row>
    <row r="23" spans="1:8" ht="32.1" customHeight="1">
      <c r="A23" s="833" t="s">
        <v>241</v>
      </c>
      <c r="B23" s="834"/>
      <c r="C23" s="835"/>
      <c r="D23" s="836"/>
      <c r="E23" s="729" t="s">
        <v>474</v>
      </c>
      <c r="F23" s="847">
        <f>'منابع تامين سرمايه گذاري'!E22</f>
        <v>90</v>
      </c>
      <c r="G23" s="826" t="s">
        <v>475</v>
      </c>
      <c r="H23" s="820"/>
    </row>
    <row r="24" spans="1:8" ht="32.1" customHeight="1">
      <c r="A24" s="829" t="s">
        <v>220</v>
      </c>
      <c r="B24" s="844">
        <f>'منابع تامين سرمايه گذاري'!E18</f>
        <v>0</v>
      </c>
      <c r="C24" s="830" t="s">
        <v>221</v>
      </c>
      <c r="D24" s="845">
        <v>0</v>
      </c>
      <c r="E24" s="729" t="s">
        <v>539</v>
      </c>
      <c r="F24" s="847">
        <f>'منابع تامين سرمايه گذاري'!E24</f>
        <v>4</v>
      </c>
      <c r="G24" s="826" t="s">
        <v>177</v>
      </c>
      <c r="H24" s="820"/>
    </row>
    <row r="25" spans="1:8" ht="32.1" customHeight="1">
      <c r="A25" s="823" t="s">
        <v>231</v>
      </c>
      <c r="B25" s="804" t="s">
        <v>575</v>
      </c>
      <c r="E25" s="837" t="s">
        <v>225</v>
      </c>
      <c r="F25" s="847">
        <f>'منابع تامين سرمايه گذاري'!E26*'منابع تامين سرمايه گذاري'!E25</f>
        <v>60</v>
      </c>
      <c r="G25" s="826" t="s">
        <v>177</v>
      </c>
      <c r="H25" s="820"/>
    </row>
    <row r="26" spans="1:8" ht="32.1" customHeight="1">
      <c r="A26" s="838"/>
      <c r="B26" s="830"/>
      <c r="C26" s="830"/>
      <c r="D26" s="831"/>
      <c r="E26" s="729" t="s">
        <v>226</v>
      </c>
      <c r="F26" s="847">
        <f>'منابع تامين سرمايه گذاري'!E45*'منابع تامين سرمايه گذاري'!E46</f>
        <v>12</v>
      </c>
      <c r="G26" s="826" t="s">
        <v>177</v>
      </c>
      <c r="H26" s="820"/>
    </row>
    <row r="27" spans="1:8" ht="39.75" customHeight="1" thickBot="1">
      <c r="A27" s="1185" t="s">
        <v>622</v>
      </c>
      <c r="B27" s="1186"/>
      <c r="C27" s="1186"/>
      <c r="D27" s="1186"/>
      <c r="E27" s="1186"/>
      <c r="F27" s="1186"/>
      <c r="G27" s="1187"/>
      <c r="H27" s="820"/>
    </row>
    <row r="28" spans="1:8" ht="27" customHeight="1">
      <c r="A28" s="839"/>
      <c r="B28" s="839"/>
      <c r="C28" s="839"/>
      <c r="D28" s="840"/>
      <c r="E28" s="839" t="s">
        <v>576</v>
      </c>
      <c r="G28" s="841"/>
      <c r="H28" s="820"/>
    </row>
    <row r="29" spans="1:8" ht="27" customHeight="1">
      <c r="A29" s="839"/>
      <c r="B29" s="839"/>
      <c r="C29" s="839"/>
      <c r="D29" s="840"/>
      <c r="E29" s="839" t="s">
        <v>577</v>
      </c>
      <c r="G29" s="841"/>
      <c r="H29" s="820"/>
    </row>
    <row r="30" spans="1:8" ht="27" customHeight="1">
      <c r="A30" s="842"/>
      <c r="E30" s="843"/>
      <c r="F30" s="843"/>
      <c r="G30" s="843"/>
    </row>
  </sheetData>
  <mergeCells count="29">
    <mergeCell ref="B7:D7"/>
    <mergeCell ref="F6:G6"/>
    <mergeCell ref="E7:G7"/>
    <mergeCell ref="B6:D6"/>
    <mergeCell ref="A15:D15"/>
    <mergeCell ref="B11:D11"/>
    <mergeCell ref="F12:G12"/>
    <mergeCell ref="B12:D12"/>
    <mergeCell ref="A1:G1"/>
    <mergeCell ref="E2:G2"/>
    <mergeCell ref="F3:G3"/>
    <mergeCell ref="B4:D4"/>
    <mergeCell ref="F4:G4"/>
    <mergeCell ref="A27:G27"/>
    <mergeCell ref="B3:D3"/>
    <mergeCell ref="B5:D5"/>
    <mergeCell ref="A2:D2"/>
    <mergeCell ref="F5:G5"/>
    <mergeCell ref="B8:D8"/>
    <mergeCell ref="F8:G8"/>
    <mergeCell ref="B16:D16"/>
    <mergeCell ref="F13:G13"/>
    <mergeCell ref="E14:G14"/>
    <mergeCell ref="F9:G9"/>
    <mergeCell ref="B10:D10"/>
    <mergeCell ref="F10:G10"/>
    <mergeCell ref="F11:G11"/>
    <mergeCell ref="A13:D14"/>
    <mergeCell ref="E20:G20"/>
  </mergeCells>
  <phoneticPr fontId="0" type="noConversion"/>
  <printOptions horizontalCentered="1" verticalCentered="1"/>
  <pageMargins left="0" right="0" top="1.4566929133858268" bottom="0.86614173228346458" header="0" footer="0"/>
  <pageSetup paperSize="9" scale="72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34">
    <tabColor indexed="53"/>
  </sheetPr>
  <dimension ref="A1:F22"/>
  <sheetViews>
    <sheetView rightToLeft="1" view="pageBreakPreview" topLeftCell="A2" zoomScale="85" zoomScaleNormal="100" workbookViewId="0">
      <selection activeCell="A2" sqref="A2:E2"/>
    </sheetView>
  </sheetViews>
  <sheetFormatPr defaultColWidth="9.109375" defaultRowHeight="13.2"/>
  <cols>
    <col min="1" max="1" width="15.33203125" style="1" customWidth="1"/>
    <col min="2" max="2" width="25.5546875" style="1" customWidth="1"/>
    <col min="3" max="3" width="18.33203125" style="1" bestFit="1" customWidth="1"/>
    <col min="4" max="4" width="16.109375" style="1" customWidth="1"/>
    <col min="5" max="5" width="34.5546875" style="1" customWidth="1"/>
    <col min="6" max="16384" width="9.109375" style="1"/>
  </cols>
  <sheetData>
    <row r="1" spans="1:5" ht="38.25" customHeight="1">
      <c r="A1" s="1220" t="s">
        <v>232</v>
      </c>
      <c r="B1" s="1221"/>
      <c r="C1" s="1221"/>
      <c r="D1" s="1221"/>
      <c r="E1" s="1222"/>
    </row>
    <row r="2" spans="1:5" ht="51.75" customHeight="1">
      <c r="A2" s="1226" t="s">
        <v>560</v>
      </c>
      <c r="B2" s="1227"/>
      <c r="C2" s="1227"/>
      <c r="D2" s="1227"/>
      <c r="E2" s="1228"/>
    </row>
    <row r="3" spans="1:5" ht="51.75" customHeight="1">
      <c r="A3" s="1226" t="s">
        <v>559</v>
      </c>
      <c r="B3" s="1227"/>
      <c r="C3" s="1227"/>
      <c r="D3" s="1227"/>
      <c r="E3" s="1228"/>
    </row>
    <row r="4" spans="1:5" ht="51.75" customHeight="1">
      <c r="A4" s="1226" t="s">
        <v>549</v>
      </c>
      <c r="B4" s="1227"/>
      <c r="C4" s="1227"/>
      <c r="D4" s="1227"/>
      <c r="E4" s="1228"/>
    </row>
    <row r="5" spans="1:5" ht="51.75" customHeight="1">
      <c r="A5" s="1226" t="s">
        <v>550</v>
      </c>
      <c r="B5" s="1227"/>
      <c r="C5" s="1227"/>
      <c r="D5" s="1227"/>
      <c r="E5" s="1228"/>
    </row>
    <row r="6" spans="1:5" ht="51.75" customHeight="1" thickBot="1">
      <c r="A6" s="1226" t="s">
        <v>551</v>
      </c>
      <c r="B6" s="1227"/>
      <c r="C6" s="1227"/>
      <c r="D6" s="1227"/>
      <c r="E6" s="1228"/>
    </row>
    <row r="7" spans="1:5" ht="32.1" customHeight="1">
      <c r="A7" s="1220" t="s">
        <v>233</v>
      </c>
      <c r="B7" s="1221"/>
      <c r="C7" s="1221"/>
      <c r="D7" s="1221"/>
      <c r="E7" s="1222"/>
    </row>
    <row r="8" spans="1:5" ht="31.5" customHeight="1">
      <c r="A8" s="1223" t="s">
        <v>543</v>
      </c>
      <c r="B8" s="1224"/>
      <c r="C8" s="1224"/>
      <c r="D8" s="1224"/>
      <c r="E8" s="1225"/>
    </row>
    <row r="9" spans="1:5" ht="27.75" customHeight="1">
      <c r="A9" s="1223" t="s">
        <v>563</v>
      </c>
      <c r="B9" s="1224"/>
      <c r="C9" s="1224"/>
      <c r="D9" s="1224"/>
      <c r="E9" s="1225"/>
    </row>
    <row r="10" spans="1:5" ht="57" customHeight="1">
      <c r="A10" s="1223" t="s">
        <v>562</v>
      </c>
      <c r="B10" s="1224"/>
      <c r="C10" s="1224"/>
      <c r="D10" s="1224"/>
      <c r="E10" s="1225"/>
    </row>
    <row r="11" spans="1:5" ht="57" customHeight="1">
      <c r="A11" s="1223" t="s">
        <v>564</v>
      </c>
      <c r="B11" s="1224"/>
      <c r="C11" s="1224"/>
      <c r="D11" s="1224"/>
      <c r="E11" s="1225"/>
    </row>
    <row r="12" spans="1:5" ht="27" customHeight="1">
      <c r="A12" s="1223" t="s">
        <v>565</v>
      </c>
      <c r="B12" s="1224"/>
      <c r="C12" s="1224"/>
      <c r="D12" s="1224"/>
      <c r="E12" s="1225"/>
    </row>
    <row r="13" spans="1:5" ht="28.5" customHeight="1" thickBot="1">
      <c r="A13" s="1232" t="s">
        <v>566</v>
      </c>
      <c r="B13" s="1233"/>
      <c r="C13" s="1233"/>
      <c r="D13" s="1233"/>
      <c r="E13" s="1234"/>
    </row>
    <row r="14" spans="1:5" ht="32.1" customHeight="1">
      <c r="A14" s="1220" t="s">
        <v>234</v>
      </c>
      <c r="B14" s="1221"/>
      <c r="C14" s="1221"/>
      <c r="D14" s="1221"/>
      <c r="E14" s="1222"/>
    </row>
    <row r="15" spans="1:5" ht="31.5" customHeight="1">
      <c r="A15" s="1226" t="s">
        <v>317</v>
      </c>
      <c r="B15" s="1227"/>
      <c r="C15" s="1227"/>
      <c r="D15" s="1227"/>
      <c r="E15" s="1228"/>
    </row>
    <row r="16" spans="1:5" ht="54" customHeight="1">
      <c r="A16" s="1223" t="s">
        <v>316</v>
      </c>
      <c r="B16" s="1224"/>
      <c r="C16" s="1224"/>
      <c r="D16" s="1224"/>
      <c r="E16" s="1225"/>
    </row>
    <row r="17" spans="1:6" ht="47.25" customHeight="1">
      <c r="A17" s="1223" t="s">
        <v>561</v>
      </c>
      <c r="B17" s="1224"/>
      <c r="C17" s="1224"/>
      <c r="D17" s="1224"/>
      <c r="E17" s="1225"/>
    </row>
    <row r="18" spans="1:6" ht="24.75" hidden="1" customHeight="1">
      <c r="A18" s="1223"/>
      <c r="B18" s="1224"/>
      <c r="C18" s="1224"/>
      <c r="D18" s="1224"/>
      <c r="E18" s="1225"/>
    </row>
    <row r="19" spans="1:6" ht="84.75" hidden="1" customHeight="1">
      <c r="A19" s="1229"/>
      <c r="B19" s="1230"/>
      <c r="C19" s="1230"/>
      <c r="D19" s="1230"/>
      <c r="E19" s="1231"/>
    </row>
    <row r="20" spans="1:6" ht="29.25" hidden="1" customHeight="1">
      <c r="A20" s="1223"/>
      <c r="B20" s="1224"/>
      <c r="C20" s="1224"/>
      <c r="D20" s="1224"/>
      <c r="E20" s="1225"/>
    </row>
    <row r="21" spans="1:6" ht="32.1" customHeight="1" thickBot="1">
      <c r="A21" s="853" t="s">
        <v>227</v>
      </c>
      <c r="B21" s="854" t="s">
        <v>572</v>
      </c>
      <c r="C21" s="854" t="s">
        <v>228</v>
      </c>
      <c r="D21" s="855" t="s">
        <v>573</v>
      </c>
      <c r="E21" s="856" t="s">
        <v>235</v>
      </c>
      <c r="F21" s="2"/>
    </row>
    <row r="22" spans="1:6" ht="32.1" customHeight="1" thickBot="1">
      <c r="A22" s="636" t="s">
        <v>236</v>
      </c>
      <c r="B22" s="637"/>
      <c r="C22" s="637"/>
      <c r="D22" s="637"/>
      <c r="E22" s="638"/>
    </row>
  </sheetData>
  <mergeCells count="20">
    <mergeCell ref="A19:E19"/>
    <mergeCell ref="A20:E20"/>
    <mergeCell ref="A9:E9"/>
    <mergeCell ref="A13:E13"/>
    <mergeCell ref="A15:E15"/>
    <mergeCell ref="A16:E16"/>
    <mergeCell ref="A17:E17"/>
    <mergeCell ref="A18:E18"/>
    <mergeCell ref="A10:E10"/>
    <mergeCell ref="A11:E11"/>
    <mergeCell ref="A1:E1"/>
    <mergeCell ref="A7:E7"/>
    <mergeCell ref="A14:E14"/>
    <mergeCell ref="A8:E8"/>
    <mergeCell ref="A2:E2"/>
    <mergeCell ref="A5:E5"/>
    <mergeCell ref="A4:E4"/>
    <mergeCell ref="A6:E6"/>
    <mergeCell ref="A3:E3"/>
    <mergeCell ref="A12:E12"/>
  </mergeCells>
  <phoneticPr fontId="5" type="noConversion"/>
  <printOptions horizontalCentered="1"/>
  <pageMargins left="0" right="0" top="1.5748031496062993" bottom="0.98425196850393704" header="0" footer="0"/>
  <pageSetup paperSize="9" scale="8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35">
    <tabColor indexed="53"/>
  </sheetPr>
  <dimension ref="A1:Q41"/>
  <sheetViews>
    <sheetView rightToLeft="1" zoomScaleNormal="100" workbookViewId="0">
      <selection activeCell="K22" sqref="K22"/>
    </sheetView>
  </sheetViews>
  <sheetFormatPr defaultRowHeight="13.2"/>
  <cols>
    <col min="1" max="1" width="8.109375" bestFit="1" customWidth="1"/>
    <col min="2" max="2" width="7.5546875" bestFit="1" customWidth="1"/>
    <col min="7" max="7" width="8.21875" bestFit="1" customWidth="1"/>
    <col min="8" max="8" width="10.21875" bestFit="1" customWidth="1"/>
    <col min="11" max="11" width="27" bestFit="1" customWidth="1"/>
    <col min="12" max="17" width="9.109375" style="331" customWidth="1"/>
  </cols>
  <sheetData>
    <row r="1" spans="1:13" ht="21.6">
      <c r="A1" s="1241"/>
      <c r="B1" s="1241"/>
      <c r="C1" s="1241"/>
      <c r="D1" s="1241"/>
      <c r="E1" s="1241"/>
      <c r="F1" s="1241"/>
      <c r="G1" s="1241"/>
      <c r="H1" s="1241"/>
      <c r="I1" s="1241"/>
      <c r="J1" s="1241"/>
      <c r="K1" s="1241"/>
    </row>
    <row r="2" spans="1:13" ht="25.2">
      <c r="A2" s="1242" t="s">
        <v>629</v>
      </c>
      <c r="B2" s="1242"/>
      <c r="C2" s="1242"/>
      <c r="D2" s="1242"/>
      <c r="E2" s="1242"/>
      <c r="F2" s="1242"/>
      <c r="G2" s="1242"/>
      <c r="H2" s="1242"/>
      <c r="I2" s="1242"/>
      <c r="J2" s="1242"/>
      <c r="K2" s="1242"/>
    </row>
    <row r="3" spans="1:13" ht="19.2" thickBot="1">
      <c r="A3" s="1243" t="s">
        <v>382</v>
      </c>
      <c r="B3" s="1243"/>
      <c r="C3" s="1243"/>
      <c r="D3" s="1243"/>
      <c r="E3" s="1243"/>
      <c r="F3" s="1243"/>
      <c r="G3" s="1243"/>
      <c r="H3" s="1243"/>
      <c r="I3" s="1243"/>
      <c r="J3" s="1243"/>
      <c r="K3" s="1243"/>
    </row>
    <row r="4" spans="1:13" ht="18" customHeight="1" thickTop="1" thickBot="1">
      <c r="A4" s="1357" t="s">
        <v>623</v>
      </c>
      <c r="B4" s="1358"/>
      <c r="C4" s="1358"/>
      <c r="D4" s="1359"/>
      <c r="E4" s="1295" t="s">
        <v>624</v>
      </c>
      <c r="F4" s="1296"/>
      <c r="G4" s="1296"/>
      <c r="H4" s="1296"/>
      <c r="I4" s="1299"/>
      <c r="J4" s="1300" t="s">
        <v>625</v>
      </c>
      <c r="K4" s="1280"/>
    </row>
    <row r="5" spans="1:13" ht="13.8" thickTop="1">
      <c r="A5" s="1365" t="s">
        <v>383</v>
      </c>
      <c r="B5" s="1366"/>
      <c r="C5" s="1366"/>
      <c r="D5" s="1367"/>
      <c r="E5" s="1360"/>
      <c r="F5" s="1311"/>
      <c r="G5" s="1311"/>
      <c r="H5" s="1311"/>
      <c r="I5" s="1312"/>
      <c r="J5" s="1316"/>
      <c r="K5" s="1362"/>
    </row>
    <row r="6" spans="1:13" ht="13.8" thickBot="1">
      <c r="A6" s="1368"/>
      <c r="B6" s="1369"/>
      <c r="C6" s="1369"/>
      <c r="D6" s="1370"/>
      <c r="E6" s="1361"/>
      <c r="F6" s="1314"/>
      <c r="G6" s="1314"/>
      <c r="H6" s="1314"/>
      <c r="I6" s="1315"/>
      <c r="J6" s="1363"/>
      <c r="K6" s="1364"/>
    </row>
    <row r="7" spans="1:13" ht="18" customHeight="1">
      <c r="A7" s="1244" t="s">
        <v>384</v>
      </c>
      <c r="B7" s="1245"/>
      <c r="C7" s="1245"/>
      <c r="D7" s="1246"/>
      <c r="E7" s="1247" t="s">
        <v>385</v>
      </c>
      <c r="F7" s="1245"/>
      <c r="G7" s="1245"/>
      <c r="H7" s="1245"/>
      <c r="I7" s="1246"/>
      <c r="J7" s="1371" t="s">
        <v>626</v>
      </c>
      <c r="K7" s="1372"/>
    </row>
    <row r="8" spans="1:13" ht="17.399999999999999" thickBot="1">
      <c r="A8" s="1338" t="s">
        <v>13</v>
      </c>
      <c r="B8" s="1349"/>
      <c r="C8" s="1349"/>
      <c r="D8" s="1350"/>
      <c r="E8" s="1351" t="s">
        <v>630</v>
      </c>
      <c r="F8" s="1349"/>
      <c r="G8" s="1349"/>
      <c r="H8" s="1349"/>
      <c r="I8" s="1350"/>
      <c r="J8" s="1373"/>
      <c r="K8" s="1374"/>
    </row>
    <row r="9" spans="1:13" ht="17.399999999999999" thickBot="1">
      <c r="A9" s="1354" t="s">
        <v>386</v>
      </c>
      <c r="B9" s="1355"/>
      <c r="C9" s="1355"/>
      <c r="D9" s="1355"/>
      <c r="E9" s="1355"/>
      <c r="F9" s="1355"/>
      <c r="G9" s="1355"/>
      <c r="H9" s="1355"/>
      <c r="I9" s="1355"/>
      <c r="J9" s="1355"/>
      <c r="K9" s="1356"/>
    </row>
    <row r="10" spans="1:13" ht="32.4">
      <c r="A10" s="1343" t="s">
        <v>627</v>
      </c>
      <c r="B10" s="1352" t="s">
        <v>387</v>
      </c>
      <c r="C10" s="1353"/>
      <c r="D10" s="1335"/>
      <c r="E10" s="1249" t="s">
        <v>388</v>
      </c>
      <c r="F10" s="1250"/>
      <c r="G10" s="1251"/>
      <c r="H10" s="1244" t="s">
        <v>389</v>
      </c>
      <c r="I10" s="1245"/>
      <c r="J10" s="1246"/>
      <c r="K10" s="300" t="s">
        <v>390</v>
      </c>
      <c r="M10" s="331" t="b">
        <v>0</v>
      </c>
    </row>
    <row r="11" spans="1:13" ht="17.399999999999999" thickBot="1">
      <c r="A11" s="1344"/>
      <c r="B11" s="321"/>
      <c r="C11" s="322"/>
      <c r="D11" s="323"/>
      <c r="E11" s="324"/>
      <c r="F11" s="325"/>
      <c r="G11" s="326"/>
      <c r="H11" s="319"/>
      <c r="I11" s="327"/>
      <c r="J11" s="320"/>
      <c r="K11" s="301"/>
      <c r="M11" s="331" t="b">
        <v>0</v>
      </c>
    </row>
    <row r="12" spans="1:13" ht="17.399999999999999" thickBot="1">
      <c r="A12" s="1345"/>
      <c r="B12" s="1346"/>
      <c r="C12" s="1347"/>
      <c r="D12" s="1341"/>
      <c r="E12" s="1318"/>
      <c r="F12" s="1348"/>
      <c r="G12" s="1342"/>
      <c r="H12" s="1318"/>
      <c r="I12" s="1348"/>
      <c r="J12" s="1319"/>
      <c r="K12" s="321"/>
    </row>
    <row r="13" spans="1:13" ht="22.5" customHeight="1">
      <c r="A13" s="291" t="s">
        <v>391</v>
      </c>
      <c r="B13" s="1332" t="s">
        <v>392</v>
      </c>
      <c r="C13" s="1334" t="s">
        <v>393</v>
      </c>
      <c r="D13" s="1335"/>
      <c r="E13" s="1336" t="s">
        <v>394</v>
      </c>
      <c r="F13" s="1337"/>
      <c r="G13" s="317" t="s">
        <v>395</v>
      </c>
      <c r="H13" s="317" t="s">
        <v>394</v>
      </c>
      <c r="I13" s="305" t="s">
        <v>395</v>
      </c>
      <c r="J13" s="306"/>
      <c r="K13" s="313" t="s">
        <v>396</v>
      </c>
    </row>
    <row r="14" spans="1:13" ht="17.399999999999999" thickBot="1">
      <c r="A14" t="s">
        <v>628</v>
      </c>
      <c r="B14" s="1333"/>
      <c r="C14" s="1330"/>
      <c r="D14" s="1331"/>
      <c r="E14" s="1338" t="s">
        <v>253</v>
      </c>
      <c r="F14" s="1339"/>
      <c r="G14" s="318"/>
      <c r="H14" s="318"/>
      <c r="I14" s="319"/>
      <c r="J14" s="320"/>
      <c r="K14" s="314"/>
    </row>
    <row r="15" spans="1:13" ht="17.399999999999999" thickBot="1">
      <c r="A15" s="292"/>
      <c r="B15" s="293"/>
      <c r="C15" s="1340"/>
      <c r="D15" s="1341"/>
      <c r="E15" s="1318"/>
      <c r="F15" s="1342"/>
      <c r="G15" s="294"/>
      <c r="H15" s="289"/>
      <c r="I15" s="1318"/>
      <c r="J15" s="1319"/>
      <c r="K15" s="328"/>
    </row>
    <row r="16" spans="1:13" ht="18.75" customHeight="1" thickTop="1">
      <c r="A16" s="1320" t="s">
        <v>397</v>
      </c>
      <c r="B16" s="1321"/>
      <c r="C16" s="1247" t="s">
        <v>400</v>
      </c>
      <c r="D16" s="1248"/>
      <c r="E16" s="1249" t="s">
        <v>401</v>
      </c>
      <c r="F16" s="1250"/>
      <c r="G16" s="1251"/>
      <c r="H16" s="1244" t="s">
        <v>403</v>
      </c>
      <c r="I16" s="1245"/>
      <c r="J16" s="1246"/>
      <c r="K16" s="329" t="s">
        <v>404</v>
      </c>
    </row>
    <row r="17" spans="1:11" ht="19.5" customHeight="1">
      <c r="A17" s="1324" t="s">
        <v>398</v>
      </c>
      <c r="B17" s="1325"/>
      <c r="C17" s="314"/>
      <c r="D17" s="316"/>
      <c r="E17" s="1326" t="s">
        <v>402</v>
      </c>
      <c r="F17" s="1327"/>
      <c r="G17" s="1328"/>
      <c r="H17" s="307"/>
      <c r="I17" s="308"/>
      <c r="J17" s="309"/>
      <c r="K17" s="314"/>
    </row>
    <row r="18" spans="1:11" ht="16.2">
      <c r="A18" s="1324"/>
      <c r="B18" s="1325"/>
      <c r="C18" s="301"/>
      <c r="D18" s="302"/>
      <c r="E18" s="1273"/>
      <c r="F18" s="1274"/>
      <c r="G18" s="1275"/>
      <c r="H18" s="307"/>
      <c r="I18" s="308"/>
      <c r="J18" s="309"/>
      <c r="K18" s="314"/>
    </row>
    <row r="19" spans="1:11" ht="15.75" customHeight="1">
      <c r="A19" s="1304" t="s">
        <v>399</v>
      </c>
      <c r="B19" s="1306"/>
      <c r="C19" s="301"/>
      <c r="D19" s="302"/>
      <c r="E19" s="1273"/>
      <c r="F19" s="1274"/>
      <c r="G19" s="1275"/>
      <c r="H19" s="307"/>
      <c r="I19" s="308"/>
      <c r="J19" s="309"/>
      <c r="K19" s="314"/>
    </row>
    <row r="20" spans="1:11" ht="17.399999999999999" thickBot="1">
      <c r="A20" s="1284"/>
      <c r="B20" s="1257"/>
      <c r="C20" s="303"/>
      <c r="D20" s="304"/>
      <c r="E20" s="1285"/>
      <c r="F20" s="1322"/>
      <c r="G20" s="1323"/>
      <c r="H20" s="310"/>
      <c r="I20" s="311"/>
      <c r="J20" s="312"/>
      <c r="K20" s="315"/>
    </row>
    <row r="21" spans="1:11" ht="20.25" customHeight="1" thickTop="1">
      <c r="A21" s="1284"/>
      <c r="B21" s="1257"/>
      <c r="C21" s="1295" t="s">
        <v>405</v>
      </c>
      <c r="D21" s="1296"/>
      <c r="E21" s="1297"/>
      <c r="F21" s="1276" t="s">
        <v>406</v>
      </c>
      <c r="G21" s="1277"/>
      <c r="H21" s="1276" t="s">
        <v>407</v>
      </c>
      <c r="I21" s="1280"/>
      <c r="J21" s="1281"/>
      <c r="K21" s="290"/>
    </row>
    <row r="22" spans="1:11" ht="17.399999999999999" thickBot="1">
      <c r="A22" s="1285"/>
      <c r="B22" s="1286"/>
      <c r="C22" s="303"/>
      <c r="D22" s="330"/>
      <c r="E22" s="304"/>
      <c r="F22" s="1278"/>
      <c r="G22" s="1279"/>
      <c r="H22" s="1278"/>
      <c r="I22" s="1282"/>
      <c r="J22" s="1283"/>
      <c r="K22" s="296" t="s">
        <v>253</v>
      </c>
    </row>
    <row r="23" spans="1:11" ht="18.75" customHeight="1" thickTop="1">
      <c r="A23" s="1298" t="s">
        <v>408</v>
      </c>
      <c r="B23" s="1296"/>
      <c r="C23" s="1299"/>
      <c r="D23" s="1300" t="s">
        <v>409</v>
      </c>
      <c r="E23" s="1277"/>
      <c r="F23" s="1276" t="s">
        <v>410</v>
      </c>
      <c r="G23" s="1277"/>
      <c r="H23" s="1301" t="s">
        <v>411</v>
      </c>
      <c r="I23" s="1302"/>
      <c r="J23" s="1303"/>
      <c r="K23" s="297"/>
    </row>
    <row r="24" spans="1:11" ht="16.2">
      <c r="A24" s="1310"/>
      <c r="B24" s="1311"/>
      <c r="C24" s="1312"/>
      <c r="D24" s="1316"/>
      <c r="E24" s="1317"/>
      <c r="F24" s="1329"/>
      <c r="G24" s="1317"/>
      <c r="H24" s="1304"/>
      <c r="I24" s="1305"/>
      <c r="J24" s="1306"/>
      <c r="K24" s="298" t="s">
        <v>253</v>
      </c>
    </row>
    <row r="25" spans="1:11" ht="13.5" customHeight="1" thickBot="1">
      <c r="A25" s="1313"/>
      <c r="B25" s="1314"/>
      <c r="C25" s="1315"/>
      <c r="D25" s="321"/>
      <c r="E25" s="323"/>
      <c r="F25" s="1330"/>
      <c r="G25" s="1331"/>
      <c r="H25" s="1307"/>
      <c r="I25" s="1308"/>
      <c r="J25" s="1309"/>
      <c r="K25" s="295"/>
    </row>
    <row r="26" spans="1:11" ht="16.8" thickBot="1">
      <c r="A26" s="1287" t="s">
        <v>412</v>
      </c>
      <c r="B26" s="1288"/>
      <c r="C26" s="1289"/>
      <c r="D26" s="1290" t="s">
        <v>413</v>
      </c>
      <c r="E26" s="1288"/>
      <c r="F26" s="1288"/>
      <c r="G26" s="1291"/>
      <c r="H26" s="1292" t="s">
        <v>414</v>
      </c>
      <c r="I26" s="1293"/>
      <c r="J26" s="1294"/>
      <c r="K26" s="299" t="s">
        <v>415</v>
      </c>
    </row>
    <row r="27" spans="1:11" ht="13.8" thickTop="1">
      <c r="A27" s="1252" t="s">
        <v>418</v>
      </c>
      <c r="B27" s="1253"/>
      <c r="C27" s="1253"/>
      <c r="D27" s="1253"/>
      <c r="E27" s="1253"/>
      <c r="F27" s="1253"/>
      <c r="G27" s="1253"/>
      <c r="H27" s="1253"/>
      <c r="I27" s="1253"/>
      <c r="J27" s="1253"/>
      <c r="K27" s="1254"/>
    </row>
    <row r="28" spans="1:11">
      <c r="A28" s="1255"/>
      <c r="B28" s="1256"/>
      <c r="C28" s="1256"/>
      <c r="D28" s="1256"/>
      <c r="E28" s="1256"/>
      <c r="F28" s="1256"/>
      <c r="G28" s="1256"/>
      <c r="H28" s="1256"/>
      <c r="I28" s="1256"/>
      <c r="J28" s="1256"/>
      <c r="K28" s="1257"/>
    </row>
    <row r="29" spans="1:11" ht="13.8" thickBot="1">
      <c r="A29" s="1258"/>
      <c r="B29" s="1259"/>
      <c r="C29" s="1259"/>
      <c r="D29" s="1259"/>
      <c r="E29" s="1259"/>
      <c r="F29" s="1259"/>
      <c r="G29" s="1259"/>
      <c r="H29" s="1259"/>
      <c r="I29" s="1259"/>
      <c r="J29" s="1259"/>
      <c r="K29" s="1260"/>
    </row>
    <row r="30" spans="1:11">
      <c r="A30" s="1264" t="s">
        <v>416</v>
      </c>
      <c r="B30" s="1265"/>
      <c r="C30" s="1265"/>
      <c r="D30" s="1265"/>
      <c r="E30" s="1265"/>
      <c r="F30" s="1265"/>
      <c r="G30" s="1265"/>
      <c r="H30" s="1265"/>
      <c r="I30" s="1265"/>
      <c r="J30" s="1265"/>
      <c r="K30" s="1266"/>
    </row>
    <row r="31" spans="1:11" ht="13.8" thickBot="1">
      <c r="A31" s="1267"/>
      <c r="B31" s="1268"/>
      <c r="C31" s="1268"/>
      <c r="D31" s="1268"/>
      <c r="E31" s="1268"/>
      <c r="F31" s="1268"/>
      <c r="G31" s="1268"/>
      <c r="H31" s="1268"/>
      <c r="I31" s="1268"/>
      <c r="J31" s="1268"/>
      <c r="K31" s="1269"/>
    </row>
    <row r="32" spans="1:11" ht="14.4" thickTop="1">
      <c r="A32" s="1270"/>
      <c r="B32" s="1271"/>
      <c r="C32" s="1271"/>
      <c r="D32" s="1271"/>
      <c r="E32" s="1271"/>
      <c r="F32" s="1271"/>
      <c r="G32" s="1271"/>
      <c r="H32" s="1271"/>
      <c r="I32" s="1271"/>
      <c r="J32" s="1271"/>
      <c r="K32" s="1272"/>
    </row>
    <row r="33" spans="1:11" ht="13.8">
      <c r="A33" s="1235"/>
      <c r="B33" s="1236"/>
      <c r="C33" s="1236"/>
      <c r="D33" s="1236"/>
      <c r="E33" s="1236"/>
      <c r="F33" s="1236"/>
      <c r="G33" s="1236"/>
      <c r="H33" s="1236"/>
      <c r="I33" s="1236"/>
      <c r="J33" s="1236"/>
      <c r="K33" s="1237"/>
    </row>
    <row r="34" spans="1:11" ht="13.8">
      <c r="A34" s="1235"/>
      <c r="B34" s="1236"/>
      <c r="C34" s="1236"/>
      <c r="D34" s="1236"/>
      <c r="E34" s="1236"/>
      <c r="F34" s="1236"/>
      <c r="G34" s="1236"/>
      <c r="H34" s="1236"/>
      <c r="I34" s="1236"/>
      <c r="J34" s="1236"/>
      <c r="K34" s="1237"/>
    </row>
    <row r="35" spans="1:11" ht="13.8">
      <c r="A35" s="1235"/>
      <c r="B35" s="1236"/>
      <c r="C35" s="1236"/>
      <c r="D35" s="1236"/>
      <c r="E35" s="1236"/>
      <c r="F35" s="1236"/>
      <c r="G35" s="1236"/>
      <c r="H35" s="1236"/>
      <c r="I35" s="1236"/>
      <c r="J35" s="1236"/>
      <c r="K35" s="1237"/>
    </row>
    <row r="36" spans="1:11" ht="13.8">
      <c r="A36" s="1235"/>
      <c r="B36" s="1236"/>
      <c r="C36" s="1236"/>
      <c r="D36" s="1236"/>
      <c r="E36" s="1236"/>
      <c r="F36" s="1236"/>
      <c r="G36" s="1236"/>
      <c r="H36" s="1236"/>
      <c r="I36" s="1236"/>
      <c r="J36" s="1236"/>
      <c r="K36" s="1237"/>
    </row>
    <row r="37" spans="1:11" ht="13.8">
      <c r="A37" s="1261"/>
      <c r="B37" s="1262"/>
      <c r="C37" s="1262"/>
      <c r="D37" s="1262"/>
      <c r="E37" s="1262"/>
      <c r="F37" s="1262"/>
      <c r="G37" s="1262"/>
      <c r="H37" s="1262"/>
      <c r="I37" s="1262"/>
      <c r="J37" s="1262"/>
      <c r="K37" s="1263"/>
    </row>
    <row r="38" spans="1:11" ht="13.8">
      <c r="A38" s="1235"/>
      <c r="B38" s="1236"/>
      <c r="C38" s="1236"/>
      <c r="D38" s="1236"/>
      <c r="E38" s="1236"/>
      <c r="F38" s="1236"/>
      <c r="G38" s="1236"/>
      <c r="H38" s="1236"/>
      <c r="I38" s="1236"/>
      <c r="J38" s="1236"/>
      <c r="K38" s="1237"/>
    </row>
    <row r="39" spans="1:11" ht="13.8">
      <c r="A39" s="1235"/>
      <c r="B39" s="1236"/>
      <c r="C39" s="1236"/>
      <c r="D39" s="1236"/>
      <c r="E39" s="1236"/>
      <c r="F39" s="1236"/>
      <c r="G39" s="1236"/>
      <c r="H39" s="1236"/>
      <c r="I39" s="1236"/>
      <c r="J39" s="1236"/>
      <c r="K39" s="1237"/>
    </row>
    <row r="40" spans="1:11" ht="30" customHeight="1" thickBot="1">
      <c r="A40" s="1238" t="s">
        <v>417</v>
      </c>
      <c r="B40" s="1239"/>
      <c r="C40" s="1239"/>
      <c r="D40" s="1239"/>
      <c r="E40" s="1239"/>
      <c r="F40" s="1239"/>
      <c r="G40" s="1239"/>
      <c r="H40" s="1239"/>
      <c r="I40" s="1239"/>
      <c r="J40" s="1239"/>
      <c r="K40" s="1240"/>
    </row>
    <row r="41" spans="1:11" ht="13.8" thickTop="1"/>
  </sheetData>
  <mergeCells count="65">
    <mergeCell ref="A4:D4"/>
    <mergeCell ref="E4:I6"/>
    <mergeCell ref="J4:K6"/>
    <mergeCell ref="A5:D6"/>
    <mergeCell ref="J7:K8"/>
    <mergeCell ref="A10:A12"/>
    <mergeCell ref="B12:D12"/>
    <mergeCell ref="E12:G12"/>
    <mergeCell ref="H12:J12"/>
    <mergeCell ref="A7:D7"/>
    <mergeCell ref="A8:D8"/>
    <mergeCell ref="E7:I7"/>
    <mergeCell ref="E8:I8"/>
    <mergeCell ref="B10:D10"/>
    <mergeCell ref="H10:J10"/>
    <mergeCell ref="A9:K9"/>
    <mergeCell ref="F24:G25"/>
    <mergeCell ref="B13:B14"/>
    <mergeCell ref="C13:D14"/>
    <mergeCell ref="E13:F13"/>
    <mergeCell ref="E14:F14"/>
    <mergeCell ref="C15:D15"/>
    <mergeCell ref="E15:F15"/>
    <mergeCell ref="I15:J15"/>
    <mergeCell ref="A16:B16"/>
    <mergeCell ref="E16:G16"/>
    <mergeCell ref="E20:G20"/>
    <mergeCell ref="A17:B17"/>
    <mergeCell ref="A18:B18"/>
    <mergeCell ref="A19:B19"/>
    <mergeCell ref="A20:B20"/>
    <mergeCell ref="E17:G17"/>
    <mergeCell ref="E18:G18"/>
    <mergeCell ref="A34:K34"/>
    <mergeCell ref="E19:G19"/>
    <mergeCell ref="F21:G22"/>
    <mergeCell ref="H21:J22"/>
    <mergeCell ref="A21:B21"/>
    <mergeCell ref="A22:B22"/>
    <mergeCell ref="A26:C26"/>
    <mergeCell ref="D26:G26"/>
    <mergeCell ref="H26:J26"/>
    <mergeCell ref="C21:E21"/>
    <mergeCell ref="A23:C23"/>
    <mergeCell ref="D23:E23"/>
    <mergeCell ref="F23:G23"/>
    <mergeCell ref="H23:J25"/>
    <mergeCell ref="A24:C25"/>
    <mergeCell ref="D24:E24"/>
    <mergeCell ref="A39:K39"/>
    <mergeCell ref="A40:K40"/>
    <mergeCell ref="A1:K1"/>
    <mergeCell ref="A2:K2"/>
    <mergeCell ref="A3:K3"/>
    <mergeCell ref="H16:J16"/>
    <mergeCell ref="C16:D16"/>
    <mergeCell ref="E10:G10"/>
    <mergeCell ref="A35:K35"/>
    <mergeCell ref="A36:K36"/>
    <mergeCell ref="A27:K29"/>
    <mergeCell ref="A37:K37"/>
    <mergeCell ref="A38:K38"/>
    <mergeCell ref="A30:K31"/>
    <mergeCell ref="A32:K32"/>
    <mergeCell ref="A33:K33"/>
  </mergeCells>
  <phoneticPr fontId="5" type="noConversion"/>
  <pageMargins left="0.75" right="0.75" top="1" bottom="1" header="0.5" footer="0.5"/>
  <pageSetup paperSize="9" scale="7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0" r:id="rId4" name="Check Box 2">
              <controlPr defaultSize="0" autoFill="0" autoLine="0" autoPict="0">
                <anchor>
                  <from>
                    <xdr:col>8</xdr:col>
                    <xdr:colOff>15240</xdr:colOff>
                    <xdr:row>26</xdr:row>
                    <xdr:rowOff>76200</xdr:rowOff>
                  </from>
                  <to>
                    <xdr:col>8</xdr:col>
                    <xdr:colOff>327660</xdr:colOff>
                    <xdr:row>27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5" name="Check Box 3">
              <controlPr defaultSize="0" autoFill="0" autoLine="0" autoPict="0">
                <anchor>
                  <from>
                    <xdr:col>10</xdr:col>
                    <xdr:colOff>381000</xdr:colOff>
                    <xdr:row>26</xdr:row>
                    <xdr:rowOff>45720</xdr:rowOff>
                  </from>
                  <to>
                    <xdr:col>10</xdr:col>
                    <xdr:colOff>685800</xdr:colOff>
                    <xdr:row>27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37">
    <tabColor indexed="53"/>
  </sheetPr>
  <dimension ref="A1:U24"/>
  <sheetViews>
    <sheetView rightToLeft="1" zoomScaleNormal="100" workbookViewId="0">
      <selection activeCell="B12" sqref="B12"/>
    </sheetView>
  </sheetViews>
  <sheetFormatPr defaultColWidth="9.109375" defaultRowHeight="13.2"/>
  <cols>
    <col min="1" max="1" width="19.33203125" style="18" bestFit="1" customWidth="1"/>
    <col min="2" max="2" width="8.109375" style="18" bestFit="1" customWidth="1"/>
    <col min="3" max="12" width="7.5546875" style="18" customWidth="1"/>
    <col min="13" max="16" width="7" style="18" hidden="1" customWidth="1"/>
    <col min="17" max="19" width="0" style="18" hidden="1" customWidth="1"/>
    <col min="20" max="16384" width="9.109375" style="18"/>
  </cols>
  <sheetData>
    <row r="1" spans="1:21" ht="14.25" customHeight="1"/>
    <row r="2" spans="1:21" ht="24" customHeight="1">
      <c r="A2" s="1375" t="s">
        <v>479</v>
      </c>
      <c r="B2" s="1375"/>
      <c r="C2" s="1375"/>
      <c r="D2" s="1375"/>
      <c r="E2" s="1375"/>
      <c r="F2" s="1375"/>
      <c r="G2" s="1375"/>
      <c r="H2" s="1375"/>
      <c r="I2" s="1375"/>
      <c r="J2" s="1375"/>
      <c r="K2" s="1375"/>
    </row>
    <row r="3" spans="1:21" ht="14.25" customHeight="1" thickBot="1"/>
    <row r="4" spans="1:21" ht="24.9" customHeight="1">
      <c r="A4" s="492" t="s">
        <v>13</v>
      </c>
      <c r="B4" s="493" t="str">
        <f>'برآورد فروش'!B2</f>
        <v>سال بهره برداری</v>
      </c>
      <c r="C4" s="493" t="str">
        <f>'برآورد فروش'!C2</f>
        <v xml:space="preserve">سال اول </v>
      </c>
      <c r="D4" s="493" t="str">
        <f>'برآورد فروش'!D2</f>
        <v>سال دوم</v>
      </c>
      <c r="E4" s="493" t="str">
        <f>'برآورد فروش'!E2</f>
        <v>سال سوم</v>
      </c>
      <c r="F4" s="493" t="str">
        <f>'برآورد فروش'!F2</f>
        <v>سال چهارم</v>
      </c>
      <c r="G4" s="493" t="str">
        <f>'برآورد فروش'!G2</f>
        <v>سال پنجم</v>
      </c>
      <c r="H4" s="493" t="str">
        <f>'برآورد فروش'!H2</f>
        <v>سال ششم</v>
      </c>
      <c r="I4" s="493" t="str">
        <f>'برآورد فروش'!I2</f>
        <v>سال هفتم</v>
      </c>
      <c r="J4" s="493" t="str">
        <f>'برآورد فروش'!J2</f>
        <v>سال هشتم</v>
      </c>
      <c r="K4" s="493" t="str">
        <f>'برآورد فروش'!K2</f>
        <v>سال نهم</v>
      </c>
      <c r="L4" s="493" t="str">
        <f>'برآورد فروش'!L2</f>
        <v>سال دهم</v>
      </c>
      <c r="M4" s="493">
        <v>12</v>
      </c>
      <c r="N4" s="493">
        <v>13</v>
      </c>
      <c r="O4" s="493">
        <v>14</v>
      </c>
      <c r="P4" s="494">
        <v>15</v>
      </c>
      <c r="T4" s="495" t="b">
        <v>1</v>
      </c>
    </row>
    <row r="5" spans="1:21" ht="24.9" customHeight="1">
      <c r="A5" s="496" t="s">
        <v>278</v>
      </c>
      <c r="B5" s="497">
        <v>0</v>
      </c>
      <c r="C5" s="497">
        <v>0</v>
      </c>
      <c r="D5" s="497">
        <v>0</v>
      </c>
      <c r="E5" s="497">
        <v>0</v>
      </c>
      <c r="F5" s="497">
        <v>0</v>
      </c>
      <c r="G5" s="497">
        <v>0</v>
      </c>
      <c r="H5" s="497">
        <v>0</v>
      </c>
      <c r="I5" s="497">
        <v>0</v>
      </c>
      <c r="J5" s="497">
        <v>0</v>
      </c>
      <c r="K5" s="497">
        <v>0</v>
      </c>
      <c r="L5" s="497">
        <v>0</v>
      </c>
      <c r="M5" s="497">
        <v>0</v>
      </c>
      <c r="N5" s="497">
        <v>0</v>
      </c>
      <c r="O5" s="497">
        <v>0</v>
      </c>
      <c r="P5" s="498">
        <v>0</v>
      </c>
      <c r="T5" s="495" t="b">
        <v>0</v>
      </c>
    </row>
    <row r="6" spans="1:21" ht="24.9" customHeight="1" thickBot="1">
      <c r="A6" s="499" t="s">
        <v>419</v>
      </c>
      <c r="B6" s="500">
        <v>0</v>
      </c>
      <c r="C6" s="500">
        <v>0</v>
      </c>
      <c r="D6" s="500">
        <v>0</v>
      </c>
      <c r="E6" s="500">
        <v>0</v>
      </c>
      <c r="F6" s="500">
        <v>0</v>
      </c>
      <c r="G6" s="500">
        <v>0</v>
      </c>
      <c r="H6" s="500">
        <v>0</v>
      </c>
      <c r="I6" s="500">
        <v>0</v>
      </c>
      <c r="J6" s="500">
        <v>0</v>
      </c>
      <c r="K6" s="500">
        <v>0</v>
      </c>
      <c r="L6" s="500">
        <v>0</v>
      </c>
      <c r="M6" s="500">
        <v>0</v>
      </c>
      <c r="N6" s="500">
        <v>0</v>
      </c>
      <c r="O6" s="500">
        <v>0</v>
      </c>
      <c r="P6" s="501">
        <v>0</v>
      </c>
    </row>
    <row r="7" spans="1:21" ht="24.9" customHeight="1">
      <c r="B7" s="502"/>
      <c r="C7" s="502"/>
      <c r="D7" s="502"/>
      <c r="E7" s="502"/>
      <c r="F7" s="502"/>
      <c r="G7" s="502"/>
      <c r="H7" s="502"/>
      <c r="I7" s="502"/>
      <c r="J7" s="502"/>
      <c r="K7" s="502"/>
      <c r="L7" s="502"/>
      <c r="M7" s="502"/>
      <c r="N7" s="502"/>
      <c r="O7" s="502"/>
      <c r="P7" s="502"/>
      <c r="T7" s="495" t="b">
        <v>1</v>
      </c>
    </row>
    <row r="8" spans="1:21" ht="24.9" customHeight="1">
      <c r="A8" s="18" t="s">
        <v>284</v>
      </c>
      <c r="B8" s="503">
        <v>0</v>
      </c>
      <c r="C8" s="503">
        <v>0</v>
      </c>
      <c r="D8" s="503">
        <v>0</v>
      </c>
      <c r="E8" s="503">
        <v>0</v>
      </c>
      <c r="F8" s="503">
        <v>0</v>
      </c>
      <c r="G8" s="503">
        <v>0</v>
      </c>
      <c r="H8" s="503">
        <v>0</v>
      </c>
      <c r="I8" s="503">
        <v>0</v>
      </c>
      <c r="J8" s="503">
        <v>0</v>
      </c>
      <c r="K8" s="503">
        <v>0</v>
      </c>
      <c r="L8" s="503">
        <v>0</v>
      </c>
      <c r="M8" s="503">
        <v>0</v>
      </c>
      <c r="N8" s="503">
        <v>0</v>
      </c>
      <c r="O8" s="503">
        <v>0</v>
      </c>
      <c r="P8" s="503">
        <v>0</v>
      </c>
      <c r="T8" s="495" t="b">
        <v>0</v>
      </c>
    </row>
    <row r="9" spans="1:21" ht="24.9" customHeight="1">
      <c r="B9" s="504"/>
      <c r="T9" s="495" t="b">
        <v>0</v>
      </c>
    </row>
    <row r="10" spans="1:21" ht="24.9" customHeight="1">
      <c r="A10" s="18" t="s">
        <v>487</v>
      </c>
      <c r="B10" s="532"/>
      <c r="C10" s="533"/>
      <c r="D10" s="533"/>
      <c r="E10" s="533"/>
      <c r="F10" s="533"/>
      <c r="G10" s="533"/>
      <c r="H10" s="533"/>
      <c r="I10" s="533"/>
      <c r="J10" s="533"/>
      <c r="K10" s="533"/>
      <c r="L10" s="533"/>
      <c r="T10" s="495"/>
    </row>
    <row r="11" spans="1:21" ht="24.9" customHeight="1">
      <c r="B11" s="504"/>
      <c r="T11" s="495" t="b">
        <v>0</v>
      </c>
      <c r="U11" s="495">
        <f>IF(T11=FALSE,0,1)</f>
        <v>0</v>
      </c>
    </row>
    <row r="12" spans="1:21" ht="24.9" customHeight="1">
      <c r="A12" s="18" t="s">
        <v>307</v>
      </c>
      <c r="B12" s="503">
        <v>0.19</v>
      </c>
      <c r="T12" s="495" t="b">
        <v>0</v>
      </c>
      <c r="U12" s="495">
        <f t="shared" ref="U12:U21" si="0">IF(T12=FALSE,0,1)</f>
        <v>0</v>
      </c>
    </row>
    <row r="13" spans="1:21" ht="24.9" customHeight="1">
      <c r="A13" s="18" t="s">
        <v>308</v>
      </c>
      <c r="B13" s="503">
        <v>0.24</v>
      </c>
      <c r="T13" s="495" t="b">
        <v>0</v>
      </c>
      <c r="U13" s="495">
        <f t="shared" si="0"/>
        <v>0</v>
      </c>
    </row>
    <row r="14" spans="1:21" ht="24.9" customHeight="1">
      <c r="B14" s="504"/>
      <c r="T14" s="495" t="b">
        <v>0</v>
      </c>
      <c r="U14" s="495">
        <f t="shared" si="0"/>
        <v>0</v>
      </c>
    </row>
    <row r="15" spans="1:21" ht="24.9" customHeight="1">
      <c r="A15" s="18" t="s">
        <v>463</v>
      </c>
      <c r="B15" s="504" t="s">
        <v>464</v>
      </c>
      <c r="T15" s="495" t="b">
        <v>0</v>
      </c>
      <c r="U15" s="495">
        <f t="shared" si="0"/>
        <v>0</v>
      </c>
    </row>
    <row r="16" spans="1:21" ht="24.9" customHeight="1">
      <c r="B16" s="504" t="s">
        <v>465</v>
      </c>
      <c r="T16" s="495" t="b">
        <v>0</v>
      </c>
      <c r="U16" s="495">
        <f t="shared" si="0"/>
        <v>0</v>
      </c>
    </row>
    <row r="17" spans="1:21" ht="24.9" customHeight="1">
      <c r="B17" s="504"/>
      <c r="T17" s="495" t="b">
        <v>0</v>
      </c>
      <c r="U17" s="495">
        <f t="shared" si="0"/>
        <v>0</v>
      </c>
    </row>
    <row r="18" spans="1:21" ht="24.9" customHeight="1">
      <c r="A18" s="18" t="s">
        <v>476</v>
      </c>
      <c r="B18" s="504" t="s">
        <v>464</v>
      </c>
      <c r="T18" s="495" t="b">
        <v>0</v>
      </c>
      <c r="U18" s="495">
        <f t="shared" si="0"/>
        <v>0</v>
      </c>
    </row>
    <row r="19" spans="1:21" ht="24.9" customHeight="1">
      <c r="B19" s="504" t="s">
        <v>481</v>
      </c>
      <c r="T19" s="495" t="b">
        <v>0</v>
      </c>
      <c r="U19" s="495">
        <f t="shared" si="0"/>
        <v>0</v>
      </c>
    </row>
    <row r="20" spans="1:21" ht="24.9" customHeight="1">
      <c r="B20" s="504" t="s">
        <v>482</v>
      </c>
      <c r="T20" s="495" t="b">
        <v>0</v>
      </c>
      <c r="U20" s="495">
        <f t="shared" si="0"/>
        <v>0</v>
      </c>
    </row>
    <row r="21" spans="1:21" ht="24.9" customHeight="1">
      <c r="B21" s="504"/>
      <c r="T21" s="495" t="b">
        <v>0</v>
      </c>
      <c r="U21" s="495">
        <f t="shared" si="0"/>
        <v>0</v>
      </c>
    </row>
    <row r="22" spans="1:21" ht="26.25" customHeight="1">
      <c r="A22" s="18" t="s">
        <v>495</v>
      </c>
      <c r="B22" s="18">
        <v>0</v>
      </c>
      <c r="C22" s="18" t="s">
        <v>475</v>
      </c>
      <c r="U22" s="495">
        <f>SUM(U11:U21)</f>
        <v>0</v>
      </c>
    </row>
    <row r="23" spans="1:21" ht="26.25" customHeight="1">
      <c r="A23" s="18" t="s">
        <v>497</v>
      </c>
      <c r="B23" s="18">
        <v>0</v>
      </c>
      <c r="C23" s="18" t="s">
        <v>475</v>
      </c>
      <c r="U23" s="495"/>
    </row>
    <row r="24" spans="1:21" ht="26.25" customHeight="1">
      <c r="A24" s="18" t="s">
        <v>331</v>
      </c>
      <c r="B24" s="504">
        <v>0</v>
      </c>
      <c r="C24" s="18" t="s">
        <v>24</v>
      </c>
      <c r="U24" s="495"/>
    </row>
  </sheetData>
  <mergeCells count="1">
    <mergeCell ref="A2:K2"/>
  </mergeCells>
  <phoneticPr fontId="5" type="noConversion"/>
  <printOptions horizontalCentered="1"/>
  <pageMargins left="0.39370078740157483" right="0.39370078740157483" top="1.7716535433070868" bottom="0.39370078740157483" header="0.51181102362204722" footer="0.51181102362204722"/>
  <pageSetup paperSize="9" scale="9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>
                  <from>
                    <xdr:col>2</xdr:col>
                    <xdr:colOff>30480</xdr:colOff>
                    <xdr:row>14</xdr:row>
                    <xdr:rowOff>45720</xdr:rowOff>
                  </from>
                  <to>
                    <xdr:col>2</xdr:col>
                    <xdr:colOff>335280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>
                  <from>
                    <xdr:col>2</xdr:col>
                    <xdr:colOff>38100</xdr:colOff>
                    <xdr:row>15</xdr:row>
                    <xdr:rowOff>68580</xdr:rowOff>
                  </from>
                  <to>
                    <xdr:col>2</xdr:col>
                    <xdr:colOff>342900</xdr:colOff>
                    <xdr:row>15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>
                  <from>
                    <xdr:col>2</xdr:col>
                    <xdr:colOff>60960</xdr:colOff>
                    <xdr:row>17</xdr:row>
                    <xdr:rowOff>45720</xdr:rowOff>
                  </from>
                  <to>
                    <xdr:col>2</xdr:col>
                    <xdr:colOff>365760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>
                  <from>
                    <xdr:col>2</xdr:col>
                    <xdr:colOff>68580</xdr:colOff>
                    <xdr:row>18</xdr:row>
                    <xdr:rowOff>45720</xdr:rowOff>
                  </from>
                  <to>
                    <xdr:col>2</xdr:col>
                    <xdr:colOff>373380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>
                  <from>
                    <xdr:col>2</xdr:col>
                    <xdr:colOff>83820</xdr:colOff>
                    <xdr:row>19</xdr:row>
                    <xdr:rowOff>45720</xdr:rowOff>
                  </from>
                  <to>
                    <xdr:col>2</xdr:col>
                    <xdr:colOff>388620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>
                  <from>
                    <xdr:col>1</xdr:col>
                    <xdr:colOff>114300</xdr:colOff>
                    <xdr:row>9</xdr:row>
                    <xdr:rowOff>45720</xdr:rowOff>
                  </from>
                  <to>
                    <xdr:col>1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>
                  <from>
                    <xdr:col>2</xdr:col>
                    <xdr:colOff>114300</xdr:colOff>
                    <xdr:row>9</xdr:row>
                    <xdr:rowOff>45720</xdr:rowOff>
                  </from>
                  <to>
                    <xdr:col>2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0" r:id="rId11" name="Check Box 16">
              <controlPr defaultSize="0" autoFill="0" autoLine="0" autoPict="0">
                <anchor>
                  <from>
                    <xdr:col>3</xdr:col>
                    <xdr:colOff>114300</xdr:colOff>
                    <xdr:row>9</xdr:row>
                    <xdr:rowOff>45720</xdr:rowOff>
                  </from>
                  <to>
                    <xdr:col>3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12" name="Check Box 17">
              <controlPr defaultSize="0" autoFill="0" autoLine="0" autoPict="0">
                <anchor>
                  <from>
                    <xdr:col>4</xdr:col>
                    <xdr:colOff>114300</xdr:colOff>
                    <xdr:row>9</xdr:row>
                    <xdr:rowOff>45720</xdr:rowOff>
                  </from>
                  <to>
                    <xdr:col>4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2" r:id="rId13" name="Check Box 18">
              <controlPr defaultSize="0" autoFill="0" autoLine="0" autoPict="0">
                <anchor>
                  <from>
                    <xdr:col>5</xdr:col>
                    <xdr:colOff>114300</xdr:colOff>
                    <xdr:row>9</xdr:row>
                    <xdr:rowOff>45720</xdr:rowOff>
                  </from>
                  <to>
                    <xdr:col>5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3" r:id="rId14" name="Check Box 19">
              <controlPr defaultSize="0" autoFill="0" autoLine="0" autoPict="0">
                <anchor>
                  <from>
                    <xdr:col>6</xdr:col>
                    <xdr:colOff>114300</xdr:colOff>
                    <xdr:row>9</xdr:row>
                    <xdr:rowOff>45720</xdr:rowOff>
                  </from>
                  <to>
                    <xdr:col>6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4" r:id="rId15" name="Check Box 20">
              <controlPr defaultSize="0" autoFill="0" autoLine="0" autoPict="0">
                <anchor>
                  <from>
                    <xdr:col>7</xdr:col>
                    <xdr:colOff>114300</xdr:colOff>
                    <xdr:row>9</xdr:row>
                    <xdr:rowOff>45720</xdr:rowOff>
                  </from>
                  <to>
                    <xdr:col>7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5" r:id="rId16" name="Check Box 21">
              <controlPr defaultSize="0" autoFill="0" autoLine="0" autoPict="0">
                <anchor>
                  <from>
                    <xdr:col>8</xdr:col>
                    <xdr:colOff>114300</xdr:colOff>
                    <xdr:row>9</xdr:row>
                    <xdr:rowOff>45720</xdr:rowOff>
                  </from>
                  <to>
                    <xdr:col>8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6" r:id="rId17" name="Check Box 22">
              <controlPr defaultSize="0" autoFill="0" autoLine="0" autoPict="0">
                <anchor>
                  <from>
                    <xdr:col>9</xdr:col>
                    <xdr:colOff>114300</xdr:colOff>
                    <xdr:row>9</xdr:row>
                    <xdr:rowOff>45720</xdr:rowOff>
                  </from>
                  <to>
                    <xdr:col>9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7" r:id="rId18" name="Check Box 23">
              <controlPr defaultSize="0" autoFill="0" autoLine="0" autoPict="0">
                <anchor>
                  <from>
                    <xdr:col>10</xdr:col>
                    <xdr:colOff>114300</xdr:colOff>
                    <xdr:row>9</xdr:row>
                    <xdr:rowOff>45720</xdr:rowOff>
                  </from>
                  <to>
                    <xdr:col>10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8" r:id="rId19" name="Check Box 24">
              <controlPr defaultSize="0" autoFill="0" autoLine="0" autoPict="0">
                <anchor>
                  <from>
                    <xdr:col>11</xdr:col>
                    <xdr:colOff>114300</xdr:colOff>
                    <xdr:row>9</xdr:row>
                    <xdr:rowOff>45720</xdr:rowOff>
                  </from>
                  <to>
                    <xdr:col>11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0"/>
  <dimension ref="A1:O20"/>
  <sheetViews>
    <sheetView rightToLeft="1" view="pageBreakPreview" zoomScale="115" zoomScaleNormal="100" workbookViewId="0">
      <selection activeCell="E10" sqref="E10"/>
    </sheetView>
  </sheetViews>
  <sheetFormatPr defaultColWidth="14.5546875" defaultRowHeight="17.399999999999999"/>
  <cols>
    <col min="1" max="1" width="3.33203125" style="66" customWidth="1"/>
    <col min="2" max="2" width="18.44140625" style="66" customWidth="1"/>
    <col min="3" max="5" width="9.5546875" style="66" customWidth="1"/>
    <col min="6" max="6" width="20" style="66" bestFit="1" customWidth="1"/>
    <col min="7" max="7" width="12.109375" style="66" customWidth="1"/>
    <col min="8" max="8" width="15.5546875" style="66" bestFit="1" customWidth="1"/>
    <col min="9" max="9" width="12.109375" style="66" customWidth="1"/>
    <col min="10" max="10" width="8.44140625" style="66" hidden="1" customWidth="1"/>
    <col min="11" max="13" width="14.5546875" style="66" hidden="1" customWidth="1"/>
    <col min="14" max="14" width="8.33203125" style="66" bestFit="1" customWidth="1"/>
    <col min="15" max="16384" width="14.5546875" style="66"/>
  </cols>
  <sheetData>
    <row r="1" spans="1:15" ht="36.75" customHeight="1" thickBot="1">
      <c r="A1" s="896" t="s">
        <v>323</v>
      </c>
      <c r="B1" s="896"/>
      <c r="C1" s="896"/>
      <c r="D1" s="896"/>
      <c r="E1" s="896"/>
      <c r="F1" s="896"/>
      <c r="G1" s="896"/>
      <c r="H1" s="896"/>
      <c r="I1" s="896"/>
    </row>
    <row r="2" spans="1:15" ht="36.75" customHeight="1">
      <c r="A2" s="920" t="s">
        <v>6</v>
      </c>
      <c r="B2" s="915" t="s">
        <v>20</v>
      </c>
      <c r="C2" s="918" t="s">
        <v>113</v>
      </c>
      <c r="D2" s="918" t="s">
        <v>42</v>
      </c>
      <c r="E2" s="918"/>
      <c r="F2" s="918" t="s">
        <v>163</v>
      </c>
      <c r="G2" s="925" t="s">
        <v>114</v>
      </c>
      <c r="H2" s="925"/>
      <c r="I2" s="917" t="s">
        <v>8</v>
      </c>
    </row>
    <row r="3" spans="1:15" ht="36.75" customHeight="1">
      <c r="A3" s="921"/>
      <c r="B3" s="906"/>
      <c r="C3" s="919"/>
      <c r="D3" s="45" t="s">
        <v>101</v>
      </c>
      <c r="E3" s="45" t="s">
        <v>26</v>
      </c>
      <c r="F3" s="919"/>
      <c r="G3" s="45" t="s">
        <v>101</v>
      </c>
      <c r="H3" s="45" t="s">
        <v>26</v>
      </c>
      <c r="I3" s="926"/>
    </row>
    <row r="4" spans="1:15" ht="23.25" customHeight="1">
      <c r="A4" s="69">
        <v>1</v>
      </c>
      <c r="B4" s="57" t="s">
        <v>33</v>
      </c>
      <c r="C4" s="927" t="s">
        <v>556</v>
      </c>
      <c r="D4" s="928"/>
      <c r="E4" s="928"/>
      <c r="F4" s="929"/>
      <c r="G4" s="652">
        <f>'جزئيات تاسيسات'!G12</f>
        <v>0</v>
      </c>
      <c r="H4" s="652">
        <f>'جزئيات تاسيسات'!H12</f>
        <v>0</v>
      </c>
      <c r="I4" s="655">
        <f>'جزئيات تاسيسات'!I12</f>
        <v>0</v>
      </c>
      <c r="J4" s="70"/>
    </row>
    <row r="5" spans="1:15" ht="23.25" customHeight="1">
      <c r="A5" s="69">
        <v>2</v>
      </c>
      <c r="B5" s="57" t="s">
        <v>34</v>
      </c>
      <c r="C5" s="927" t="s">
        <v>556</v>
      </c>
      <c r="D5" s="928"/>
      <c r="E5" s="928"/>
      <c r="F5" s="929"/>
      <c r="G5" s="652">
        <f>'جزئيات تاسيسات'!G22</f>
        <v>0</v>
      </c>
      <c r="H5" s="652">
        <f>'جزئيات تاسيسات'!H22</f>
        <v>0</v>
      </c>
      <c r="I5" s="655">
        <f>'جزئيات تاسيسات'!I22</f>
        <v>0</v>
      </c>
      <c r="J5" s="70"/>
    </row>
    <row r="6" spans="1:15" ht="23.25" customHeight="1">
      <c r="A6" s="69">
        <v>3</v>
      </c>
      <c r="B6" s="57" t="s">
        <v>74</v>
      </c>
      <c r="C6" s="927" t="s">
        <v>556</v>
      </c>
      <c r="D6" s="928"/>
      <c r="E6" s="928"/>
      <c r="F6" s="929"/>
      <c r="G6" s="652">
        <f>'جزئيات تاسيسات'!G34</f>
        <v>0</v>
      </c>
      <c r="H6" s="652">
        <f>'جزئيات تاسيسات'!H34</f>
        <v>0</v>
      </c>
      <c r="I6" s="655">
        <f>'جزئيات تاسيسات'!I34</f>
        <v>0</v>
      </c>
      <c r="J6" s="71" t="e">
        <f>'جزئيات تاسيسات'!#REF!</f>
        <v>#REF!</v>
      </c>
      <c r="K6" s="72" t="e">
        <f>'جزئيات تاسيسات'!#REF!</f>
        <v>#REF!</v>
      </c>
      <c r="L6" s="72" t="e">
        <f>'جزئيات تاسيسات'!#REF!</f>
        <v>#REF!</v>
      </c>
      <c r="M6" s="72" t="e">
        <f>'جزئيات تاسيسات'!#REF!</f>
        <v>#REF!</v>
      </c>
      <c r="N6" s="72" t="e">
        <f>'جزئيات تاسيسات'!#REF!</f>
        <v>#REF!</v>
      </c>
    </row>
    <row r="7" spans="1:15" ht="23.25" hidden="1" customHeight="1">
      <c r="A7" s="69">
        <v>3</v>
      </c>
      <c r="B7" s="57" t="s">
        <v>581</v>
      </c>
      <c r="C7" s="57"/>
      <c r="D7" s="651">
        <v>1</v>
      </c>
      <c r="E7" s="651">
        <v>0</v>
      </c>
      <c r="F7" s="651">
        <v>0</v>
      </c>
      <c r="G7" s="652">
        <f>D7*F7</f>
        <v>0</v>
      </c>
      <c r="H7" s="652">
        <f>E7*F7</f>
        <v>0</v>
      </c>
      <c r="I7" s="655">
        <f>G7+H7</f>
        <v>0</v>
      </c>
      <c r="J7" s="70"/>
      <c r="K7" s="66">
        <v>2</v>
      </c>
      <c r="L7" s="66">
        <v>6300</v>
      </c>
      <c r="M7" s="66">
        <f>L7*K7/1000</f>
        <v>12.6</v>
      </c>
    </row>
    <row r="8" spans="1:15" ht="23.25" customHeight="1">
      <c r="A8" s="69">
        <v>4</v>
      </c>
      <c r="B8" s="57" t="s">
        <v>75</v>
      </c>
      <c r="C8" s="927" t="s">
        <v>556</v>
      </c>
      <c r="D8" s="928"/>
      <c r="E8" s="928"/>
      <c r="F8" s="929"/>
      <c r="G8" s="652">
        <v>0</v>
      </c>
      <c r="H8" s="652">
        <f>'جزئيات تاسيسات'!H60</f>
        <v>0</v>
      </c>
      <c r="I8" s="655">
        <f>'جزئيات تاسيسات'!I60</f>
        <v>0</v>
      </c>
      <c r="J8" s="71">
        <f>'جزئيات تاسيسات'!J60</f>
        <v>0</v>
      </c>
      <c r="K8" s="72">
        <f>'جزئيات تاسيسات'!K60</f>
        <v>0</v>
      </c>
      <c r="L8" s="72">
        <f>'جزئيات تاسيسات'!L60</f>
        <v>0</v>
      </c>
      <c r="M8" s="72">
        <f>'جزئيات تاسيسات'!M60</f>
        <v>0</v>
      </c>
      <c r="N8" s="72">
        <f>'جزئيات تاسيسات'!N60</f>
        <v>0</v>
      </c>
      <c r="O8" s="647"/>
    </row>
    <row r="9" spans="1:15" ht="23.25" customHeight="1">
      <c r="A9" s="69">
        <v>5</v>
      </c>
      <c r="B9" s="57" t="s">
        <v>29</v>
      </c>
      <c r="C9" s="927" t="s">
        <v>556</v>
      </c>
      <c r="D9" s="928"/>
      <c r="E9" s="928"/>
      <c r="F9" s="929"/>
      <c r="G9" s="652">
        <f>'جزئيات تاسيسات'!G49</f>
        <v>0</v>
      </c>
      <c r="H9" s="652">
        <f>'جزئيات تاسيسات'!H49</f>
        <v>0</v>
      </c>
      <c r="I9" s="655">
        <f>'جزئيات تاسيسات'!I49</f>
        <v>0</v>
      </c>
      <c r="J9" s="70"/>
      <c r="K9" s="66">
        <v>1</v>
      </c>
      <c r="L9" s="66">
        <v>4500</v>
      </c>
      <c r="M9" s="66">
        <f>L9*K9/1000</f>
        <v>4.5</v>
      </c>
    </row>
    <row r="10" spans="1:15" ht="23.25" customHeight="1">
      <c r="A10" s="69">
        <v>6</v>
      </c>
      <c r="B10" s="57" t="s">
        <v>594</v>
      </c>
      <c r="C10" s="57"/>
      <c r="D10" s="651"/>
      <c r="E10" s="651">
        <v>0</v>
      </c>
      <c r="F10" s="651"/>
      <c r="G10" s="652">
        <v>0</v>
      </c>
      <c r="H10" s="652">
        <f>E10*F10</f>
        <v>0</v>
      </c>
      <c r="I10" s="655">
        <f>G10+H10</f>
        <v>0</v>
      </c>
      <c r="J10" s="70"/>
      <c r="K10" s="66">
        <v>1</v>
      </c>
      <c r="L10" s="66">
        <v>725</v>
      </c>
      <c r="M10" s="66">
        <f>L10*K10/1000</f>
        <v>0.72499999999999998</v>
      </c>
    </row>
    <row r="11" spans="1:15" ht="36.75" hidden="1" customHeight="1">
      <c r="A11" s="69">
        <v>8</v>
      </c>
      <c r="B11" s="57" t="s">
        <v>89</v>
      </c>
      <c r="C11" s="57"/>
      <c r="D11" s="651">
        <v>0</v>
      </c>
      <c r="E11" s="651">
        <v>0</v>
      </c>
      <c r="F11" s="651">
        <v>0</v>
      </c>
      <c r="G11" s="652">
        <f>D11*F11</f>
        <v>0</v>
      </c>
      <c r="H11" s="652">
        <f>E11*F11</f>
        <v>0</v>
      </c>
      <c r="I11" s="655">
        <f>G11+H11</f>
        <v>0</v>
      </c>
      <c r="J11" s="70"/>
    </row>
    <row r="12" spans="1:15" ht="36.75" hidden="1" customHeight="1">
      <c r="A12" s="57">
        <v>9</v>
      </c>
      <c r="B12" s="57" t="s">
        <v>546</v>
      </c>
      <c r="C12" s="57"/>
      <c r="D12" s="651">
        <v>0</v>
      </c>
      <c r="E12" s="651"/>
      <c r="F12" s="651"/>
      <c r="G12" s="652">
        <f t="shared" ref="G12:G18" si="0">D12*F12</f>
        <v>0</v>
      </c>
      <c r="H12" s="652">
        <f t="shared" ref="H12:H18" si="1">E12*F12</f>
        <v>0</v>
      </c>
      <c r="I12" s="655">
        <f t="shared" ref="I12:I18" si="2">G12+H12</f>
        <v>0</v>
      </c>
      <c r="J12" s="70"/>
    </row>
    <row r="13" spans="1:15" ht="36.75" hidden="1" customHeight="1">
      <c r="A13" s="69"/>
      <c r="B13" s="57"/>
      <c r="C13" s="57"/>
      <c r="D13" s="651"/>
      <c r="E13" s="651"/>
      <c r="F13" s="651"/>
      <c r="G13" s="652">
        <f t="shared" si="0"/>
        <v>0</v>
      </c>
      <c r="H13" s="652">
        <f t="shared" si="1"/>
        <v>0</v>
      </c>
      <c r="I13" s="655">
        <f t="shared" si="2"/>
        <v>0</v>
      </c>
      <c r="J13" s="70"/>
    </row>
    <row r="14" spans="1:15" ht="36.75" hidden="1" customHeight="1">
      <c r="A14" s="69"/>
      <c r="B14" s="57"/>
      <c r="C14" s="57"/>
      <c r="D14" s="651"/>
      <c r="E14" s="651"/>
      <c r="F14" s="651"/>
      <c r="G14" s="652">
        <f t="shared" si="0"/>
        <v>0</v>
      </c>
      <c r="H14" s="652">
        <f t="shared" si="1"/>
        <v>0</v>
      </c>
      <c r="I14" s="655">
        <f t="shared" si="2"/>
        <v>0</v>
      </c>
      <c r="J14" s="70"/>
    </row>
    <row r="15" spans="1:15" ht="36.75" hidden="1" customHeight="1">
      <c r="A15" s="69"/>
      <c r="B15" s="57"/>
      <c r="C15" s="57"/>
      <c r="D15" s="651"/>
      <c r="E15" s="651"/>
      <c r="F15" s="651"/>
      <c r="G15" s="652">
        <f t="shared" si="0"/>
        <v>0</v>
      </c>
      <c r="H15" s="652">
        <f t="shared" si="1"/>
        <v>0</v>
      </c>
      <c r="I15" s="655">
        <f t="shared" si="2"/>
        <v>0</v>
      </c>
      <c r="J15" s="70"/>
    </row>
    <row r="16" spans="1:15" ht="36.75" hidden="1" customHeight="1">
      <c r="A16" s="69"/>
      <c r="B16" s="57"/>
      <c r="C16" s="57"/>
      <c r="D16" s="651"/>
      <c r="E16" s="651"/>
      <c r="F16" s="651"/>
      <c r="G16" s="652">
        <f t="shared" si="0"/>
        <v>0</v>
      </c>
      <c r="H16" s="652">
        <f t="shared" si="1"/>
        <v>0</v>
      </c>
      <c r="I16" s="655">
        <f t="shared" si="2"/>
        <v>0</v>
      </c>
      <c r="J16" s="70"/>
    </row>
    <row r="17" spans="1:14" ht="36.75" hidden="1" customHeight="1">
      <c r="A17" s="69"/>
      <c r="B17" s="57"/>
      <c r="C17" s="57"/>
      <c r="D17" s="651"/>
      <c r="E17" s="651"/>
      <c r="F17" s="651"/>
      <c r="G17" s="652">
        <f t="shared" si="0"/>
        <v>0</v>
      </c>
      <c r="H17" s="652">
        <f t="shared" si="1"/>
        <v>0</v>
      </c>
      <c r="I17" s="655">
        <f t="shared" si="2"/>
        <v>0</v>
      </c>
      <c r="J17" s="70"/>
    </row>
    <row r="18" spans="1:14" ht="36.75" hidden="1" customHeight="1">
      <c r="A18" s="69"/>
      <c r="B18" s="57"/>
      <c r="C18" s="57"/>
      <c r="D18" s="651"/>
      <c r="E18" s="651"/>
      <c r="F18" s="651"/>
      <c r="G18" s="652">
        <f t="shared" si="0"/>
        <v>0</v>
      </c>
      <c r="H18" s="652">
        <f t="shared" si="1"/>
        <v>0</v>
      </c>
      <c r="I18" s="655">
        <f t="shared" si="2"/>
        <v>0</v>
      </c>
      <c r="J18" s="70"/>
    </row>
    <row r="19" spans="1:14" s="79" customFormat="1" ht="28.5" customHeight="1" thickBot="1">
      <c r="A19" s="923" t="s">
        <v>173</v>
      </c>
      <c r="B19" s="924"/>
      <c r="C19" s="73"/>
      <c r="D19" s="656"/>
      <c r="E19" s="656"/>
      <c r="F19" s="656"/>
      <c r="G19" s="657">
        <f>SUM(G4:G18)</f>
        <v>0</v>
      </c>
      <c r="H19" s="657">
        <f>SUM(H4:H18)</f>
        <v>0</v>
      </c>
      <c r="I19" s="658">
        <f>SUM(I4:I18)</f>
        <v>0</v>
      </c>
      <c r="J19" s="77" t="e">
        <f>SUM(J4:J11)</f>
        <v>#REF!</v>
      </c>
      <c r="K19" s="78" t="e">
        <f>SUM(K4:K11)</f>
        <v>#REF!</v>
      </c>
      <c r="L19" s="78" t="e">
        <f>SUM(L4:L11)</f>
        <v>#REF!</v>
      </c>
      <c r="M19" s="78" t="e">
        <f>SUM(M4:M11)</f>
        <v>#REF!</v>
      </c>
      <c r="N19" s="78" t="e">
        <f>SUM(N4:N11)</f>
        <v>#REF!</v>
      </c>
    </row>
    <row r="20" spans="1:14" s="81" customFormat="1" ht="30" customHeight="1">
      <c r="A20" s="922"/>
      <c r="B20" s="922"/>
      <c r="C20" s="922"/>
      <c r="D20" s="922"/>
      <c r="E20" s="922"/>
      <c r="F20" s="922"/>
      <c r="G20" s="922"/>
      <c r="H20" s="922"/>
      <c r="I20" s="922"/>
      <c r="J20" s="80"/>
    </row>
  </sheetData>
  <mergeCells count="15">
    <mergeCell ref="A20:I20"/>
    <mergeCell ref="A19:B19"/>
    <mergeCell ref="A1:I1"/>
    <mergeCell ref="G2:H2"/>
    <mergeCell ref="I2:I3"/>
    <mergeCell ref="C2:C3"/>
    <mergeCell ref="D2:E2"/>
    <mergeCell ref="F2:F3"/>
    <mergeCell ref="A2:A3"/>
    <mergeCell ref="B2:B3"/>
    <mergeCell ref="C4:F4"/>
    <mergeCell ref="C5:F5"/>
    <mergeCell ref="C6:F6"/>
    <mergeCell ref="C8:F8"/>
    <mergeCell ref="C9:F9"/>
  </mergeCells>
  <phoneticPr fontId="0" type="noConversion"/>
  <printOptions horizontalCentered="1"/>
  <pageMargins left="0" right="0" top="1.7716535433070868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3">
    <pageSetUpPr fitToPage="1"/>
  </sheetPr>
  <dimension ref="A1:O51"/>
  <sheetViews>
    <sheetView rightToLeft="1" view="pageBreakPreview" zoomScaleNormal="100" zoomScaleSheetLayoutView="100" workbookViewId="0">
      <selection activeCell="E11" sqref="E11"/>
    </sheetView>
  </sheetViews>
  <sheetFormatPr defaultColWidth="10.44140625" defaultRowHeight="13.8"/>
  <cols>
    <col min="1" max="1" width="3.6640625" style="100" customWidth="1"/>
    <col min="2" max="2" width="39" style="100" customWidth="1"/>
    <col min="3" max="4" width="10" style="100" customWidth="1"/>
    <col min="5" max="5" width="14.88671875" style="100" bestFit="1" customWidth="1"/>
    <col min="6" max="8" width="17.88671875" style="100" bestFit="1" customWidth="1"/>
    <col min="9" max="9" width="12.109375" style="99" bestFit="1" customWidth="1"/>
    <col min="10" max="10" width="13" style="99" bestFit="1" customWidth="1"/>
    <col min="11" max="11" width="11.5546875" style="99" bestFit="1" customWidth="1"/>
    <col min="12" max="12" width="11.6640625" style="100" bestFit="1" customWidth="1"/>
    <col min="13" max="13" width="11.5546875" style="101" bestFit="1" customWidth="1"/>
    <col min="14" max="14" width="12.88671875" style="101" bestFit="1" customWidth="1"/>
    <col min="15" max="15" width="15.88671875" style="101" bestFit="1" customWidth="1"/>
    <col min="16" max="16" width="10.33203125" style="100" customWidth="1"/>
    <col min="17" max="16384" width="10.44140625" style="100"/>
  </cols>
  <sheetData>
    <row r="1" spans="1:8" ht="28.5" customHeight="1" thickBot="1">
      <c r="A1" s="896" t="s">
        <v>115</v>
      </c>
      <c r="B1" s="896"/>
      <c r="C1" s="896"/>
      <c r="D1" s="896"/>
      <c r="E1" s="896"/>
      <c r="F1" s="896"/>
      <c r="G1" s="896"/>
      <c r="H1" s="896"/>
    </row>
    <row r="2" spans="1:8" ht="28.5" customHeight="1">
      <c r="A2" s="938" t="s">
        <v>6</v>
      </c>
      <c r="B2" s="940" t="s">
        <v>20</v>
      </c>
      <c r="C2" s="937" t="s">
        <v>42</v>
      </c>
      <c r="D2" s="937"/>
      <c r="E2" s="918" t="s">
        <v>162</v>
      </c>
      <c r="F2" s="925" t="s">
        <v>114</v>
      </c>
      <c r="G2" s="925"/>
      <c r="H2" s="942" t="s">
        <v>8</v>
      </c>
    </row>
    <row r="3" spans="1:8" ht="28.5" customHeight="1">
      <c r="A3" s="939"/>
      <c r="B3" s="941"/>
      <c r="C3" s="105" t="s">
        <v>101</v>
      </c>
      <c r="D3" s="105" t="s">
        <v>26</v>
      </c>
      <c r="E3" s="919"/>
      <c r="F3" s="105" t="s">
        <v>101</v>
      </c>
      <c r="G3" s="105" t="s">
        <v>26</v>
      </c>
      <c r="H3" s="943"/>
    </row>
    <row r="4" spans="1:8" ht="28.5" customHeight="1">
      <c r="A4" s="932"/>
      <c r="B4" s="933"/>
      <c r="C4" s="933"/>
      <c r="D4" s="933"/>
      <c r="E4" s="933"/>
      <c r="F4" s="933"/>
      <c r="G4" s="933"/>
      <c r="H4" s="934"/>
    </row>
    <row r="5" spans="1:8" ht="21">
      <c r="A5" s="23">
        <v>1</v>
      </c>
      <c r="B5" s="851"/>
      <c r="C5" s="651"/>
      <c r="D5" s="651"/>
      <c r="E5" s="651"/>
      <c r="F5" s="652">
        <f t="shared" ref="F5:F13" si="0">C5*E5</f>
        <v>0</v>
      </c>
      <c r="G5" s="652">
        <f t="shared" ref="G5:G13" si="1">D5*E5</f>
        <v>0</v>
      </c>
      <c r="H5" s="655">
        <f>F5+G5</f>
        <v>0</v>
      </c>
    </row>
    <row r="6" spans="1:8" ht="28.5" customHeight="1">
      <c r="A6" s="23">
        <v>2</v>
      </c>
      <c r="B6" s="23"/>
      <c r="C6" s="651"/>
      <c r="D6" s="651"/>
      <c r="E6" s="651"/>
      <c r="F6" s="652">
        <f t="shared" si="0"/>
        <v>0</v>
      </c>
      <c r="G6" s="652">
        <f t="shared" si="1"/>
        <v>0</v>
      </c>
      <c r="H6" s="655">
        <f>F6+G6</f>
        <v>0</v>
      </c>
    </row>
    <row r="7" spans="1:8" ht="28.5" customHeight="1">
      <c r="A7" s="23">
        <v>3</v>
      </c>
      <c r="B7" s="23"/>
      <c r="C7" s="651"/>
      <c r="D7" s="651"/>
      <c r="E7" s="651"/>
      <c r="F7" s="652">
        <f t="shared" si="0"/>
        <v>0</v>
      </c>
      <c r="G7" s="652">
        <f t="shared" si="1"/>
        <v>0</v>
      </c>
      <c r="H7" s="655">
        <f t="shared" ref="H7:H13" si="2">F7+G7</f>
        <v>0</v>
      </c>
    </row>
    <row r="8" spans="1:8" ht="28.5" customHeight="1">
      <c r="A8" s="23">
        <v>4</v>
      </c>
      <c r="B8" s="23"/>
      <c r="C8" s="651"/>
      <c r="D8" s="651"/>
      <c r="E8" s="651"/>
      <c r="F8" s="652">
        <f t="shared" si="0"/>
        <v>0</v>
      </c>
      <c r="G8" s="652">
        <f t="shared" si="1"/>
        <v>0</v>
      </c>
      <c r="H8" s="655">
        <f>F8+G8</f>
        <v>0</v>
      </c>
    </row>
    <row r="9" spans="1:8" ht="28.5" customHeight="1">
      <c r="A9" s="23">
        <v>5</v>
      </c>
      <c r="B9" s="23"/>
      <c r="C9" s="651"/>
      <c r="D9" s="651"/>
      <c r="E9" s="651"/>
      <c r="F9" s="652">
        <f t="shared" si="0"/>
        <v>0</v>
      </c>
      <c r="G9" s="652">
        <f t="shared" si="1"/>
        <v>0</v>
      </c>
      <c r="H9" s="655">
        <f t="shared" si="2"/>
        <v>0</v>
      </c>
    </row>
    <row r="10" spans="1:8" ht="28.5" customHeight="1">
      <c r="A10" s="23">
        <v>6</v>
      </c>
      <c r="B10" s="23"/>
      <c r="C10" s="651"/>
      <c r="D10" s="651"/>
      <c r="E10" s="651"/>
      <c r="F10" s="652">
        <f t="shared" si="0"/>
        <v>0</v>
      </c>
      <c r="G10" s="652">
        <f t="shared" si="1"/>
        <v>0</v>
      </c>
      <c r="H10" s="655">
        <f t="shared" si="2"/>
        <v>0</v>
      </c>
    </row>
    <row r="11" spans="1:8" ht="28.5" customHeight="1">
      <c r="A11" s="23">
        <v>7</v>
      </c>
      <c r="B11" s="23"/>
      <c r="C11" s="651"/>
      <c r="D11" s="651"/>
      <c r="E11" s="651"/>
      <c r="F11" s="652">
        <f t="shared" si="0"/>
        <v>0</v>
      </c>
      <c r="G11" s="652">
        <f t="shared" si="1"/>
        <v>0</v>
      </c>
      <c r="H11" s="655">
        <f t="shared" si="2"/>
        <v>0</v>
      </c>
    </row>
    <row r="12" spans="1:8" ht="21">
      <c r="A12" s="23">
        <v>8</v>
      </c>
      <c r="B12" s="23"/>
      <c r="C12" s="651"/>
      <c r="D12" s="651"/>
      <c r="E12" s="651"/>
      <c r="F12" s="652">
        <f t="shared" ref="F12" si="3">C12*E12</f>
        <v>0</v>
      </c>
      <c r="G12" s="652">
        <f t="shared" ref="G12" si="4">D12*E12</f>
        <v>0</v>
      </c>
      <c r="H12" s="655">
        <f t="shared" ref="H12" si="5">F12+G12</f>
        <v>0</v>
      </c>
    </row>
    <row r="13" spans="1:8" ht="28.5" customHeight="1">
      <c r="A13" s="23">
        <v>9</v>
      </c>
      <c r="B13" s="23"/>
      <c r="C13" s="651"/>
      <c r="D13" s="651"/>
      <c r="E13" s="651"/>
      <c r="F13" s="652">
        <f t="shared" si="0"/>
        <v>0</v>
      </c>
      <c r="G13" s="652">
        <f t="shared" si="1"/>
        <v>0</v>
      </c>
      <c r="H13" s="655">
        <f t="shared" si="2"/>
        <v>0</v>
      </c>
    </row>
    <row r="14" spans="1:8" ht="28.5" customHeight="1">
      <c r="A14" s="23">
        <v>10</v>
      </c>
      <c r="B14" s="23"/>
      <c r="C14" s="651"/>
      <c r="D14" s="651"/>
      <c r="E14" s="651"/>
      <c r="F14" s="652">
        <f t="shared" ref="F14:F19" si="6">C14*E14</f>
        <v>0</v>
      </c>
      <c r="G14" s="652">
        <f>D14*E14</f>
        <v>0</v>
      </c>
      <c r="H14" s="655">
        <f t="shared" ref="H14:H19" si="7">F14+G14</f>
        <v>0</v>
      </c>
    </row>
    <row r="15" spans="1:8" ht="28.5" customHeight="1">
      <c r="A15" s="23">
        <v>11</v>
      </c>
      <c r="B15" s="23"/>
      <c r="C15" s="651"/>
      <c r="D15" s="651"/>
      <c r="E15" s="651"/>
      <c r="F15" s="652">
        <f t="shared" si="6"/>
        <v>0</v>
      </c>
      <c r="G15" s="652">
        <f>D15*E15</f>
        <v>0</v>
      </c>
      <c r="H15" s="655">
        <f t="shared" si="7"/>
        <v>0</v>
      </c>
    </row>
    <row r="16" spans="1:8" ht="28.5" customHeight="1">
      <c r="A16" s="23">
        <v>12</v>
      </c>
      <c r="B16" s="23"/>
      <c r="C16" s="651"/>
      <c r="D16" s="651"/>
      <c r="E16" s="651"/>
      <c r="F16" s="652">
        <f t="shared" si="6"/>
        <v>0</v>
      </c>
      <c r="G16" s="652">
        <f>D16*E16</f>
        <v>0</v>
      </c>
      <c r="H16" s="655">
        <f t="shared" si="7"/>
        <v>0</v>
      </c>
    </row>
    <row r="17" spans="1:11" ht="28.5" customHeight="1">
      <c r="A17" s="23">
        <v>13</v>
      </c>
      <c r="B17" s="23"/>
      <c r="C17" s="651"/>
      <c r="D17" s="651"/>
      <c r="E17" s="651"/>
      <c r="F17" s="652">
        <f t="shared" si="6"/>
        <v>0</v>
      </c>
      <c r="G17" s="652">
        <f>D17*E17</f>
        <v>0</v>
      </c>
      <c r="H17" s="655">
        <f t="shared" si="7"/>
        <v>0</v>
      </c>
    </row>
    <row r="18" spans="1:11" ht="28.5" customHeight="1">
      <c r="A18" s="23">
        <v>14</v>
      </c>
      <c r="B18" s="23"/>
      <c r="C18" s="651"/>
      <c r="D18" s="651"/>
      <c r="E18" s="651"/>
      <c r="F18" s="652">
        <f t="shared" si="6"/>
        <v>0</v>
      </c>
      <c r="G18" s="652">
        <f>D18*E18</f>
        <v>0</v>
      </c>
      <c r="H18" s="655">
        <f t="shared" si="7"/>
        <v>0</v>
      </c>
    </row>
    <row r="19" spans="1:11" ht="28.5" customHeight="1">
      <c r="A19" s="23">
        <v>15</v>
      </c>
      <c r="B19" s="23"/>
      <c r="C19" s="651"/>
      <c r="D19" s="651"/>
      <c r="E19" s="651"/>
      <c r="F19" s="652">
        <f t="shared" si="6"/>
        <v>0</v>
      </c>
      <c r="G19" s="652">
        <f t="shared" ref="G19:G28" si="8">D19*E19</f>
        <v>0</v>
      </c>
      <c r="H19" s="655">
        <f t="shared" si="7"/>
        <v>0</v>
      </c>
    </row>
    <row r="20" spans="1:11" ht="28.5" customHeight="1">
      <c r="A20" s="23">
        <v>16</v>
      </c>
      <c r="B20" s="23"/>
      <c r="C20" s="651"/>
      <c r="D20" s="651"/>
      <c r="E20" s="651"/>
      <c r="F20" s="652">
        <f>E20*C20</f>
        <v>0</v>
      </c>
      <c r="G20" s="652">
        <f t="shared" si="8"/>
        <v>0</v>
      </c>
      <c r="H20" s="655">
        <f>G20+F20</f>
        <v>0</v>
      </c>
    </row>
    <row r="21" spans="1:11" ht="28.5" customHeight="1">
      <c r="A21" s="23">
        <v>17</v>
      </c>
      <c r="B21" s="23"/>
      <c r="C21" s="651"/>
      <c r="D21" s="651"/>
      <c r="E21" s="651"/>
      <c r="F21" s="652">
        <f>E21*C21</f>
        <v>0</v>
      </c>
      <c r="G21" s="652">
        <f t="shared" si="8"/>
        <v>0</v>
      </c>
      <c r="H21" s="655">
        <f>G21+F21</f>
        <v>0</v>
      </c>
    </row>
    <row r="22" spans="1:11" ht="28.5" customHeight="1">
      <c r="A22" s="23">
        <v>18</v>
      </c>
      <c r="B22" s="851"/>
      <c r="C22" s="651"/>
      <c r="D22" s="651"/>
      <c r="E22" s="651"/>
      <c r="F22" s="652">
        <f>E22*C22</f>
        <v>0</v>
      </c>
      <c r="G22" s="652">
        <f t="shared" si="8"/>
        <v>0</v>
      </c>
      <c r="H22" s="655">
        <f>G22+F22</f>
        <v>0</v>
      </c>
    </row>
    <row r="23" spans="1:11" ht="21">
      <c r="A23" s="23">
        <v>19</v>
      </c>
      <c r="B23" s="851"/>
      <c r="C23" s="651"/>
      <c r="D23" s="651"/>
      <c r="E23" s="651"/>
      <c r="F23" s="652">
        <f t="shared" ref="F23:F27" si="9">E23*C23</f>
        <v>0</v>
      </c>
      <c r="G23" s="652">
        <f t="shared" si="8"/>
        <v>0</v>
      </c>
      <c r="H23" s="655">
        <f>F23+G23</f>
        <v>0</v>
      </c>
    </row>
    <row r="24" spans="1:11" ht="21">
      <c r="A24" s="23">
        <v>20</v>
      </c>
      <c r="B24" s="851"/>
      <c r="C24" s="651"/>
      <c r="D24" s="651"/>
      <c r="E24" s="651"/>
      <c r="F24" s="652">
        <f t="shared" si="9"/>
        <v>0</v>
      </c>
      <c r="G24" s="652">
        <f t="shared" si="8"/>
        <v>0</v>
      </c>
      <c r="H24" s="655">
        <f t="shared" ref="H24:H28" si="10">F24+G24</f>
        <v>0</v>
      </c>
    </row>
    <row r="25" spans="1:11" ht="21">
      <c r="A25" s="23">
        <v>21</v>
      </c>
      <c r="B25" s="23"/>
      <c r="C25" s="651"/>
      <c r="D25" s="651"/>
      <c r="E25" s="651"/>
      <c r="F25" s="652">
        <f t="shared" si="9"/>
        <v>0</v>
      </c>
      <c r="G25" s="652">
        <f t="shared" si="8"/>
        <v>0</v>
      </c>
      <c r="H25" s="655">
        <f t="shared" si="10"/>
        <v>0</v>
      </c>
    </row>
    <row r="26" spans="1:11" ht="28.5" customHeight="1">
      <c r="A26" s="23">
        <v>22</v>
      </c>
      <c r="B26" s="851"/>
      <c r="C26" s="651"/>
      <c r="D26" s="651"/>
      <c r="E26" s="651"/>
      <c r="F26" s="652">
        <f t="shared" si="9"/>
        <v>0</v>
      </c>
      <c r="G26" s="652">
        <f t="shared" si="8"/>
        <v>0</v>
      </c>
      <c r="H26" s="655">
        <f t="shared" si="10"/>
        <v>0</v>
      </c>
    </row>
    <row r="27" spans="1:11" ht="21">
      <c r="A27" s="23">
        <v>23</v>
      </c>
      <c r="B27" s="851"/>
      <c r="C27" s="651"/>
      <c r="D27" s="651"/>
      <c r="E27" s="651"/>
      <c r="F27" s="652">
        <f t="shared" si="9"/>
        <v>0</v>
      </c>
      <c r="G27" s="652">
        <f t="shared" si="8"/>
        <v>0</v>
      </c>
      <c r="H27" s="655">
        <f t="shared" si="10"/>
        <v>0</v>
      </c>
    </row>
    <row r="28" spans="1:11" ht="21">
      <c r="A28" s="23">
        <v>24</v>
      </c>
      <c r="B28" s="851"/>
      <c r="C28" s="651"/>
      <c r="D28" s="651"/>
      <c r="E28" s="651"/>
      <c r="F28" s="652">
        <f>E28*C28</f>
        <v>0</v>
      </c>
      <c r="G28" s="652">
        <f t="shared" si="8"/>
        <v>0</v>
      </c>
      <c r="H28" s="655">
        <f t="shared" si="10"/>
        <v>0</v>
      </c>
    </row>
    <row r="29" spans="1:11" ht="21">
      <c r="A29" s="23">
        <v>25</v>
      </c>
      <c r="B29" s="851"/>
      <c r="C29" s="651"/>
      <c r="D29" s="651"/>
      <c r="E29" s="651"/>
      <c r="F29" s="652">
        <f t="shared" ref="F29:F44" si="11">E29*C29</f>
        <v>0</v>
      </c>
      <c r="G29" s="652">
        <f t="shared" ref="G29:G44" si="12">D29*E29</f>
        <v>0</v>
      </c>
      <c r="H29" s="655">
        <f t="shared" ref="H29:H44" si="13">F29+G29</f>
        <v>0</v>
      </c>
    </row>
    <row r="30" spans="1:11" ht="21">
      <c r="A30" s="23">
        <v>26</v>
      </c>
      <c r="B30" s="851"/>
      <c r="C30" s="651"/>
      <c r="D30" s="651"/>
      <c r="E30" s="651"/>
      <c r="F30" s="652">
        <f t="shared" si="11"/>
        <v>0</v>
      </c>
      <c r="G30" s="652">
        <f t="shared" si="12"/>
        <v>0</v>
      </c>
      <c r="H30" s="655">
        <f t="shared" si="13"/>
        <v>0</v>
      </c>
    </row>
    <row r="31" spans="1:11" ht="21">
      <c r="A31" s="23">
        <v>27</v>
      </c>
      <c r="B31" s="851"/>
      <c r="C31" s="651"/>
      <c r="D31" s="651"/>
      <c r="E31" s="651"/>
      <c r="F31" s="652">
        <f>E31*C31</f>
        <v>0</v>
      </c>
      <c r="G31" s="652">
        <f t="shared" si="12"/>
        <v>0</v>
      </c>
      <c r="H31" s="655">
        <f t="shared" si="13"/>
        <v>0</v>
      </c>
      <c r="J31" s="101"/>
    </row>
    <row r="32" spans="1:11" ht="21">
      <c r="A32" s="23">
        <v>28</v>
      </c>
      <c r="B32" s="851"/>
      <c r="C32" s="651"/>
      <c r="D32" s="651"/>
      <c r="E32" s="651"/>
      <c r="F32" s="652">
        <f>E32*C32</f>
        <v>0</v>
      </c>
      <c r="G32" s="652">
        <f t="shared" ref="G32" si="14">D32*E32</f>
        <v>0</v>
      </c>
      <c r="H32" s="655">
        <f t="shared" ref="H32" si="15">F32+G32</f>
        <v>0</v>
      </c>
      <c r="J32" s="101"/>
      <c r="K32" s="101"/>
    </row>
    <row r="33" spans="1:12" ht="36" customHeight="1">
      <c r="A33" s="23">
        <v>29</v>
      </c>
      <c r="B33" s="851"/>
      <c r="C33" s="651"/>
      <c r="D33" s="651"/>
      <c r="E33" s="651"/>
      <c r="F33" s="652">
        <f t="shared" si="11"/>
        <v>0</v>
      </c>
      <c r="G33" s="652">
        <f t="shared" si="12"/>
        <v>0</v>
      </c>
      <c r="H33" s="655">
        <f t="shared" si="13"/>
        <v>0</v>
      </c>
    </row>
    <row r="34" spans="1:12" ht="28.5" customHeight="1">
      <c r="A34" s="23">
        <v>30</v>
      </c>
      <c r="B34" s="851"/>
      <c r="C34" s="651"/>
      <c r="D34" s="651"/>
      <c r="E34" s="651"/>
      <c r="F34" s="652">
        <f t="shared" si="11"/>
        <v>0</v>
      </c>
      <c r="G34" s="652">
        <f t="shared" si="12"/>
        <v>0</v>
      </c>
      <c r="H34" s="655">
        <f t="shared" si="13"/>
        <v>0</v>
      </c>
    </row>
    <row r="35" spans="1:12" ht="28.5" customHeight="1">
      <c r="A35" s="23">
        <v>31</v>
      </c>
      <c r="B35" s="851"/>
      <c r="C35" s="651"/>
      <c r="D35" s="651"/>
      <c r="E35" s="651"/>
      <c r="F35" s="652">
        <f t="shared" si="11"/>
        <v>0</v>
      </c>
      <c r="G35" s="652">
        <f t="shared" si="12"/>
        <v>0</v>
      </c>
      <c r="H35" s="655">
        <f t="shared" si="13"/>
        <v>0</v>
      </c>
    </row>
    <row r="36" spans="1:12" ht="28.5" customHeight="1">
      <c r="A36" s="23"/>
      <c r="B36" s="851"/>
      <c r="C36" s="651"/>
      <c r="D36" s="651"/>
      <c r="E36" s="651"/>
      <c r="F36" s="652">
        <f t="shared" ref="F36" si="16">E36*C36</f>
        <v>0</v>
      </c>
      <c r="G36" s="652">
        <f t="shared" ref="G36" si="17">D36*E36</f>
        <v>0</v>
      </c>
      <c r="H36" s="655">
        <f t="shared" ref="H36" si="18">F36+G36</f>
        <v>0</v>
      </c>
    </row>
    <row r="37" spans="1:12" ht="28.5" customHeight="1">
      <c r="A37" s="23">
        <v>32</v>
      </c>
      <c r="B37" s="851"/>
      <c r="C37" s="651"/>
      <c r="D37" s="651"/>
      <c r="E37" s="651"/>
      <c r="F37" s="652">
        <f t="shared" si="11"/>
        <v>0</v>
      </c>
      <c r="G37" s="652">
        <f t="shared" si="12"/>
        <v>0</v>
      </c>
      <c r="H37" s="655">
        <f t="shared" si="13"/>
        <v>0</v>
      </c>
    </row>
    <row r="38" spans="1:12" ht="28.5" customHeight="1">
      <c r="A38" s="23">
        <v>33</v>
      </c>
      <c r="B38" s="851"/>
      <c r="C38" s="651"/>
      <c r="D38" s="651"/>
      <c r="E38" s="651"/>
      <c r="F38" s="652">
        <f t="shared" si="11"/>
        <v>0</v>
      </c>
      <c r="G38" s="652">
        <f t="shared" si="12"/>
        <v>0</v>
      </c>
      <c r="H38" s="655">
        <f t="shared" si="13"/>
        <v>0</v>
      </c>
    </row>
    <row r="39" spans="1:12" ht="28.5" customHeight="1">
      <c r="A39" s="23">
        <v>34</v>
      </c>
      <c r="B39" s="851"/>
      <c r="C39" s="651"/>
      <c r="D39" s="651"/>
      <c r="E39" s="651"/>
      <c r="F39" s="652">
        <f t="shared" si="11"/>
        <v>0</v>
      </c>
      <c r="G39" s="652">
        <f t="shared" si="12"/>
        <v>0</v>
      </c>
      <c r="H39" s="655">
        <f t="shared" si="13"/>
        <v>0</v>
      </c>
    </row>
    <row r="40" spans="1:12" ht="28.5" customHeight="1">
      <c r="A40" s="23">
        <v>35</v>
      </c>
      <c r="B40" s="851"/>
      <c r="C40" s="651"/>
      <c r="D40" s="651"/>
      <c r="E40" s="651"/>
      <c r="F40" s="652">
        <f t="shared" si="11"/>
        <v>0</v>
      </c>
      <c r="G40" s="652">
        <f t="shared" si="12"/>
        <v>0</v>
      </c>
      <c r="H40" s="655">
        <f t="shared" si="13"/>
        <v>0</v>
      </c>
    </row>
    <row r="41" spans="1:12" ht="28.5" customHeight="1">
      <c r="A41" s="23">
        <v>36</v>
      </c>
      <c r="B41" s="851"/>
      <c r="C41" s="651"/>
      <c r="D41" s="651"/>
      <c r="E41" s="651"/>
      <c r="F41" s="652">
        <f t="shared" si="11"/>
        <v>0</v>
      </c>
      <c r="G41" s="652">
        <f t="shared" si="12"/>
        <v>0</v>
      </c>
      <c r="H41" s="655">
        <f t="shared" si="13"/>
        <v>0</v>
      </c>
    </row>
    <row r="42" spans="1:12" ht="28.5" customHeight="1">
      <c r="A42" s="23">
        <v>37</v>
      </c>
      <c r="B42" s="23"/>
      <c r="C42" s="651"/>
      <c r="D42" s="651"/>
      <c r="E42" s="651"/>
      <c r="F42" s="652">
        <f t="shared" si="11"/>
        <v>0</v>
      </c>
      <c r="G42" s="652">
        <f t="shared" si="12"/>
        <v>0</v>
      </c>
      <c r="H42" s="655">
        <f t="shared" si="13"/>
        <v>0</v>
      </c>
    </row>
    <row r="43" spans="1:12" ht="28.5" customHeight="1">
      <c r="A43" s="23">
        <v>38</v>
      </c>
      <c r="B43" s="23"/>
      <c r="C43" s="651"/>
      <c r="D43" s="651"/>
      <c r="E43" s="651"/>
      <c r="F43" s="652">
        <f t="shared" si="11"/>
        <v>0</v>
      </c>
      <c r="G43" s="652">
        <f t="shared" si="12"/>
        <v>0</v>
      </c>
      <c r="H43" s="655">
        <f t="shared" si="13"/>
        <v>0</v>
      </c>
    </row>
    <row r="44" spans="1:12" ht="28.5" customHeight="1">
      <c r="A44" s="23">
        <v>39</v>
      </c>
      <c r="B44" s="23"/>
      <c r="C44" s="651"/>
      <c r="D44" s="651"/>
      <c r="E44" s="651"/>
      <c r="F44" s="652">
        <f t="shared" si="11"/>
        <v>0</v>
      </c>
      <c r="G44" s="652">
        <f t="shared" si="12"/>
        <v>0</v>
      </c>
      <c r="H44" s="655">
        <f t="shared" si="13"/>
        <v>0</v>
      </c>
    </row>
    <row r="45" spans="1:12" ht="28.5" customHeight="1" thickBot="1">
      <c r="A45" s="935" t="s">
        <v>16</v>
      </c>
      <c r="B45" s="936"/>
      <c r="C45" s="666"/>
      <c r="D45" s="666"/>
      <c r="E45" s="666"/>
      <c r="F45" s="667">
        <f>SUM(F5:F44)</f>
        <v>0</v>
      </c>
      <c r="G45" s="667">
        <f>SUM(G5:G44)</f>
        <v>0</v>
      </c>
      <c r="H45" s="667">
        <f>SUM(H5:H44)</f>
        <v>0</v>
      </c>
      <c r="J45" s="99">
        <f>83615000*1.09</f>
        <v>91140350</v>
      </c>
    </row>
    <row r="46" spans="1:12" ht="15.75" customHeight="1">
      <c r="A46" s="930"/>
      <c r="B46" s="930"/>
      <c r="C46" s="930"/>
      <c r="D46" s="930"/>
      <c r="E46" s="930"/>
      <c r="F46" s="930"/>
      <c r="G46" s="930"/>
      <c r="H46" s="930"/>
    </row>
    <row r="47" spans="1:12" ht="14.25" customHeight="1">
      <c r="A47" s="931"/>
      <c r="B47" s="931"/>
      <c r="C47" s="931"/>
      <c r="D47" s="931"/>
      <c r="E47" s="931"/>
      <c r="F47" s="931"/>
      <c r="G47" s="931"/>
      <c r="H47" s="931"/>
      <c r="L47" s="100">
        <f>1400000*300000</f>
        <v>420000000000</v>
      </c>
    </row>
    <row r="48" spans="1:12" ht="14.25" customHeight="1">
      <c r="A48" s="931"/>
      <c r="B48" s="931"/>
      <c r="C48" s="931"/>
      <c r="D48" s="931"/>
      <c r="E48" s="931"/>
      <c r="F48" s="931"/>
      <c r="G48" s="931"/>
      <c r="H48" s="931"/>
      <c r="L48" s="100">
        <v>564439000000</v>
      </c>
    </row>
    <row r="49" spans="1:12" ht="7.5" customHeight="1">
      <c r="A49" s="931"/>
      <c r="B49" s="931"/>
      <c r="C49" s="931"/>
      <c r="D49" s="931"/>
      <c r="E49" s="931"/>
      <c r="F49" s="931"/>
      <c r="G49" s="931"/>
      <c r="H49" s="931"/>
      <c r="L49" s="100">
        <f>L48-L47</f>
        <v>144439000000</v>
      </c>
    </row>
    <row r="50" spans="1:12" hidden="1">
      <c r="A50" s="931"/>
      <c r="B50" s="931"/>
      <c r="C50" s="931"/>
      <c r="D50" s="931"/>
      <c r="E50" s="931"/>
      <c r="F50" s="931"/>
      <c r="G50" s="931"/>
      <c r="H50" s="931"/>
    </row>
    <row r="51" spans="1:12" hidden="1">
      <c r="A51" s="931"/>
      <c r="B51" s="931"/>
      <c r="C51" s="931"/>
      <c r="D51" s="931"/>
      <c r="E51" s="931"/>
      <c r="F51" s="931"/>
      <c r="G51" s="931"/>
      <c r="H51" s="931"/>
    </row>
  </sheetData>
  <mergeCells count="10">
    <mergeCell ref="A46:H51"/>
    <mergeCell ref="A4:H4"/>
    <mergeCell ref="A45:B45"/>
    <mergeCell ref="A1:H1"/>
    <mergeCell ref="C2:D2"/>
    <mergeCell ref="E2:E3"/>
    <mergeCell ref="F2:G2"/>
    <mergeCell ref="A2:A3"/>
    <mergeCell ref="B2:B3"/>
    <mergeCell ref="H2:H3"/>
  </mergeCells>
  <phoneticPr fontId="0" type="noConversion"/>
  <printOptions horizontalCentered="1"/>
  <pageMargins left="0.25" right="0.25" top="0.75" bottom="0.75" header="0.3" footer="0.3"/>
  <pageSetup paperSize="9" scale="58" orientation="portrait" r:id="rId1"/>
  <headerFooter alignWithMargins="0"/>
  <rowBreaks count="1" manualBreakCount="1">
    <brk id="21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L30"/>
  <sheetViews>
    <sheetView rightToLeft="1" view="pageBreakPreview" zoomScaleNormal="115" workbookViewId="0">
      <selection activeCell="D28" sqref="D28"/>
    </sheetView>
  </sheetViews>
  <sheetFormatPr defaultColWidth="9.109375" defaultRowHeight="17.399999999999999"/>
  <cols>
    <col min="1" max="1" width="3.44140625" style="175" customWidth="1"/>
    <col min="2" max="2" width="26" style="175" customWidth="1"/>
    <col min="3" max="3" width="11" style="175" bestFit="1" customWidth="1"/>
    <col min="4" max="4" width="10" style="175" bestFit="1" customWidth="1"/>
    <col min="5" max="5" width="14.33203125" style="175" customWidth="1"/>
    <col min="6" max="6" width="21.6640625" style="175" bestFit="1" customWidth="1"/>
    <col min="7" max="8" width="14.6640625" style="175" bestFit="1" customWidth="1"/>
    <col min="9" max="9" width="12.6640625" style="175" bestFit="1" customWidth="1"/>
    <col min="10" max="10" width="27.5546875" style="175" bestFit="1" customWidth="1"/>
    <col min="11" max="16384" width="9.109375" style="175"/>
  </cols>
  <sheetData>
    <row r="1" spans="1:8" ht="24.9" customHeight="1" thickBot="1">
      <c r="A1" s="896" t="s">
        <v>116</v>
      </c>
      <c r="B1" s="896"/>
      <c r="C1" s="896"/>
      <c r="D1" s="896"/>
      <c r="E1" s="896"/>
      <c r="F1" s="896"/>
      <c r="G1" s="896"/>
      <c r="H1" s="896"/>
    </row>
    <row r="2" spans="1:8" ht="24.9" customHeight="1">
      <c r="A2" s="938" t="s">
        <v>6</v>
      </c>
      <c r="B2" s="940" t="s">
        <v>20</v>
      </c>
      <c r="C2" s="937" t="s">
        <v>42</v>
      </c>
      <c r="D2" s="937"/>
      <c r="E2" s="918" t="s">
        <v>163</v>
      </c>
      <c r="F2" s="925" t="s">
        <v>114</v>
      </c>
      <c r="G2" s="925"/>
      <c r="H2" s="942" t="s">
        <v>8</v>
      </c>
    </row>
    <row r="3" spans="1:8" ht="24.9" customHeight="1">
      <c r="A3" s="939"/>
      <c r="B3" s="941"/>
      <c r="C3" s="105" t="s">
        <v>101</v>
      </c>
      <c r="D3" s="105" t="s">
        <v>26</v>
      </c>
      <c r="E3" s="919"/>
      <c r="F3" s="105" t="s">
        <v>101</v>
      </c>
      <c r="G3" s="105" t="s">
        <v>26</v>
      </c>
      <c r="H3" s="943"/>
    </row>
    <row r="4" spans="1:8" ht="30" customHeight="1">
      <c r="A4" s="106">
        <v>1</v>
      </c>
      <c r="B4" s="851" t="s">
        <v>601</v>
      </c>
      <c r="C4" s="651">
        <v>12</v>
      </c>
      <c r="D4" s="651">
        <v>3</v>
      </c>
      <c r="E4" s="651">
        <v>700000</v>
      </c>
      <c r="F4" s="652">
        <f>C4*E4</f>
        <v>8400000</v>
      </c>
      <c r="G4" s="652">
        <f>D4*E4</f>
        <v>2100000</v>
      </c>
      <c r="H4" s="655">
        <f>F4+G4</f>
        <v>10500000</v>
      </c>
    </row>
    <row r="5" spans="1:8" ht="20.100000000000001" hidden="1" customHeight="1">
      <c r="A5" s="106"/>
      <c r="B5" s="851"/>
      <c r="C5" s="651"/>
      <c r="D5" s="651"/>
      <c r="E5" s="651"/>
      <c r="F5" s="652">
        <f t="shared" ref="F5:F15" si="0">C5*E5</f>
        <v>0</v>
      </c>
      <c r="G5" s="652">
        <f t="shared" ref="G5:G15" si="1">D5*E5</f>
        <v>0</v>
      </c>
      <c r="H5" s="655">
        <f t="shared" ref="H5:H15" si="2">F5+G5</f>
        <v>0</v>
      </c>
    </row>
    <row r="6" spans="1:8" ht="20.100000000000001" hidden="1" customHeight="1">
      <c r="A6" s="106"/>
      <c r="B6" s="23"/>
      <c r="C6" s="651"/>
      <c r="D6" s="651"/>
      <c r="E6" s="651"/>
      <c r="F6" s="652">
        <f t="shared" si="0"/>
        <v>0</v>
      </c>
      <c r="G6" s="652">
        <f t="shared" si="1"/>
        <v>0</v>
      </c>
      <c r="H6" s="655">
        <f t="shared" si="2"/>
        <v>0</v>
      </c>
    </row>
    <row r="7" spans="1:8" ht="20.100000000000001" hidden="1" customHeight="1">
      <c r="A7" s="106"/>
      <c r="B7" s="23"/>
      <c r="C7" s="651"/>
      <c r="D7" s="651"/>
      <c r="E7" s="651"/>
      <c r="F7" s="652">
        <f t="shared" ref="F7:F12" si="3">C7*E7</f>
        <v>0</v>
      </c>
      <c r="G7" s="652">
        <f t="shared" ref="G7:G12" si="4">D7*E7</f>
        <v>0</v>
      </c>
      <c r="H7" s="655">
        <f t="shared" ref="H7:H12" si="5">F7+G7</f>
        <v>0</v>
      </c>
    </row>
    <row r="8" spans="1:8" ht="20.100000000000001" hidden="1" customHeight="1">
      <c r="A8" s="106"/>
      <c r="B8" s="23"/>
      <c r="C8" s="651"/>
      <c r="D8" s="651"/>
      <c r="E8" s="651"/>
      <c r="F8" s="652">
        <f t="shared" si="3"/>
        <v>0</v>
      </c>
      <c r="G8" s="652">
        <f>D8*E8</f>
        <v>0</v>
      </c>
      <c r="H8" s="655">
        <f t="shared" si="5"/>
        <v>0</v>
      </c>
    </row>
    <row r="9" spans="1:8" ht="20.100000000000001" hidden="1" customHeight="1">
      <c r="A9" s="106"/>
      <c r="B9" s="23"/>
      <c r="C9" s="651"/>
      <c r="D9" s="651"/>
      <c r="E9" s="651"/>
      <c r="F9" s="652">
        <f t="shared" si="3"/>
        <v>0</v>
      </c>
      <c r="G9" s="652">
        <f t="shared" si="4"/>
        <v>0</v>
      </c>
      <c r="H9" s="655">
        <f t="shared" si="5"/>
        <v>0</v>
      </c>
    </row>
    <row r="10" spans="1:8" ht="20.100000000000001" hidden="1" customHeight="1">
      <c r="A10" s="106"/>
      <c r="B10" s="23"/>
      <c r="C10" s="651"/>
      <c r="D10" s="651"/>
      <c r="E10" s="651"/>
      <c r="F10" s="652">
        <f t="shared" si="3"/>
        <v>0</v>
      </c>
      <c r="G10" s="652">
        <f t="shared" si="4"/>
        <v>0</v>
      </c>
      <c r="H10" s="655">
        <f t="shared" si="5"/>
        <v>0</v>
      </c>
    </row>
    <row r="11" spans="1:8" ht="20.100000000000001" hidden="1" customHeight="1">
      <c r="A11" s="106"/>
      <c r="B11" s="23"/>
      <c r="C11" s="651"/>
      <c r="D11" s="651"/>
      <c r="E11" s="651"/>
      <c r="F11" s="652">
        <f t="shared" si="3"/>
        <v>0</v>
      </c>
      <c r="G11" s="652">
        <f t="shared" si="4"/>
        <v>0</v>
      </c>
      <c r="H11" s="655">
        <f t="shared" si="5"/>
        <v>0</v>
      </c>
    </row>
    <row r="12" spans="1:8" ht="20.100000000000001" hidden="1" customHeight="1">
      <c r="A12" s="106"/>
      <c r="B12" s="23"/>
      <c r="C12" s="651"/>
      <c r="D12" s="651"/>
      <c r="E12" s="651"/>
      <c r="F12" s="652">
        <f t="shared" si="3"/>
        <v>0</v>
      </c>
      <c r="G12" s="652">
        <f t="shared" si="4"/>
        <v>0</v>
      </c>
      <c r="H12" s="655">
        <f t="shared" si="5"/>
        <v>0</v>
      </c>
    </row>
    <row r="13" spans="1:8" ht="20.100000000000001" hidden="1" customHeight="1">
      <c r="A13" s="106"/>
      <c r="B13" s="23"/>
      <c r="C13" s="651"/>
      <c r="D13" s="651"/>
      <c r="E13" s="651"/>
      <c r="F13" s="652">
        <f t="shared" si="0"/>
        <v>0</v>
      </c>
      <c r="G13" s="652">
        <f t="shared" si="1"/>
        <v>0</v>
      </c>
      <c r="H13" s="655">
        <f t="shared" si="2"/>
        <v>0</v>
      </c>
    </row>
    <row r="14" spans="1:8" ht="20.100000000000001" hidden="1" customHeight="1">
      <c r="A14" s="106"/>
      <c r="B14" s="23"/>
      <c r="C14" s="651"/>
      <c r="D14" s="651"/>
      <c r="E14" s="651"/>
      <c r="F14" s="652">
        <f t="shared" si="0"/>
        <v>0</v>
      </c>
      <c r="G14" s="652">
        <f t="shared" si="1"/>
        <v>0</v>
      </c>
      <c r="H14" s="655">
        <f t="shared" si="2"/>
        <v>0</v>
      </c>
    </row>
    <row r="15" spans="1:8" ht="20.100000000000001" hidden="1" customHeight="1">
      <c r="A15" s="106"/>
      <c r="B15" s="23"/>
      <c r="C15" s="651"/>
      <c r="D15" s="651"/>
      <c r="E15" s="651"/>
      <c r="F15" s="652">
        <f t="shared" si="0"/>
        <v>0</v>
      </c>
      <c r="G15" s="652">
        <f t="shared" si="1"/>
        <v>0</v>
      </c>
      <c r="H15" s="655">
        <f t="shared" si="2"/>
        <v>0</v>
      </c>
    </row>
    <row r="16" spans="1:8" ht="20.100000000000001" hidden="1" customHeight="1">
      <c r="A16" s="106"/>
      <c r="B16" s="23"/>
      <c r="C16" s="651"/>
      <c r="D16" s="651"/>
      <c r="E16" s="651"/>
      <c r="F16" s="652">
        <f>C16*E16</f>
        <v>0</v>
      </c>
      <c r="G16" s="652">
        <f t="shared" ref="G16:G22" si="6">D16*E16</f>
        <v>0</v>
      </c>
      <c r="H16" s="655">
        <f t="shared" ref="H16:H22" si="7">F16+G16</f>
        <v>0</v>
      </c>
    </row>
    <row r="17" spans="1:12" ht="20.100000000000001" hidden="1" customHeight="1">
      <c r="A17" s="106"/>
      <c r="B17" s="23"/>
      <c r="C17" s="651"/>
      <c r="D17" s="651"/>
      <c r="E17" s="651"/>
      <c r="F17" s="652">
        <f t="shared" ref="F17:F22" si="8">C17*E17</f>
        <v>0</v>
      </c>
      <c r="G17" s="652">
        <f t="shared" si="6"/>
        <v>0</v>
      </c>
      <c r="H17" s="655">
        <f t="shared" si="7"/>
        <v>0</v>
      </c>
    </row>
    <row r="18" spans="1:12" ht="20.100000000000001" hidden="1" customHeight="1">
      <c r="A18" s="106"/>
      <c r="B18" s="23"/>
      <c r="C18" s="651"/>
      <c r="D18" s="651"/>
      <c r="E18" s="651"/>
      <c r="F18" s="652">
        <f t="shared" si="8"/>
        <v>0</v>
      </c>
      <c r="G18" s="652">
        <f t="shared" si="6"/>
        <v>0</v>
      </c>
      <c r="H18" s="655">
        <f t="shared" si="7"/>
        <v>0</v>
      </c>
    </row>
    <row r="19" spans="1:12" ht="20.100000000000001" hidden="1" customHeight="1">
      <c r="A19" s="106"/>
      <c r="B19" s="23"/>
      <c r="C19" s="651"/>
      <c r="D19" s="651"/>
      <c r="E19" s="651"/>
      <c r="F19" s="652">
        <f t="shared" si="8"/>
        <v>0</v>
      </c>
      <c r="G19" s="652">
        <f t="shared" si="6"/>
        <v>0</v>
      </c>
      <c r="H19" s="655">
        <f t="shared" si="7"/>
        <v>0</v>
      </c>
    </row>
    <row r="20" spans="1:12" ht="20.100000000000001" hidden="1" customHeight="1">
      <c r="A20" s="106"/>
      <c r="B20" s="23"/>
      <c r="C20" s="651"/>
      <c r="D20" s="651"/>
      <c r="E20" s="651"/>
      <c r="F20" s="652">
        <f t="shared" si="8"/>
        <v>0</v>
      </c>
      <c r="G20" s="652">
        <f>D20*E20</f>
        <v>0</v>
      </c>
      <c r="H20" s="655">
        <f t="shared" si="7"/>
        <v>0</v>
      </c>
    </row>
    <row r="21" spans="1:12" ht="20.100000000000001" hidden="1" customHeight="1">
      <c r="A21" s="106"/>
      <c r="B21" s="23"/>
      <c r="C21" s="651"/>
      <c r="D21" s="651"/>
      <c r="E21" s="651"/>
      <c r="F21" s="652">
        <f t="shared" si="8"/>
        <v>0</v>
      </c>
      <c r="G21" s="652">
        <f t="shared" si="6"/>
        <v>0</v>
      </c>
      <c r="H21" s="655">
        <f t="shared" si="7"/>
        <v>0</v>
      </c>
    </row>
    <row r="22" spans="1:12" ht="20.100000000000001" hidden="1" customHeight="1">
      <c r="A22" s="106"/>
      <c r="B22" s="23"/>
      <c r="C22" s="651"/>
      <c r="D22" s="651"/>
      <c r="E22" s="651"/>
      <c r="F22" s="652">
        <f t="shared" si="8"/>
        <v>0</v>
      </c>
      <c r="G22" s="652">
        <f t="shared" si="6"/>
        <v>0</v>
      </c>
      <c r="H22" s="655">
        <f t="shared" si="7"/>
        <v>0</v>
      </c>
    </row>
    <row r="23" spans="1:12" ht="20.100000000000001" hidden="1" customHeight="1">
      <c r="A23" s="106"/>
      <c r="B23" s="23"/>
      <c r="C23" s="651"/>
      <c r="D23" s="651"/>
      <c r="E23" s="651"/>
      <c r="F23" s="652">
        <f>C23*E23</f>
        <v>0</v>
      </c>
      <c r="G23" s="652">
        <f>D23*E23</f>
        <v>0</v>
      </c>
      <c r="H23" s="655">
        <f>F23+G23</f>
        <v>0</v>
      </c>
    </row>
    <row r="24" spans="1:12" ht="20.100000000000001" hidden="1" customHeight="1">
      <c r="A24" s="106"/>
      <c r="B24" s="23"/>
      <c r="C24" s="651"/>
      <c r="D24" s="651"/>
      <c r="E24" s="651"/>
      <c r="F24" s="652">
        <f>C24*E24</f>
        <v>0</v>
      </c>
      <c r="G24" s="652">
        <f>D24*E24</f>
        <v>0</v>
      </c>
      <c r="H24" s="655">
        <f>F24+G24</f>
        <v>0</v>
      </c>
    </row>
    <row r="25" spans="1:12" ht="20.100000000000001" hidden="1" customHeight="1">
      <c r="A25" s="106"/>
      <c r="B25" s="23"/>
      <c r="C25" s="651"/>
      <c r="D25" s="651"/>
      <c r="E25" s="651"/>
      <c r="F25" s="652">
        <f>C25*E25</f>
        <v>0</v>
      </c>
      <c r="G25" s="652">
        <f>D25*E25</f>
        <v>0</v>
      </c>
      <c r="H25" s="655">
        <f>F25+G25</f>
        <v>0</v>
      </c>
    </row>
    <row r="26" spans="1:12" ht="20.100000000000001" hidden="1" customHeight="1">
      <c r="A26" s="106"/>
      <c r="B26" s="23"/>
      <c r="C26" s="651"/>
      <c r="D26" s="651"/>
      <c r="E26" s="651"/>
      <c r="F26" s="652">
        <f>C26*E26</f>
        <v>0</v>
      </c>
      <c r="G26" s="652">
        <f>D26*E26</f>
        <v>0</v>
      </c>
      <c r="H26" s="655">
        <f>F26+G26</f>
        <v>0</v>
      </c>
    </row>
    <row r="27" spans="1:12" ht="20.100000000000001" hidden="1" customHeight="1">
      <c r="A27" s="106"/>
      <c r="B27" s="23"/>
      <c r="C27" s="651"/>
      <c r="D27" s="651"/>
      <c r="E27" s="651"/>
      <c r="F27" s="652">
        <f>C27*E27</f>
        <v>0</v>
      </c>
      <c r="G27" s="652">
        <f>D27*E27</f>
        <v>0</v>
      </c>
      <c r="H27" s="655">
        <f>F27+G27</f>
        <v>0</v>
      </c>
    </row>
    <row r="28" spans="1:12" ht="24.9" customHeight="1" thickBot="1">
      <c r="A28" s="935" t="s">
        <v>16</v>
      </c>
      <c r="B28" s="936"/>
      <c r="C28" s="666"/>
      <c r="D28" s="666"/>
      <c r="E28" s="666"/>
      <c r="F28" s="667">
        <f>SUM(F4:F27)</f>
        <v>8400000</v>
      </c>
      <c r="G28" s="667">
        <f>SUM(G4:G27)</f>
        <v>2100000</v>
      </c>
      <c r="H28" s="668">
        <f>SUM(H4:H27)</f>
        <v>10500000</v>
      </c>
    </row>
    <row r="29" spans="1:12">
      <c r="A29" s="944"/>
      <c r="B29" s="945"/>
      <c r="C29" s="945"/>
      <c r="D29" s="945"/>
      <c r="E29" s="945"/>
      <c r="F29" s="945"/>
      <c r="G29" s="945"/>
      <c r="H29" s="945"/>
    </row>
    <row r="30" spans="1:12" ht="103.5" customHeight="1">
      <c r="A30" s="946"/>
      <c r="B30" s="946"/>
      <c r="C30" s="946"/>
      <c r="D30" s="946"/>
      <c r="E30" s="946"/>
      <c r="F30" s="946"/>
      <c r="G30" s="946"/>
      <c r="H30" s="946"/>
      <c r="L30" s="878"/>
    </row>
  </sheetData>
  <mergeCells count="9">
    <mergeCell ref="A29:H30"/>
    <mergeCell ref="A28:B28"/>
    <mergeCell ref="B2:B3"/>
    <mergeCell ref="A1:H1"/>
    <mergeCell ref="C2:D2"/>
    <mergeCell ref="E2:E3"/>
    <mergeCell ref="F2:G2"/>
    <mergeCell ref="H2:H3"/>
    <mergeCell ref="A2:A3"/>
  </mergeCells>
  <phoneticPr fontId="0" type="noConversion"/>
  <printOptions horizontalCentered="1"/>
  <pageMargins left="0" right="0" top="1.7716535433070868" bottom="0.39370078740157483" header="0" footer="0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I23"/>
  <sheetViews>
    <sheetView rightToLeft="1" view="pageBreakPreview" zoomScale="115" zoomScaleNormal="115" workbookViewId="0">
      <selection activeCell="F19" sqref="F19"/>
    </sheetView>
  </sheetViews>
  <sheetFormatPr defaultColWidth="9.109375" defaultRowHeight="17.399999999999999"/>
  <cols>
    <col min="1" max="1" width="3.6640625" style="174" customWidth="1"/>
    <col min="2" max="2" width="20.6640625" style="174" customWidth="1"/>
    <col min="3" max="3" width="11.33203125" style="174" customWidth="1"/>
    <col min="4" max="5" width="8.6640625" style="174" customWidth="1"/>
    <col min="6" max="6" width="13.5546875" style="174" bestFit="1" customWidth="1"/>
    <col min="7" max="7" width="11" style="174" customWidth="1"/>
    <col min="8" max="9" width="11.88671875" style="174" bestFit="1" customWidth="1"/>
    <col min="10" max="10" width="10.44140625" style="174" bestFit="1" customWidth="1"/>
    <col min="11" max="11" width="28.33203125" style="174" customWidth="1"/>
    <col min="12" max="16384" width="9.109375" style="174"/>
  </cols>
  <sheetData>
    <row r="1" spans="1:9" ht="24.9" customHeight="1" thickBot="1">
      <c r="A1" s="896" t="s">
        <v>174</v>
      </c>
      <c r="B1" s="896"/>
      <c r="C1" s="896"/>
      <c r="D1" s="896"/>
      <c r="E1" s="896"/>
      <c r="F1" s="896"/>
      <c r="G1" s="896"/>
      <c r="H1" s="896"/>
      <c r="I1" s="896"/>
    </row>
    <row r="2" spans="1:9" ht="24.9" customHeight="1">
      <c r="A2" s="920" t="s">
        <v>6</v>
      </c>
      <c r="B2" s="915" t="s">
        <v>20</v>
      </c>
      <c r="C2" s="918" t="s">
        <v>117</v>
      </c>
      <c r="D2" s="918" t="s">
        <v>42</v>
      </c>
      <c r="E2" s="918"/>
      <c r="F2" s="918" t="s">
        <v>162</v>
      </c>
      <c r="G2" s="925" t="s">
        <v>114</v>
      </c>
      <c r="H2" s="925"/>
      <c r="I2" s="917" t="s">
        <v>8</v>
      </c>
    </row>
    <row r="3" spans="1:9" ht="24.9" customHeight="1">
      <c r="A3" s="921"/>
      <c r="B3" s="906"/>
      <c r="C3" s="919"/>
      <c r="D3" s="45" t="s">
        <v>101</v>
      </c>
      <c r="E3" s="45" t="s">
        <v>26</v>
      </c>
      <c r="F3" s="919"/>
      <c r="G3" s="45" t="s">
        <v>101</v>
      </c>
      <c r="H3" s="45" t="s">
        <v>26</v>
      </c>
      <c r="I3" s="926"/>
    </row>
    <row r="4" spans="1:9" ht="20.100000000000001" customHeight="1">
      <c r="A4" s="106">
        <v>1</v>
      </c>
      <c r="B4" s="57" t="s">
        <v>591</v>
      </c>
      <c r="C4" s="57" t="s">
        <v>606</v>
      </c>
      <c r="D4" s="651">
        <v>1</v>
      </c>
      <c r="E4" s="651">
        <v>0</v>
      </c>
      <c r="F4" s="651">
        <v>7000000</v>
      </c>
      <c r="G4" s="660">
        <f t="shared" ref="G4:G9" si="0">D4*F4</f>
        <v>7000000</v>
      </c>
      <c r="H4" s="660">
        <f t="shared" ref="H4:H9" si="1">E4*F4</f>
        <v>0</v>
      </c>
      <c r="I4" s="661">
        <f>G4+H4</f>
        <v>7000000</v>
      </c>
    </row>
    <row r="5" spans="1:9" ht="20.100000000000001" hidden="1" customHeight="1">
      <c r="A5" s="106">
        <v>2</v>
      </c>
      <c r="B5" s="57"/>
      <c r="C5" s="57"/>
      <c r="D5" s="651"/>
      <c r="E5" s="651"/>
      <c r="F5" s="651"/>
      <c r="G5" s="660">
        <f t="shared" si="0"/>
        <v>0</v>
      </c>
      <c r="H5" s="660">
        <f t="shared" si="1"/>
        <v>0</v>
      </c>
      <c r="I5" s="661">
        <f>G5+H5</f>
        <v>0</v>
      </c>
    </row>
    <row r="6" spans="1:9" ht="20.100000000000001" hidden="1" customHeight="1">
      <c r="A6" s="106">
        <v>3</v>
      </c>
      <c r="B6" s="57"/>
      <c r="C6" s="659"/>
      <c r="D6" s="651"/>
      <c r="E6" s="651"/>
      <c r="F6" s="651"/>
      <c r="G6" s="660">
        <f t="shared" si="0"/>
        <v>0</v>
      </c>
      <c r="H6" s="660">
        <f t="shared" si="1"/>
        <v>0</v>
      </c>
      <c r="I6" s="661">
        <f t="shared" ref="I6:I18" si="2">G6+H6</f>
        <v>0</v>
      </c>
    </row>
    <row r="7" spans="1:9" ht="20.100000000000001" hidden="1" customHeight="1">
      <c r="A7" s="106">
        <v>4</v>
      </c>
      <c r="B7" s="57"/>
      <c r="C7" s="659"/>
      <c r="D7" s="651"/>
      <c r="E7" s="651"/>
      <c r="F7" s="651"/>
      <c r="G7" s="660">
        <f t="shared" si="0"/>
        <v>0</v>
      </c>
      <c r="H7" s="660">
        <f t="shared" si="1"/>
        <v>0</v>
      </c>
      <c r="I7" s="661">
        <f t="shared" si="2"/>
        <v>0</v>
      </c>
    </row>
    <row r="8" spans="1:9" ht="20.100000000000001" hidden="1" customHeight="1">
      <c r="A8" s="106">
        <v>5</v>
      </c>
      <c r="B8" s="57"/>
      <c r="C8" s="659"/>
      <c r="D8" s="651"/>
      <c r="E8" s="651"/>
      <c r="F8" s="651"/>
      <c r="G8" s="660">
        <f t="shared" si="0"/>
        <v>0</v>
      </c>
      <c r="H8" s="660">
        <f t="shared" si="1"/>
        <v>0</v>
      </c>
      <c r="I8" s="661">
        <f t="shared" si="2"/>
        <v>0</v>
      </c>
    </row>
    <row r="9" spans="1:9" ht="20.100000000000001" hidden="1" customHeight="1">
      <c r="A9" s="106">
        <v>6</v>
      </c>
      <c r="B9" s="57"/>
      <c r="C9" s="659"/>
      <c r="D9" s="651"/>
      <c r="E9" s="651"/>
      <c r="F9" s="651"/>
      <c r="G9" s="660">
        <f t="shared" si="0"/>
        <v>0</v>
      </c>
      <c r="H9" s="660">
        <f t="shared" si="1"/>
        <v>0</v>
      </c>
      <c r="I9" s="661">
        <f t="shared" si="2"/>
        <v>0</v>
      </c>
    </row>
    <row r="10" spans="1:9" ht="20.100000000000001" hidden="1" customHeight="1">
      <c r="A10" s="69"/>
      <c r="B10" s="57"/>
      <c r="C10" s="659"/>
      <c r="D10" s="659"/>
      <c r="E10" s="659"/>
      <c r="F10" s="659"/>
      <c r="G10" s="660">
        <f t="shared" ref="G10:G18" si="3">D10*F10</f>
        <v>0</v>
      </c>
      <c r="H10" s="660">
        <f t="shared" ref="H10:H18" si="4">E10*F10</f>
        <v>0</v>
      </c>
      <c r="I10" s="661">
        <f t="shared" si="2"/>
        <v>0</v>
      </c>
    </row>
    <row r="11" spans="1:9" ht="20.100000000000001" hidden="1" customHeight="1">
      <c r="A11" s="69"/>
      <c r="B11" s="57"/>
      <c r="C11" s="659"/>
      <c r="D11" s="659"/>
      <c r="E11" s="659"/>
      <c r="F11" s="659"/>
      <c r="G11" s="660">
        <f t="shared" si="3"/>
        <v>0</v>
      </c>
      <c r="H11" s="660">
        <f t="shared" si="4"/>
        <v>0</v>
      </c>
      <c r="I11" s="661">
        <f t="shared" si="2"/>
        <v>0</v>
      </c>
    </row>
    <row r="12" spans="1:9" ht="20.100000000000001" hidden="1" customHeight="1">
      <c r="A12" s="69"/>
      <c r="B12" s="57"/>
      <c r="C12" s="659"/>
      <c r="D12" s="659"/>
      <c r="E12" s="659"/>
      <c r="F12" s="659"/>
      <c r="G12" s="660">
        <f t="shared" si="3"/>
        <v>0</v>
      </c>
      <c r="H12" s="660">
        <f t="shared" si="4"/>
        <v>0</v>
      </c>
      <c r="I12" s="661">
        <f t="shared" si="2"/>
        <v>0</v>
      </c>
    </row>
    <row r="13" spans="1:9" ht="20.100000000000001" hidden="1" customHeight="1">
      <c r="A13" s="69"/>
      <c r="B13" s="57"/>
      <c r="C13" s="659"/>
      <c r="D13" s="659"/>
      <c r="E13" s="659"/>
      <c r="F13" s="659"/>
      <c r="G13" s="660">
        <f t="shared" si="3"/>
        <v>0</v>
      </c>
      <c r="H13" s="660">
        <f t="shared" si="4"/>
        <v>0</v>
      </c>
      <c r="I13" s="661">
        <f t="shared" si="2"/>
        <v>0</v>
      </c>
    </row>
    <row r="14" spans="1:9" ht="20.100000000000001" hidden="1" customHeight="1">
      <c r="A14" s="69"/>
      <c r="B14" s="57"/>
      <c r="C14" s="659"/>
      <c r="D14" s="659"/>
      <c r="E14" s="659"/>
      <c r="F14" s="659"/>
      <c r="G14" s="660">
        <f t="shared" si="3"/>
        <v>0</v>
      </c>
      <c r="H14" s="660">
        <f t="shared" si="4"/>
        <v>0</v>
      </c>
      <c r="I14" s="661">
        <f t="shared" si="2"/>
        <v>0</v>
      </c>
    </row>
    <row r="15" spans="1:9" ht="20.100000000000001" hidden="1" customHeight="1">
      <c r="A15" s="69"/>
      <c r="B15" s="57"/>
      <c r="C15" s="659"/>
      <c r="D15" s="659"/>
      <c r="E15" s="659"/>
      <c r="F15" s="659"/>
      <c r="G15" s="660">
        <f t="shared" si="3"/>
        <v>0</v>
      </c>
      <c r="H15" s="660">
        <f t="shared" si="4"/>
        <v>0</v>
      </c>
      <c r="I15" s="661">
        <f t="shared" si="2"/>
        <v>0</v>
      </c>
    </row>
    <row r="16" spans="1:9" ht="20.100000000000001" hidden="1" customHeight="1">
      <c r="A16" s="69"/>
      <c r="B16" s="57"/>
      <c r="C16" s="659"/>
      <c r="D16" s="659"/>
      <c r="E16" s="659"/>
      <c r="F16" s="659"/>
      <c r="G16" s="660">
        <f t="shared" si="3"/>
        <v>0</v>
      </c>
      <c r="H16" s="660">
        <f t="shared" si="4"/>
        <v>0</v>
      </c>
      <c r="I16" s="661">
        <f t="shared" si="2"/>
        <v>0</v>
      </c>
    </row>
    <row r="17" spans="1:9" ht="20.100000000000001" hidden="1" customHeight="1">
      <c r="A17" s="69"/>
      <c r="B17" s="57"/>
      <c r="C17" s="659"/>
      <c r="D17" s="659"/>
      <c r="E17" s="659"/>
      <c r="F17" s="659"/>
      <c r="G17" s="660">
        <f t="shared" si="3"/>
        <v>0</v>
      </c>
      <c r="H17" s="660">
        <f t="shared" si="4"/>
        <v>0</v>
      </c>
      <c r="I17" s="661">
        <f t="shared" si="2"/>
        <v>0</v>
      </c>
    </row>
    <row r="18" spans="1:9" ht="20.100000000000001" hidden="1" customHeight="1">
      <c r="A18" s="69"/>
      <c r="B18" s="57"/>
      <c r="C18" s="659"/>
      <c r="D18" s="659"/>
      <c r="E18" s="659"/>
      <c r="F18" s="659"/>
      <c r="G18" s="660">
        <f t="shared" si="3"/>
        <v>0</v>
      </c>
      <c r="H18" s="660">
        <f t="shared" si="4"/>
        <v>0</v>
      </c>
      <c r="I18" s="661">
        <f t="shared" si="2"/>
        <v>0</v>
      </c>
    </row>
    <row r="19" spans="1:9" ht="24.9" customHeight="1" thickBot="1">
      <c r="A19" s="923" t="s">
        <v>16</v>
      </c>
      <c r="B19" s="924"/>
      <c r="C19" s="662"/>
      <c r="D19" s="662"/>
      <c r="E19" s="662"/>
      <c r="F19" s="662"/>
      <c r="G19" s="663">
        <f>SUM(G4:G18)</f>
        <v>7000000</v>
      </c>
      <c r="H19" s="663">
        <f>SUM(H4:H18)</f>
        <v>0</v>
      </c>
      <c r="I19" s="664">
        <f>SUM(I4:I18)</f>
        <v>7000000</v>
      </c>
    </row>
    <row r="20" spans="1:9">
      <c r="A20" s="947"/>
      <c r="B20" s="948"/>
      <c r="C20" s="948"/>
      <c r="D20" s="948"/>
      <c r="E20" s="948"/>
      <c r="F20" s="948"/>
      <c r="G20" s="948"/>
      <c r="H20" s="948"/>
      <c r="I20" s="948"/>
    </row>
    <row r="21" spans="1:9">
      <c r="A21" s="949"/>
      <c r="B21" s="949"/>
      <c r="C21" s="949"/>
      <c r="D21" s="949"/>
      <c r="E21" s="949"/>
      <c r="F21" s="949"/>
      <c r="G21" s="949"/>
      <c r="H21" s="949"/>
      <c r="I21" s="949"/>
    </row>
    <row r="22" spans="1:9" ht="60" customHeight="1">
      <c r="A22" s="949"/>
      <c r="B22" s="949"/>
      <c r="C22" s="949"/>
      <c r="D22" s="949"/>
      <c r="E22" s="949"/>
      <c r="F22" s="949"/>
      <c r="G22" s="949"/>
      <c r="H22" s="949"/>
      <c r="I22" s="949"/>
    </row>
    <row r="23" spans="1:9">
      <c r="F23" s="633"/>
    </row>
  </sheetData>
  <mergeCells count="10">
    <mergeCell ref="A20:I22"/>
    <mergeCell ref="A19:B19"/>
    <mergeCell ref="A1:I1"/>
    <mergeCell ref="A2:A3"/>
    <mergeCell ref="B2:B3"/>
    <mergeCell ref="C2:C3"/>
    <mergeCell ref="D2:E2"/>
    <mergeCell ref="F2:F3"/>
    <mergeCell ref="G2:H2"/>
    <mergeCell ref="I2:I3"/>
  </mergeCells>
  <phoneticPr fontId="0" type="noConversion"/>
  <printOptions horizontalCentered="1"/>
  <pageMargins left="0" right="0" top="3.9370078740157481" bottom="0.39370078740157483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K34"/>
  <sheetViews>
    <sheetView rightToLeft="1" view="pageBreakPreview" zoomScale="130" zoomScaleNormal="145" workbookViewId="0">
      <selection activeCell="D5" sqref="D5"/>
    </sheetView>
  </sheetViews>
  <sheetFormatPr defaultColWidth="9.109375" defaultRowHeight="17.399999999999999"/>
  <cols>
    <col min="1" max="1" width="6" style="174" customWidth="1"/>
    <col min="2" max="2" width="26.33203125" style="174" bestFit="1" customWidth="1"/>
    <col min="3" max="3" width="7.88671875" style="174" bestFit="1" customWidth="1"/>
    <col min="4" max="4" width="7.5546875" style="174" bestFit="1" customWidth="1"/>
    <col min="5" max="5" width="17.33203125" style="174" bestFit="1" customWidth="1"/>
    <col min="6" max="6" width="12.6640625" style="174" bestFit="1" customWidth="1"/>
    <col min="7" max="8" width="14.109375" style="174" bestFit="1" customWidth="1"/>
    <col min="9" max="9" width="9.109375" style="174"/>
    <col min="10" max="10" width="12.44140625" style="174" bestFit="1" customWidth="1"/>
    <col min="11" max="11" width="10.5546875" style="174" bestFit="1" customWidth="1"/>
    <col min="12" max="16384" width="9.109375" style="174"/>
  </cols>
  <sheetData>
    <row r="1" spans="1:11" ht="24.9" customHeight="1" thickBot="1">
      <c r="A1" s="955" t="s">
        <v>119</v>
      </c>
      <c r="B1" s="955"/>
      <c r="C1" s="955"/>
      <c r="D1" s="955"/>
      <c r="E1" s="955"/>
      <c r="F1" s="955"/>
      <c r="G1" s="955"/>
      <c r="H1" s="955"/>
    </row>
    <row r="2" spans="1:11" ht="24.9" customHeight="1">
      <c r="A2" s="956" t="s">
        <v>6</v>
      </c>
      <c r="B2" s="915" t="s">
        <v>20</v>
      </c>
      <c r="C2" s="918" t="s">
        <v>42</v>
      </c>
      <c r="D2" s="918"/>
      <c r="E2" s="918" t="s">
        <v>163</v>
      </c>
      <c r="F2" s="925" t="s">
        <v>114</v>
      </c>
      <c r="G2" s="925"/>
      <c r="H2" s="917" t="s">
        <v>8</v>
      </c>
    </row>
    <row r="3" spans="1:11" ht="24.9" customHeight="1">
      <c r="A3" s="957"/>
      <c r="B3" s="906"/>
      <c r="C3" s="45" t="s">
        <v>101</v>
      </c>
      <c r="D3" s="45" t="s">
        <v>26</v>
      </c>
      <c r="E3" s="919"/>
      <c r="F3" s="45" t="s">
        <v>101</v>
      </c>
      <c r="G3" s="45" t="s">
        <v>26</v>
      </c>
      <c r="H3" s="926"/>
    </row>
    <row r="4" spans="1:11" ht="24.9" customHeight="1">
      <c r="A4" s="890">
        <v>1</v>
      </c>
      <c r="B4" s="862" t="s">
        <v>607</v>
      </c>
      <c r="C4" s="651">
        <v>1</v>
      </c>
      <c r="D4" s="651">
        <v>14</v>
      </c>
      <c r="E4" s="651">
        <v>480000</v>
      </c>
      <c r="F4" s="669">
        <f>C4*E4</f>
        <v>480000</v>
      </c>
      <c r="G4" s="669">
        <f>D4*E4</f>
        <v>6720000</v>
      </c>
      <c r="H4" s="670">
        <f>F4+G4</f>
        <v>7200000</v>
      </c>
      <c r="K4" s="174">
        <v>193191093858</v>
      </c>
    </row>
    <row r="5" spans="1:11" ht="90.75" customHeight="1">
      <c r="A5" s="69">
        <v>2</v>
      </c>
      <c r="B5" s="862" t="s">
        <v>608</v>
      </c>
      <c r="C5" s="651">
        <v>2</v>
      </c>
      <c r="D5" s="651">
        <v>19</v>
      </c>
      <c r="E5" s="651">
        <v>4800000</v>
      </c>
      <c r="F5" s="669">
        <f>C5*E5</f>
        <v>9600000</v>
      </c>
      <c r="G5" s="669">
        <f>D5*E5</f>
        <v>91200000</v>
      </c>
      <c r="H5" s="670">
        <f>F5+G5</f>
        <v>100800000</v>
      </c>
      <c r="J5" s="886">
        <f>'ساير هزينه هاي ثابت'!E5+ماشين‌آلات!E5</f>
        <v>4800000</v>
      </c>
    </row>
    <row r="6" spans="1:11" ht="90.75" customHeight="1">
      <c r="A6" s="69"/>
      <c r="B6" s="862"/>
      <c r="C6" s="651"/>
      <c r="D6" s="651"/>
      <c r="E6" s="651"/>
      <c r="F6" s="669">
        <f>E6*C6</f>
        <v>0</v>
      </c>
      <c r="G6" s="669">
        <f>D6*E6</f>
        <v>0</v>
      </c>
      <c r="H6" s="670">
        <f>G6+F6</f>
        <v>0</v>
      </c>
    </row>
    <row r="7" spans="1:11" ht="90.75" customHeight="1">
      <c r="A7" s="69"/>
      <c r="B7" s="862"/>
      <c r="C7" s="651"/>
      <c r="D7" s="651"/>
      <c r="E7" s="651"/>
      <c r="F7" s="669"/>
      <c r="G7" s="669">
        <f>D7*E7</f>
        <v>0</v>
      </c>
      <c r="H7" s="670">
        <f>G7+F7</f>
        <v>0</v>
      </c>
      <c r="K7" s="886">
        <f>G8+G7+G6+G5</f>
        <v>91200000</v>
      </c>
    </row>
    <row r="8" spans="1:11" ht="57" customHeight="1">
      <c r="A8" s="69"/>
      <c r="B8" s="862"/>
      <c r="C8" s="651"/>
      <c r="D8" s="651"/>
      <c r="E8" s="651"/>
      <c r="F8" s="669">
        <f>E8*C8</f>
        <v>0</v>
      </c>
      <c r="G8" s="669">
        <f>D8*E8</f>
        <v>0</v>
      </c>
      <c r="H8" s="670">
        <f>G8+F8</f>
        <v>0</v>
      </c>
    </row>
    <row r="9" spans="1:11" ht="20.100000000000001" customHeight="1">
      <c r="A9" s="69"/>
      <c r="B9" s="57"/>
      <c r="C9" s="651"/>
      <c r="D9" s="651"/>
      <c r="E9" s="651"/>
      <c r="F9" s="669">
        <f t="shared" ref="F9:F31" si="0">C9*E9</f>
        <v>0</v>
      </c>
      <c r="G9" s="669">
        <f t="shared" ref="G9:G31" si="1">D9*E9</f>
        <v>0</v>
      </c>
      <c r="H9" s="670">
        <f t="shared" ref="H9:H31" si="2">F9+G9</f>
        <v>0</v>
      </c>
    </row>
    <row r="10" spans="1:11" ht="20.100000000000001" customHeight="1">
      <c r="A10" s="69"/>
      <c r="B10" s="57"/>
      <c r="C10" s="651"/>
      <c r="D10" s="651"/>
      <c r="E10" s="651"/>
      <c r="F10" s="669">
        <f t="shared" si="0"/>
        <v>0</v>
      </c>
      <c r="G10" s="669">
        <f t="shared" si="1"/>
        <v>0</v>
      </c>
      <c r="H10" s="670">
        <f t="shared" si="2"/>
        <v>0</v>
      </c>
    </row>
    <row r="11" spans="1:11" ht="20.100000000000001" customHeight="1">
      <c r="A11" s="69"/>
      <c r="B11" s="57"/>
      <c r="C11" s="651"/>
      <c r="D11" s="651"/>
      <c r="E11" s="651"/>
      <c r="F11" s="669">
        <f t="shared" si="0"/>
        <v>0</v>
      </c>
      <c r="G11" s="669">
        <f t="shared" si="1"/>
        <v>0</v>
      </c>
      <c r="H11" s="670">
        <f t="shared" si="2"/>
        <v>0</v>
      </c>
    </row>
    <row r="12" spans="1:11" ht="20.100000000000001" customHeight="1">
      <c r="A12" s="69"/>
      <c r="B12" s="57"/>
      <c r="C12" s="651"/>
      <c r="D12" s="651"/>
      <c r="E12" s="651"/>
      <c r="F12" s="669">
        <f t="shared" si="0"/>
        <v>0</v>
      </c>
      <c r="G12" s="669">
        <f t="shared" si="1"/>
        <v>0</v>
      </c>
      <c r="H12" s="670">
        <f t="shared" si="2"/>
        <v>0</v>
      </c>
    </row>
    <row r="13" spans="1:11" ht="20.100000000000001" customHeight="1">
      <c r="A13" s="69"/>
      <c r="B13" s="57"/>
      <c r="C13" s="651"/>
      <c r="D13" s="651"/>
      <c r="E13" s="651"/>
      <c r="F13" s="669">
        <f t="shared" si="0"/>
        <v>0</v>
      </c>
      <c r="G13" s="669">
        <f t="shared" si="1"/>
        <v>0</v>
      </c>
      <c r="H13" s="670">
        <f t="shared" si="2"/>
        <v>0</v>
      </c>
    </row>
    <row r="14" spans="1:11" ht="20.100000000000001" customHeight="1">
      <c r="A14" s="69"/>
      <c r="B14" s="57"/>
      <c r="C14" s="651"/>
      <c r="D14" s="651"/>
      <c r="E14" s="651"/>
      <c r="F14" s="669">
        <f t="shared" si="0"/>
        <v>0</v>
      </c>
      <c r="G14" s="669">
        <f t="shared" si="1"/>
        <v>0</v>
      </c>
      <c r="H14" s="670">
        <f t="shared" si="2"/>
        <v>0</v>
      </c>
    </row>
    <row r="15" spans="1:11" ht="20.100000000000001" customHeight="1">
      <c r="A15" s="69"/>
      <c r="B15" s="57"/>
      <c r="C15" s="651"/>
      <c r="D15" s="651"/>
      <c r="E15" s="651"/>
      <c r="F15" s="669">
        <f t="shared" si="0"/>
        <v>0</v>
      </c>
      <c r="G15" s="669">
        <f t="shared" si="1"/>
        <v>0</v>
      </c>
      <c r="H15" s="670">
        <f t="shared" si="2"/>
        <v>0</v>
      </c>
    </row>
    <row r="16" spans="1:11" ht="20.100000000000001" customHeight="1">
      <c r="A16" s="69"/>
      <c r="B16" s="57"/>
      <c r="C16" s="651"/>
      <c r="D16" s="651"/>
      <c r="E16" s="651"/>
      <c r="F16" s="669">
        <f t="shared" si="0"/>
        <v>0</v>
      </c>
      <c r="G16" s="669">
        <f t="shared" si="1"/>
        <v>0</v>
      </c>
      <c r="H16" s="670">
        <f t="shared" si="2"/>
        <v>0</v>
      </c>
    </row>
    <row r="17" spans="1:8" ht="20.100000000000001" customHeight="1">
      <c r="A17" s="69"/>
      <c r="B17" s="57"/>
      <c r="C17" s="651"/>
      <c r="D17" s="651"/>
      <c r="E17" s="651"/>
      <c r="F17" s="669">
        <f t="shared" si="0"/>
        <v>0</v>
      </c>
      <c r="G17" s="669">
        <f t="shared" si="1"/>
        <v>0</v>
      </c>
      <c r="H17" s="670">
        <f t="shared" si="2"/>
        <v>0</v>
      </c>
    </row>
    <row r="18" spans="1:8" ht="20.100000000000001" customHeight="1">
      <c r="A18" s="69"/>
      <c r="B18" s="57"/>
      <c r="C18" s="651"/>
      <c r="D18" s="651"/>
      <c r="E18" s="651"/>
      <c r="F18" s="669">
        <f t="shared" si="0"/>
        <v>0</v>
      </c>
      <c r="G18" s="669">
        <f t="shared" si="1"/>
        <v>0</v>
      </c>
      <c r="H18" s="670">
        <f t="shared" si="2"/>
        <v>0</v>
      </c>
    </row>
    <row r="19" spans="1:8" ht="20.100000000000001" customHeight="1">
      <c r="A19" s="69"/>
      <c r="B19" s="57"/>
      <c r="C19" s="651"/>
      <c r="D19" s="651"/>
      <c r="E19" s="651"/>
      <c r="F19" s="669">
        <f t="shared" si="0"/>
        <v>0</v>
      </c>
      <c r="G19" s="669">
        <f t="shared" si="1"/>
        <v>0</v>
      </c>
      <c r="H19" s="670">
        <f t="shared" si="2"/>
        <v>0</v>
      </c>
    </row>
    <row r="20" spans="1:8" ht="20.100000000000001" customHeight="1">
      <c r="A20" s="69"/>
      <c r="B20" s="57"/>
      <c r="C20" s="651"/>
      <c r="D20" s="651"/>
      <c r="E20" s="651"/>
      <c r="F20" s="669">
        <f t="shared" si="0"/>
        <v>0</v>
      </c>
      <c r="G20" s="669">
        <f t="shared" si="1"/>
        <v>0</v>
      </c>
      <c r="H20" s="670">
        <f t="shared" si="2"/>
        <v>0</v>
      </c>
    </row>
    <row r="21" spans="1:8" ht="20.100000000000001" customHeight="1">
      <c r="A21" s="69"/>
      <c r="B21" s="57"/>
      <c r="C21" s="651"/>
      <c r="D21" s="651"/>
      <c r="E21" s="651"/>
      <c r="F21" s="669">
        <f t="shared" si="0"/>
        <v>0</v>
      </c>
      <c r="G21" s="669">
        <f t="shared" si="1"/>
        <v>0</v>
      </c>
      <c r="H21" s="670">
        <f t="shared" si="2"/>
        <v>0</v>
      </c>
    </row>
    <row r="22" spans="1:8" ht="20.100000000000001" customHeight="1">
      <c r="A22" s="69"/>
      <c r="B22" s="57"/>
      <c r="C22" s="651"/>
      <c r="D22" s="651"/>
      <c r="E22" s="651"/>
      <c r="F22" s="669">
        <f t="shared" si="0"/>
        <v>0</v>
      </c>
      <c r="G22" s="669">
        <f t="shared" si="1"/>
        <v>0</v>
      </c>
      <c r="H22" s="670">
        <f t="shared" si="2"/>
        <v>0</v>
      </c>
    </row>
    <row r="23" spans="1:8" ht="20.100000000000001" customHeight="1">
      <c r="A23" s="69"/>
      <c r="B23" s="57"/>
      <c r="C23" s="651"/>
      <c r="D23" s="651"/>
      <c r="E23" s="651"/>
      <c r="F23" s="669">
        <f t="shared" si="0"/>
        <v>0</v>
      </c>
      <c r="G23" s="669">
        <f t="shared" si="1"/>
        <v>0</v>
      </c>
      <c r="H23" s="670">
        <f t="shared" si="2"/>
        <v>0</v>
      </c>
    </row>
    <row r="24" spans="1:8" ht="20.100000000000001" customHeight="1">
      <c r="A24" s="69"/>
      <c r="B24" s="57"/>
      <c r="C24" s="651"/>
      <c r="D24" s="651"/>
      <c r="E24" s="651"/>
      <c r="F24" s="669">
        <f t="shared" si="0"/>
        <v>0</v>
      </c>
      <c r="G24" s="669">
        <f t="shared" si="1"/>
        <v>0</v>
      </c>
      <c r="H24" s="670">
        <f t="shared" si="2"/>
        <v>0</v>
      </c>
    </row>
    <row r="25" spans="1:8" ht="20.100000000000001" customHeight="1">
      <c r="A25" s="69"/>
      <c r="B25" s="57"/>
      <c r="C25" s="651"/>
      <c r="D25" s="651"/>
      <c r="E25" s="651"/>
      <c r="F25" s="669">
        <f t="shared" si="0"/>
        <v>0</v>
      </c>
      <c r="G25" s="669">
        <f t="shared" si="1"/>
        <v>0</v>
      </c>
      <c r="H25" s="670">
        <f t="shared" si="2"/>
        <v>0</v>
      </c>
    </row>
    <row r="26" spans="1:8" ht="20.100000000000001" customHeight="1">
      <c r="A26" s="69"/>
      <c r="B26" s="57"/>
      <c r="C26" s="651"/>
      <c r="D26" s="651"/>
      <c r="E26" s="651"/>
      <c r="F26" s="669">
        <f t="shared" si="0"/>
        <v>0</v>
      </c>
      <c r="G26" s="669">
        <f t="shared" si="1"/>
        <v>0</v>
      </c>
      <c r="H26" s="670">
        <f t="shared" si="2"/>
        <v>0</v>
      </c>
    </row>
    <row r="27" spans="1:8" ht="20.100000000000001" customHeight="1">
      <c r="A27" s="69"/>
      <c r="B27" s="57"/>
      <c r="C27" s="651"/>
      <c r="D27" s="651"/>
      <c r="E27" s="651"/>
      <c r="F27" s="669">
        <f t="shared" si="0"/>
        <v>0</v>
      </c>
      <c r="G27" s="669">
        <f t="shared" si="1"/>
        <v>0</v>
      </c>
      <c r="H27" s="670">
        <f t="shared" si="2"/>
        <v>0</v>
      </c>
    </row>
    <row r="28" spans="1:8" ht="19.5" customHeight="1">
      <c r="A28" s="69"/>
      <c r="B28" s="57"/>
      <c r="C28" s="651"/>
      <c r="D28" s="651"/>
      <c r="E28" s="651"/>
      <c r="F28" s="669">
        <f t="shared" si="0"/>
        <v>0</v>
      </c>
      <c r="G28" s="669">
        <f t="shared" si="1"/>
        <v>0</v>
      </c>
      <c r="H28" s="670">
        <f t="shared" si="2"/>
        <v>0</v>
      </c>
    </row>
    <row r="29" spans="1:8" ht="20.100000000000001" customHeight="1">
      <c r="A29" s="69"/>
      <c r="B29" s="57"/>
      <c r="C29" s="651"/>
      <c r="D29" s="651"/>
      <c r="E29" s="651"/>
      <c r="F29" s="669">
        <f t="shared" si="0"/>
        <v>0</v>
      </c>
      <c r="G29" s="669">
        <f t="shared" si="1"/>
        <v>0</v>
      </c>
      <c r="H29" s="670">
        <f t="shared" si="2"/>
        <v>0</v>
      </c>
    </row>
    <row r="30" spans="1:8" ht="20.100000000000001" customHeight="1">
      <c r="A30" s="69"/>
      <c r="B30" s="57"/>
      <c r="C30" s="651"/>
      <c r="D30" s="651"/>
      <c r="E30" s="651"/>
      <c r="F30" s="669">
        <f t="shared" si="0"/>
        <v>0</v>
      </c>
      <c r="G30" s="669">
        <f t="shared" si="1"/>
        <v>0</v>
      </c>
      <c r="H30" s="670">
        <f t="shared" si="2"/>
        <v>0</v>
      </c>
    </row>
    <row r="31" spans="1:8" ht="20.100000000000001" customHeight="1">
      <c r="A31" s="69"/>
      <c r="B31" s="57"/>
      <c r="C31" s="651"/>
      <c r="D31" s="651"/>
      <c r="E31" s="651"/>
      <c r="F31" s="669">
        <f t="shared" si="0"/>
        <v>0</v>
      </c>
      <c r="G31" s="669">
        <f t="shared" si="1"/>
        <v>0</v>
      </c>
      <c r="H31" s="670">
        <f t="shared" si="2"/>
        <v>0</v>
      </c>
    </row>
    <row r="32" spans="1:8" ht="24.75" customHeight="1" thickBot="1">
      <c r="A32" s="953" t="s">
        <v>16</v>
      </c>
      <c r="B32" s="954"/>
      <c r="C32" s="671"/>
      <c r="D32" s="671"/>
      <c r="E32" s="671"/>
      <c r="F32" s="672">
        <f>F4</f>
        <v>480000</v>
      </c>
      <c r="G32" s="672">
        <f>SUM(G5:G31)</f>
        <v>91200000</v>
      </c>
      <c r="H32" s="673">
        <f>G32+F32</f>
        <v>91680000</v>
      </c>
    </row>
    <row r="33" spans="1:8">
      <c r="A33" s="950"/>
      <c r="B33" s="951"/>
      <c r="C33" s="951"/>
      <c r="D33" s="951"/>
      <c r="E33" s="951"/>
      <c r="F33" s="951"/>
      <c r="G33" s="951"/>
      <c r="H33" s="951"/>
    </row>
    <row r="34" spans="1:8">
      <c r="A34" s="952"/>
      <c r="B34" s="952"/>
      <c r="C34" s="952"/>
      <c r="D34" s="952"/>
      <c r="E34" s="952"/>
      <c r="F34" s="952"/>
      <c r="G34" s="952"/>
      <c r="H34" s="952"/>
    </row>
  </sheetData>
  <mergeCells count="9">
    <mergeCell ref="A33:H34"/>
    <mergeCell ref="A32:B32"/>
    <mergeCell ref="A1:H1"/>
    <mergeCell ref="A2:A3"/>
    <mergeCell ref="B2:B3"/>
    <mergeCell ref="C2:D2"/>
    <mergeCell ref="E2:E3"/>
    <mergeCell ref="F2:G2"/>
    <mergeCell ref="H2:H3"/>
  </mergeCells>
  <phoneticPr fontId="5" type="noConversion"/>
  <printOptions horizontalCentered="1"/>
  <pageMargins left="0.74803149606299213" right="0.74803149606299213" top="1.7716535433070868" bottom="0.39370078740157483" header="0.51181102362204722" footer="0.51181102362204722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39</vt:i4>
      </vt:variant>
    </vt:vector>
  </HeadingPairs>
  <TitlesOfParts>
    <vt:vector size="83" baseType="lpstr">
      <vt:lpstr>زمين</vt:lpstr>
      <vt:lpstr>محوطه سازي</vt:lpstr>
      <vt:lpstr>ساختمان</vt:lpstr>
      <vt:lpstr>جزئيات تاسيسات</vt:lpstr>
      <vt:lpstr>تاسيسات</vt:lpstr>
      <vt:lpstr>ماشين‌آلات</vt:lpstr>
      <vt:lpstr>لوازم اداري</vt:lpstr>
      <vt:lpstr>وسايط نقليه</vt:lpstr>
      <vt:lpstr>ساير هزينه هاي ثابت</vt:lpstr>
      <vt:lpstr>قبل‌از بهره‌برداري</vt:lpstr>
      <vt:lpstr>سرمايه‌‌گذاري طرح</vt:lpstr>
      <vt:lpstr>مواد اوليه</vt:lpstr>
      <vt:lpstr>نيروي انساني</vt:lpstr>
      <vt:lpstr> مصرفي</vt:lpstr>
      <vt:lpstr>تعميرات و نگهداري </vt:lpstr>
      <vt:lpstr>استهلاک ها</vt:lpstr>
      <vt:lpstr>استهلاك</vt:lpstr>
      <vt:lpstr>هزينه هاي توليد</vt:lpstr>
      <vt:lpstr>برآورد فروش</vt:lpstr>
      <vt:lpstr>سرمايه در گردش</vt:lpstr>
      <vt:lpstr>هزينه هاي ثابت و متغير</vt:lpstr>
      <vt:lpstr>منابع و مصارف</vt:lpstr>
      <vt:lpstr>منابع و مصارف1</vt:lpstr>
      <vt:lpstr>ترازنامه</vt:lpstr>
      <vt:lpstr>ترازنامه توسعه</vt:lpstr>
      <vt:lpstr>ex1</vt:lpstr>
      <vt:lpstr>ex</vt:lpstr>
      <vt:lpstr>آنالیز حساسیت</vt:lpstr>
      <vt:lpstr>ترازنامه ایجادی</vt:lpstr>
      <vt:lpstr>نسبتهای توسعه</vt:lpstr>
      <vt:lpstr>نسبتهای ایجادی</vt:lpstr>
      <vt:lpstr>شاخص هاي اقتصادي</vt:lpstr>
      <vt:lpstr>پيش بيني عملكرد سود و زيان</vt:lpstr>
      <vt:lpstr>جریان نقدینگی</vt:lpstr>
      <vt:lpstr>جریان نقدینگی تنزیل شده1</vt:lpstr>
      <vt:lpstr>جریان نقدینگی تنزیل شده2</vt:lpstr>
      <vt:lpstr>forbiden</vt:lpstr>
      <vt:lpstr>نمودار</vt:lpstr>
      <vt:lpstr>منابع تامين سرمايه گذاري</vt:lpstr>
      <vt:lpstr>تسهیلات</vt:lpstr>
      <vt:lpstr>خلاصه گزارش</vt:lpstr>
      <vt:lpstr>نتيجه گيري گزارش</vt:lpstr>
      <vt:lpstr>نتيجه گيري گزارش1</vt:lpstr>
      <vt:lpstr>مفروضات</vt:lpstr>
      <vt:lpstr>' مصرفي'!Print_Area</vt:lpstr>
      <vt:lpstr>forbiden!Print_Area</vt:lpstr>
      <vt:lpstr>استهلاك!Print_Area</vt:lpstr>
      <vt:lpstr>'برآورد فروش'!Print_Area</vt:lpstr>
      <vt:lpstr>'پيش بيني عملكرد سود و زيان'!Print_Area</vt:lpstr>
      <vt:lpstr>تاسيسات!Print_Area</vt:lpstr>
      <vt:lpstr>'ترازنامه ایجادی'!Print_Area</vt:lpstr>
      <vt:lpstr>'ترازنامه توسعه'!Print_Area</vt:lpstr>
      <vt:lpstr>'جریان نقدینگی'!Print_Area</vt:lpstr>
      <vt:lpstr>'جریان نقدینگی تنزیل شده1'!Print_Area</vt:lpstr>
      <vt:lpstr>'جریان نقدینگی تنزیل شده2'!Print_Area</vt:lpstr>
      <vt:lpstr>'جزئيات تاسيسات'!Print_Area</vt:lpstr>
      <vt:lpstr>'خلاصه گزارش'!Print_Area</vt:lpstr>
      <vt:lpstr>زمين!Print_Area</vt:lpstr>
      <vt:lpstr>ساختمان!Print_Area</vt:lpstr>
      <vt:lpstr>'ساير هزينه هاي ثابت'!Print_Area</vt:lpstr>
      <vt:lpstr>'سرمايه در گردش'!Print_Area</vt:lpstr>
      <vt:lpstr>'سرمايه‌‌گذاري طرح'!Print_Area</vt:lpstr>
      <vt:lpstr>'شاخص هاي اقتصادي'!Print_Area</vt:lpstr>
      <vt:lpstr>'قبل‌از بهره‌برداري'!Print_Area</vt:lpstr>
      <vt:lpstr>'لوازم اداري'!Print_Area</vt:lpstr>
      <vt:lpstr>ماشين‌آلات!Print_Area</vt:lpstr>
      <vt:lpstr>'محوطه سازي'!Print_Area</vt:lpstr>
      <vt:lpstr>مفروضات!Print_Area</vt:lpstr>
      <vt:lpstr>'منابع تامين سرمايه گذاري'!Print_Area</vt:lpstr>
      <vt:lpstr>'منابع و مصارف1'!Print_Area</vt:lpstr>
      <vt:lpstr>'مواد اوليه'!Print_Area</vt:lpstr>
      <vt:lpstr>'نتيجه گيري گزارش'!Print_Area</vt:lpstr>
      <vt:lpstr>'نتيجه گيري گزارش1'!Print_Area</vt:lpstr>
      <vt:lpstr>'نسبتهای ایجادی'!Print_Area</vt:lpstr>
      <vt:lpstr>'نسبتهای توسعه'!Print_Area</vt:lpstr>
      <vt:lpstr>'نيروي انساني'!Print_Area</vt:lpstr>
      <vt:lpstr>'هزينه هاي توليد'!Print_Area</vt:lpstr>
      <vt:lpstr>'هزينه هاي ثابت و متغير'!Print_Area</vt:lpstr>
      <vt:lpstr>'وسايط نقليه'!Print_Area</vt:lpstr>
      <vt:lpstr>'پيش بيني عملكرد سود و زيان'!Print_Titles</vt:lpstr>
      <vt:lpstr>'ترازنامه ایجادی'!Print_Titles</vt:lpstr>
      <vt:lpstr>'جریان نقدینگی'!Print_Titles</vt:lpstr>
      <vt:lpstr>ماشين‌آلات!Print_Titles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--</dc:creator>
  <cp:lastModifiedBy>Hosein shalbaf</cp:lastModifiedBy>
  <cp:lastPrinted>2026-01-12T13:02:53Z</cp:lastPrinted>
  <dcterms:created xsi:type="dcterms:W3CDTF">2001-04-07T06:55:31Z</dcterms:created>
  <dcterms:modified xsi:type="dcterms:W3CDTF">2026-05-19T04:56:05Z</dcterms:modified>
</cp:coreProperties>
</file>