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ml.chartshape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C:\Users\a.faraji\Desktop\"/>
    </mc:Choice>
  </mc:AlternateContent>
  <xr:revisionPtr revIDLastSave="0" documentId="13_ncr:1_{458F6124-EC81-47B9-A83F-C3A8EBEB0F37}" xr6:coauthVersionLast="47" xr6:coauthVersionMax="47" xr10:uidLastSave="{00000000-0000-0000-0000-000000000000}"/>
  <bookViews>
    <workbookView xWindow="-108" yWindow="-108" windowWidth="23256" windowHeight="12576" tabRatio="605" xr2:uid="{22E6053C-410C-4616-BF68-45C0F59E7DA6}"/>
  </bookViews>
  <sheets>
    <sheet name="Report Dashboard" sheetId="21" r:id="rId1"/>
    <sheet name="Sheet2" sheetId="25" r:id="rId2"/>
    <sheet name="calc" sheetId="22" r:id="rId3"/>
    <sheet name="جزییات بارگیری" sheetId="6" r:id="rId4"/>
    <sheet name="عرضه بورس" sheetId="24" r:id="rId5"/>
    <sheet name="Sheet1" sheetId="23" r:id="rId6"/>
    <sheet name="لیست پیش فاکتور ها" sheetId="5" r:id="rId7"/>
    <sheet name="زمانبندی فروش" sheetId="18" r:id="rId8"/>
    <sheet name="فروش انجمن" sheetId="19" r:id="rId9"/>
    <sheet name="زمانبندی فروش (2)" sheetId="20" r:id="rId10"/>
  </sheets>
  <definedNames>
    <definedName name="_xlnm._FilterDatabase" localSheetId="2" hidden="1">calc!$BV$8:$BV$12</definedName>
    <definedName name="_xlnm._FilterDatabase" localSheetId="9" hidden="1">'زمانبندی فروش (2)'!$A$1:$Q$46</definedName>
    <definedName name="_xlnm._FilterDatabase" localSheetId="8" hidden="1">'فروش انجمن'!$A$2:$B$16</definedName>
    <definedName name="_xlcn.WorksheetConnection_Sale_Dashboard.xlsxinvoice21" hidden="1">invoice2[]</definedName>
    <definedName name="_xlcn.WorksheetConnection_گزارشتجمیعیفروش.xlsxbargiri1" hidden="1">bargiri[]</definedName>
    <definedName name="_xlcn.WorksheetConnection_گزارشتجمیعیفروش.xlsxinvoice1" hidden="1">invoice[]</definedName>
    <definedName name="_xlcn.WorksheetConnection_گزارشتجمیعیفروش.xlsxTable11" hidden="1">Table1</definedName>
    <definedName name="ExternalData_1" localSheetId="3" hidden="1">'جزییات بارگیری'!$A$1:$G$3162</definedName>
    <definedName name="_xlnm.Print_Area" localSheetId="5">Sheet1!$C$1:$H$18</definedName>
    <definedName name="_xlnm.Print_Area" localSheetId="8">'فروش انجمن'!$A$2:$F$16</definedName>
    <definedName name="_xlnm.Print_Titles" localSheetId="7">'زمانبندی فروش'!$1:$1</definedName>
    <definedName name="_xlnm.Print_Titles" localSheetId="9">'زمانبندی فروش (2)'!$1:$1</definedName>
    <definedName name="_xlnm.Print_Titles" localSheetId="8">'فروش انجمن'!$2:$2</definedName>
    <definedName name="Slicer_نام_مشتری">#N/A</definedName>
    <definedName name="year">calc!$BV$5</definedName>
    <definedName name="years">calc!$BU$24:$BU$34</definedName>
  </definedNames>
  <calcPr calcId="191029"/>
  <pivotCaches>
    <pivotCache cacheId="2191" r:id="rId11"/>
    <pivotCache cacheId="2958" r:id="rId12"/>
    <pivotCache cacheId="2961" r:id="rId13"/>
    <pivotCache cacheId="2964" r:id="rId14"/>
    <pivotCache cacheId="2967" r:id="rId15"/>
    <pivotCache cacheId="2970" r:id="rId16"/>
    <pivotCache cacheId="2974" r:id="rId17"/>
    <pivotCache cacheId="2977" r:id="rId18"/>
    <pivotCache cacheId="2980" r:id="rId19"/>
  </pivotCaches>
  <extLst>
    <ext xmlns:x14="http://schemas.microsoft.com/office/spreadsheetml/2009/9/main" uri="{876F7934-8845-4945-9796-88D515C7AA90}">
      <x14:pivotCaches>
        <pivotCache cacheId="2973" r:id="rId20"/>
      </x14:pivotCaches>
    </ext>
    <ext xmlns:x14="http://schemas.microsoft.com/office/spreadsheetml/2009/9/main" uri="{BBE1A952-AA13-448e-AADC-164F8A28A991}">
      <x14:slicerCaches>
        <x14:slicerCache r:id="rId2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 name="Table1" connection="WorksheetConnection_گزارش تجمیعی فروش.xlsx!Table1"/>
          <x15:modelTable id="invoice" name="invoice" connection="WorksheetConnection_گزارش تجمیعی فروش.xlsx!invoice"/>
          <x15:modelTable id="bargiri" name="bargiri" connection="WorksheetConnection_گزارش تجمیعی فروش.xlsx!bargiri"/>
          <x15:modelTable id="invoice2" name="invoice2" connection="WorksheetConnection_Sale_Dashboard.xlsx!invoice2"/>
        </x15:modelTables>
        <x15:modelRelationships>
          <x15:modelRelationship fromTable="bargiri" fromColumn="شماره پیش فاکتور" toTable="invoice" toColumn="شماره پیش فاکتور"/>
          <x15:modelRelationship fromTable="invoice" fromColumn="شماره پیش فاکتور" toTable="invoice2" toColumn="شماره پیش فاکتور"/>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6" l="1"/>
  <c r="H3" i="6"/>
  <c r="H4" i="6"/>
  <c r="H5" i="6"/>
  <c r="H6" i="6"/>
  <c r="H7" i="6"/>
  <c r="H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3" i="6"/>
  <c r="H164" i="6"/>
  <c r="H165" i="6"/>
  <c r="H166" i="6"/>
  <c r="H167" i="6"/>
  <c r="H168" i="6"/>
  <c r="H169" i="6"/>
  <c r="H170" i="6"/>
  <c r="H171" i="6"/>
  <c r="H172" i="6"/>
  <c r="H173" i="6"/>
  <c r="H174" i="6"/>
  <c r="H175" i="6"/>
  <c r="H176" i="6"/>
  <c r="H177"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1" i="6"/>
  <c r="H222" i="6"/>
  <c r="H223" i="6"/>
  <c r="H224" i="6"/>
  <c r="H225" i="6"/>
  <c r="H226" i="6"/>
  <c r="H227" i="6"/>
  <c r="H228" i="6"/>
  <c r="H229" i="6"/>
  <c r="H230" i="6"/>
  <c r="H231" i="6"/>
  <c r="H232" i="6"/>
  <c r="H233" i="6"/>
  <c r="H234" i="6"/>
  <c r="H235" i="6"/>
  <c r="H236" i="6"/>
  <c r="H237" i="6"/>
  <c r="H238" i="6"/>
  <c r="H239" i="6"/>
  <c r="H240" i="6"/>
  <c r="H241" i="6"/>
  <c r="H242" i="6"/>
  <c r="H243" i="6"/>
  <c r="H244" i="6"/>
  <c r="H245" i="6"/>
  <c r="H246" i="6"/>
  <c r="H247" i="6"/>
  <c r="H248" i="6"/>
  <c r="H249" i="6"/>
  <c r="H250" i="6"/>
  <c r="H251" i="6"/>
  <c r="H252" i="6"/>
  <c r="H253" i="6"/>
  <c r="H254" i="6"/>
  <c r="H255" i="6"/>
  <c r="H256" i="6"/>
  <c r="H257" i="6"/>
  <c r="H258" i="6"/>
  <c r="H259" i="6"/>
  <c r="H260" i="6"/>
  <c r="H261" i="6"/>
  <c r="H262" i="6"/>
  <c r="H263" i="6"/>
  <c r="H264" i="6"/>
  <c r="H265" i="6"/>
  <c r="H266" i="6"/>
  <c r="H267" i="6"/>
  <c r="H268" i="6"/>
  <c r="H269" i="6"/>
  <c r="H270" i="6"/>
  <c r="H271" i="6"/>
  <c r="H272" i="6"/>
  <c r="H273" i="6"/>
  <c r="H274" i="6"/>
  <c r="H275" i="6"/>
  <c r="H276" i="6"/>
  <c r="H277" i="6"/>
  <c r="H278" i="6"/>
  <c r="H279" i="6"/>
  <c r="H280" i="6"/>
  <c r="H281" i="6"/>
  <c r="H282" i="6"/>
  <c r="H283" i="6"/>
  <c r="H284" i="6"/>
  <c r="H285" i="6"/>
  <c r="H286" i="6"/>
  <c r="H287" i="6"/>
  <c r="H288" i="6"/>
  <c r="H289" i="6"/>
  <c r="H290" i="6"/>
  <c r="H291" i="6"/>
  <c r="H292" i="6"/>
  <c r="H293" i="6"/>
  <c r="H294" i="6"/>
  <c r="H295" i="6"/>
  <c r="H296" i="6"/>
  <c r="H297" i="6"/>
  <c r="H298" i="6"/>
  <c r="H299" i="6"/>
  <c r="H300" i="6"/>
  <c r="H301" i="6"/>
  <c r="H302" i="6"/>
  <c r="H303" i="6"/>
  <c r="H304" i="6"/>
  <c r="H305" i="6"/>
  <c r="H306" i="6"/>
  <c r="H307" i="6"/>
  <c r="H308" i="6"/>
  <c r="H309" i="6"/>
  <c r="H310" i="6"/>
  <c r="H311" i="6"/>
  <c r="H312" i="6"/>
  <c r="H313" i="6"/>
  <c r="H314" i="6"/>
  <c r="H315" i="6"/>
  <c r="H316" i="6"/>
  <c r="H317" i="6"/>
  <c r="H318" i="6"/>
  <c r="H319" i="6"/>
  <c r="H320" i="6"/>
  <c r="H321" i="6"/>
  <c r="H322" i="6"/>
  <c r="H323" i="6"/>
  <c r="H324" i="6"/>
  <c r="H325" i="6"/>
  <c r="H326" i="6"/>
  <c r="H327" i="6"/>
  <c r="H328" i="6"/>
  <c r="H329" i="6"/>
  <c r="H330" i="6"/>
  <c r="H331" i="6"/>
  <c r="H332" i="6"/>
  <c r="H333" i="6"/>
  <c r="H334" i="6"/>
  <c r="H335" i="6"/>
  <c r="H336" i="6"/>
  <c r="H337" i="6"/>
  <c r="H338" i="6"/>
  <c r="H339" i="6"/>
  <c r="H340" i="6"/>
  <c r="H341" i="6"/>
  <c r="H342" i="6"/>
  <c r="H343" i="6"/>
  <c r="H344" i="6"/>
  <c r="H345" i="6"/>
  <c r="H346" i="6"/>
  <c r="H347" i="6"/>
  <c r="H348" i="6"/>
  <c r="H349" i="6"/>
  <c r="H350" i="6"/>
  <c r="H351" i="6"/>
  <c r="H352" i="6"/>
  <c r="H353" i="6"/>
  <c r="H354" i="6"/>
  <c r="H355" i="6"/>
  <c r="H356" i="6"/>
  <c r="H357" i="6"/>
  <c r="H358" i="6"/>
  <c r="H359" i="6"/>
  <c r="H360" i="6"/>
  <c r="H361" i="6"/>
  <c r="H362" i="6"/>
  <c r="H363" i="6"/>
  <c r="H364" i="6"/>
  <c r="H365" i="6"/>
  <c r="H366" i="6"/>
  <c r="H367" i="6"/>
  <c r="H368" i="6"/>
  <c r="H369" i="6"/>
  <c r="H370" i="6"/>
  <c r="H371" i="6"/>
  <c r="H372" i="6"/>
  <c r="H373" i="6"/>
  <c r="H374" i="6"/>
  <c r="H375" i="6"/>
  <c r="H376" i="6"/>
  <c r="H377" i="6"/>
  <c r="H378" i="6"/>
  <c r="H379" i="6"/>
  <c r="H380" i="6"/>
  <c r="H381" i="6"/>
  <c r="H382" i="6"/>
  <c r="H383" i="6"/>
  <c r="H384" i="6"/>
  <c r="H385" i="6"/>
  <c r="H386" i="6"/>
  <c r="H387" i="6"/>
  <c r="H388" i="6"/>
  <c r="H389" i="6"/>
  <c r="H390" i="6"/>
  <c r="H391" i="6"/>
  <c r="H392" i="6"/>
  <c r="H393" i="6"/>
  <c r="H394" i="6"/>
  <c r="H395" i="6"/>
  <c r="H396" i="6"/>
  <c r="H397" i="6"/>
  <c r="H398" i="6"/>
  <c r="H399" i="6"/>
  <c r="H400" i="6"/>
  <c r="H401" i="6"/>
  <c r="H402" i="6"/>
  <c r="H403" i="6"/>
  <c r="H404" i="6"/>
  <c r="H405" i="6"/>
  <c r="H406" i="6"/>
  <c r="H407" i="6"/>
  <c r="H408" i="6"/>
  <c r="H409" i="6"/>
  <c r="H410" i="6"/>
  <c r="H411" i="6"/>
  <c r="H412" i="6"/>
  <c r="H413" i="6"/>
  <c r="H414" i="6"/>
  <c r="H415" i="6"/>
  <c r="H416" i="6"/>
  <c r="H417" i="6"/>
  <c r="H418" i="6"/>
  <c r="H419" i="6"/>
  <c r="H420" i="6"/>
  <c r="H421" i="6"/>
  <c r="H422" i="6"/>
  <c r="H423" i="6"/>
  <c r="H424" i="6"/>
  <c r="H425" i="6"/>
  <c r="H426" i="6"/>
  <c r="H427" i="6"/>
  <c r="H428" i="6"/>
  <c r="H429" i="6"/>
  <c r="H430" i="6"/>
  <c r="H431" i="6"/>
  <c r="H432" i="6"/>
  <c r="H433" i="6"/>
  <c r="H434" i="6"/>
  <c r="H435" i="6"/>
  <c r="H436" i="6"/>
  <c r="H437" i="6"/>
  <c r="H438" i="6"/>
  <c r="H439" i="6"/>
  <c r="H440" i="6"/>
  <c r="H441" i="6"/>
  <c r="H442" i="6"/>
  <c r="H443" i="6"/>
  <c r="H444" i="6"/>
  <c r="H445" i="6"/>
  <c r="H446" i="6"/>
  <c r="H447" i="6"/>
  <c r="H448" i="6"/>
  <c r="H449" i="6"/>
  <c r="H450" i="6"/>
  <c r="H451" i="6"/>
  <c r="H452" i="6"/>
  <c r="H453" i="6"/>
  <c r="H454" i="6"/>
  <c r="H455" i="6"/>
  <c r="H456" i="6"/>
  <c r="H457" i="6"/>
  <c r="H458" i="6"/>
  <c r="H459" i="6"/>
  <c r="H460" i="6"/>
  <c r="H461" i="6"/>
  <c r="H462" i="6"/>
  <c r="H463" i="6"/>
  <c r="H464" i="6"/>
  <c r="H465" i="6"/>
  <c r="H466" i="6"/>
  <c r="H467" i="6"/>
  <c r="H468" i="6"/>
  <c r="H469" i="6"/>
  <c r="H470" i="6"/>
  <c r="H471" i="6"/>
  <c r="H472" i="6"/>
  <c r="H473" i="6"/>
  <c r="H474" i="6"/>
  <c r="H475" i="6"/>
  <c r="H476" i="6"/>
  <c r="H477" i="6"/>
  <c r="H478" i="6"/>
  <c r="H479" i="6"/>
  <c r="H480" i="6"/>
  <c r="H481" i="6"/>
  <c r="H482" i="6"/>
  <c r="H483" i="6"/>
  <c r="H484" i="6"/>
  <c r="H485" i="6"/>
  <c r="H486" i="6"/>
  <c r="H487" i="6"/>
  <c r="H488" i="6"/>
  <c r="H489" i="6"/>
  <c r="H490" i="6"/>
  <c r="H491" i="6"/>
  <c r="H492" i="6"/>
  <c r="H493" i="6"/>
  <c r="H494" i="6"/>
  <c r="H495" i="6"/>
  <c r="H496" i="6"/>
  <c r="H497" i="6"/>
  <c r="H498" i="6"/>
  <c r="H499" i="6"/>
  <c r="H500" i="6"/>
  <c r="H501" i="6"/>
  <c r="H502" i="6"/>
  <c r="H503" i="6"/>
  <c r="H504" i="6"/>
  <c r="H505" i="6"/>
  <c r="H506" i="6"/>
  <c r="H507" i="6"/>
  <c r="H508" i="6"/>
  <c r="H509" i="6"/>
  <c r="H510" i="6"/>
  <c r="H511" i="6"/>
  <c r="H512" i="6"/>
  <c r="H513" i="6"/>
  <c r="H514" i="6"/>
  <c r="H515" i="6"/>
  <c r="H516" i="6"/>
  <c r="H517" i="6"/>
  <c r="H518" i="6"/>
  <c r="H519" i="6"/>
  <c r="H520" i="6"/>
  <c r="H521" i="6"/>
  <c r="H522" i="6"/>
  <c r="H523" i="6"/>
  <c r="H524" i="6"/>
  <c r="H525" i="6"/>
  <c r="H526" i="6"/>
  <c r="H527" i="6"/>
  <c r="H528" i="6"/>
  <c r="H529" i="6"/>
  <c r="H530" i="6"/>
  <c r="H531" i="6"/>
  <c r="H532" i="6"/>
  <c r="H533" i="6"/>
  <c r="H534" i="6"/>
  <c r="H535" i="6"/>
  <c r="H536" i="6"/>
  <c r="H537" i="6"/>
  <c r="H538" i="6"/>
  <c r="H539" i="6"/>
  <c r="H540" i="6"/>
  <c r="H541" i="6"/>
  <c r="H542" i="6"/>
  <c r="H543" i="6"/>
  <c r="H544" i="6"/>
  <c r="H545" i="6"/>
  <c r="H546" i="6"/>
  <c r="H547" i="6"/>
  <c r="H548" i="6"/>
  <c r="H549" i="6"/>
  <c r="H550" i="6"/>
  <c r="H551" i="6"/>
  <c r="H552" i="6"/>
  <c r="H553" i="6"/>
  <c r="H554" i="6"/>
  <c r="H555" i="6"/>
  <c r="H556" i="6"/>
  <c r="H557" i="6"/>
  <c r="H558" i="6"/>
  <c r="H559" i="6"/>
  <c r="H560" i="6"/>
  <c r="H561" i="6"/>
  <c r="H562" i="6"/>
  <c r="H563" i="6"/>
  <c r="H564" i="6"/>
  <c r="H565" i="6"/>
  <c r="H566" i="6"/>
  <c r="H567" i="6"/>
  <c r="H568" i="6"/>
  <c r="H569" i="6"/>
  <c r="H570" i="6"/>
  <c r="H571" i="6"/>
  <c r="H572" i="6"/>
  <c r="H573" i="6"/>
  <c r="H574" i="6"/>
  <c r="H575" i="6"/>
  <c r="H576" i="6"/>
  <c r="H577" i="6"/>
  <c r="H578" i="6"/>
  <c r="H579" i="6"/>
  <c r="H580" i="6"/>
  <c r="H581" i="6"/>
  <c r="H582" i="6"/>
  <c r="H583" i="6"/>
  <c r="H584" i="6"/>
  <c r="H585" i="6"/>
  <c r="H586" i="6"/>
  <c r="H587" i="6"/>
  <c r="H588" i="6"/>
  <c r="H589" i="6"/>
  <c r="H590" i="6"/>
  <c r="H591" i="6"/>
  <c r="H592" i="6"/>
  <c r="H593" i="6"/>
  <c r="H594" i="6"/>
  <c r="H595" i="6"/>
  <c r="H596" i="6"/>
  <c r="H597" i="6"/>
  <c r="H598" i="6"/>
  <c r="H599" i="6"/>
  <c r="H600" i="6"/>
  <c r="H601" i="6"/>
  <c r="H602" i="6"/>
  <c r="H603" i="6"/>
  <c r="H604" i="6"/>
  <c r="H605" i="6"/>
  <c r="H606" i="6"/>
  <c r="H607" i="6"/>
  <c r="H608" i="6"/>
  <c r="H609" i="6"/>
  <c r="H610" i="6"/>
  <c r="H611" i="6"/>
  <c r="H612" i="6"/>
  <c r="H613" i="6"/>
  <c r="H614" i="6"/>
  <c r="H615" i="6"/>
  <c r="H616" i="6"/>
  <c r="H617" i="6"/>
  <c r="H618" i="6"/>
  <c r="H619" i="6"/>
  <c r="H620" i="6"/>
  <c r="H621" i="6"/>
  <c r="H622" i="6"/>
  <c r="H623" i="6"/>
  <c r="H624" i="6"/>
  <c r="H625" i="6"/>
  <c r="H626" i="6"/>
  <c r="H627" i="6"/>
  <c r="H628" i="6"/>
  <c r="H629" i="6"/>
  <c r="H630" i="6"/>
  <c r="H631" i="6"/>
  <c r="H632" i="6"/>
  <c r="H633" i="6"/>
  <c r="H634" i="6"/>
  <c r="H635" i="6"/>
  <c r="H636" i="6"/>
  <c r="H637" i="6"/>
  <c r="H638" i="6"/>
  <c r="H639" i="6"/>
  <c r="H640" i="6"/>
  <c r="H641" i="6"/>
  <c r="H642" i="6"/>
  <c r="H643" i="6"/>
  <c r="H644" i="6"/>
  <c r="H645" i="6"/>
  <c r="H646" i="6"/>
  <c r="H647" i="6"/>
  <c r="H648" i="6"/>
  <c r="H649" i="6"/>
  <c r="H650" i="6"/>
  <c r="H651" i="6"/>
  <c r="H652" i="6"/>
  <c r="H653" i="6"/>
  <c r="H654" i="6"/>
  <c r="H655" i="6"/>
  <c r="H656" i="6"/>
  <c r="H657" i="6"/>
  <c r="H658" i="6"/>
  <c r="H659" i="6"/>
  <c r="H660" i="6"/>
  <c r="H661" i="6"/>
  <c r="H662" i="6"/>
  <c r="H663" i="6"/>
  <c r="H664" i="6"/>
  <c r="H665" i="6"/>
  <c r="H666" i="6"/>
  <c r="H667" i="6"/>
  <c r="H668" i="6"/>
  <c r="H669" i="6"/>
  <c r="H670" i="6"/>
  <c r="H671" i="6"/>
  <c r="H672" i="6"/>
  <c r="H673" i="6"/>
  <c r="H674" i="6"/>
  <c r="H675" i="6"/>
  <c r="H676" i="6"/>
  <c r="H677" i="6"/>
  <c r="H678" i="6"/>
  <c r="H679" i="6"/>
  <c r="H680" i="6"/>
  <c r="H681" i="6"/>
  <c r="H682" i="6"/>
  <c r="H683" i="6"/>
  <c r="H684" i="6"/>
  <c r="H685" i="6"/>
  <c r="H686" i="6"/>
  <c r="H687" i="6"/>
  <c r="H688" i="6"/>
  <c r="H689" i="6"/>
  <c r="H690" i="6"/>
  <c r="H691" i="6"/>
  <c r="H692" i="6"/>
  <c r="H693" i="6"/>
  <c r="H694" i="6"/>
  <c r="H695" i="6"/>
  <c r="H696" i="6"/>
  <c r="H697" i="6"/>
  <c r="H698" i="6"/>
  <c r="H699" i="6"/>
  <c r="H700" i="6"/>
  <c r="H701" i="6"/>
  <c r="H702" i="6"/>
  <c r="H703" i="6"/>
  <c r="H704" i="6"/>
  <c r="H705" i="6"/>
  <c r="H706" i="6"/>
  <c r="H707" i="6"/>
  <c r="H708" i="6"/>
  <c r="H709" i="6"/>
  <c r="H710" i="6"/>
  <c r="H711" i="6"/>
  <c r="H712" i="6"/>
  <c r="H713" i="6"/>
  <c r="H714" i="6"/>
  <c r="H715" i="6"/>
  <c r="H716" i="6"/>
  <c r="H717" i="6"/>
  <c r="H718" i="6"/>
  <c r="H719" i="6"/>
  <c r="H720" i="6"/>
  <c r="H721" i="6"/>
  <c r="H722" i="6"/>
  <c r="H723" i="6"/>
  <c r="H724" i="6"/>
  <c r="H725" i="6"/>
  <c r="H726" i="6"/>
  <c r="H727" i="6"/>
  <c r="H728" i="6"/>
  <c r="H729" i="6"/>
  <c r="H730" i="6"/>
  <c r="H731" i="6"/>
  <c r="H732" i="6"/>
  <c r="H733" i="6"/>
  <c r="H734" i="6"/>
  <c r="H735" i="6"/>
  <c r="H736" i="6"/>
  <c r="H737" i="6"/>
  <c r="H738" i="6"/>
  <c r="H739" i="6"/>
  <c r="H740" i="6"/>
  <c r="H741" i="6"/>
  <c r="H742" i="6"/>
  <c r="H743" i="6"/>
  <c r="H744" i="6"/>
  <c r="H745" i="6"/>
  <c r="H746" i="6"/>
  <c r="H747" i="6"/>
  <c r="H748" i="6"/>
  <c r="H749" i="6"/>
  <c r="H750" i="6"/>
  <c r="H751" i="6"/>
  <c r="H752" i="6"/>
  <c r="H753" i="6"/>
  <c r="H754" i="6"/>
  <c r="H755" i="6"/>
  <c r="H756" i="6"/>
  <c r="H757" i="6"/>
  <c r="H758" i="6"/>
  <c r="H759" i="6"/>
  <c r="H760" i="6"/>
  <c r="H761" i="6"/>
  <c r="H762" i="6"/>
  <c r="H763" i="6"/>
  <c r="H764" i="6"/>
  <c r="H765" i="6"/>
  <c r="H766" i="6"/>
  <c r="H767" i="6"/>
  <c r="H768" i="6"/>
  <c r="H769" i="6"/>
  <c r="H770" i="6"/>
  <c r="H771" i="6"/>
  <c r="H772" i="6"/>
  <c r="H773" i="6"/>
  <c r="H774" i="6"/>
  <c r="H775" i="6"/>
  <c r="H776" i="6"/>
  <c r="H777" i="6"/>
  <c r="H778" i="6"/>
  <c r="H779" i="6"/>
  <c r="H780" i="6"/>
  <c r="H781" i="6"/>
  <c r="H782" i="6"/>
  <c r="H783" i="6"/>
  <c r="H784" i="6"/>
  <c r="H785" i="6"/>
  <c r="H786" i="6"/>
  <c r="H787" i="6"/>
  <c r="H788" i="6"/>
  <c r="H789" i="6"/>
  <c r="H790" i="6"/>
  <c r="H791" i="6"/>
  <c r="H792" i="6"/>
  <c r="H793" i="6"/>
  <c r="H794" i="6"/>
  <c r="H795" i="6"/>
  <c r="H796" i="6"/>
  <c r="H797" i="6"/>
  <c r="H798" i="6"/>
  <c r="H799" i="6"/>
  <c r="H800" i="6"/>
  <c r="H801" i="6"/>
  <c r="H802" i="6"/>
  <c r="H803" i="6"/>
  <c r="H804" i="6"/>
  <c r="H805" i="6"/>
  <c r="H806" i="6"/>
  <c r="H807" i="6"/>
  <c r="H808" i="6"/>
  <c r="H809" i="6"/>
  <c r="H810" i="6"/>
  <c r="H811" i="6"/>
  <c r="H812" i="6"/>
  <c r="H813" i="6"/>
  <c r="H814" i="6"/>
  <c r="H815" i="6"/>
  <c r="H816" i="6"/>
  <c r="H817" i="6"/>
  <c r="H818" i="6"/>
  <c r="H819" i="6"/>
  <c r="H820" i="6"/>
  <c r="H821" i="6"/>
  <c r="H822" i="6"/>
  <c r="H823" i="6"/>
  <c r="H824" i="6"/>
  <c r="H825" i="6"/>
  <c r="H826" i="6"/>
  <c r="H827" i="6"/>
  <c r="H828" i="6"/>
  <c r="H829" i="6"/>
  <c r="H830" i="6"/>
  <c r="H831" i="6"/>
  <c r="H832" i="6"/>
  <c r="H833" i="6"/>
  <c r="H834" i="6"/>
  <c r="H835" i="6"/>
  <c r="H836" i="6"/>
  <c r="H837" i="6"/>
  <c r="H838" i="6"/>
  <c r="H839" i="6"/>
  <c r="H840" i="6"/>
  <c r="H841" i="6"/>
  <c r="H842" i="6"/>
  <c r="H843" i="6"/>
  <c r="H844" i="6"/>
  <c r="H845" i="6"/>
  <c r="H846" i="6"/>
  <c r="H847" i="6"/>
  <c r="H848" i="6"/>
  <c r="H849" i="6"/>
  <c r="H850" i="6"/>
  <c r="H851" i="6"/>
  <c r="H852" i="6"/>
  <c r="H853" i="6"/>
  <c r="H854" i="6"/>
  <c r="H855" i="6"/>
  <c r="H856" i="6"/>
  <c r="H857" i="6"/>
  <c r="H858" i="6"/>
  <c r="H859" i="6"/>
  <c r="H860" i="6"/>
  <c r="H861" i="6"/>
  <c r="H862" i="6"/>
  <c r="H863" i="6"/>
  <c r="H864" i="6"/>
  <c r="H865" i="6"/>
  <c r="H866" i="6"/>
  <c r="H867" i="6"/>
  <c r="H868" i="6"/>
  <c r="H869" i="6"/>
  <c r="H870" i="6"/>
  <c r="H871" i="6"/>
  <c r="H872" i="6"/>
  <c r="H873" i="6"/>
  <c r="H874" i="6"/>
  <c r="H875" i="6"/>
  <c r="H876" i="6"/>
  <c r="H877" i="6"/>
  <c r="H878" i="6"/>
  <c r="H879" i="6"/>
  <c r="H880" i="6"/>
  <c r="H881" i="6"/>
  <c r="H882" i="6"/>
  <c r="H883" i="6"/>
  <c r="H884" i="6"/>
  <c r="H885" i="6"/>
  <c r="H886" i="6"/>
  <c r="H887" i="6"/>
  <c r="H888" i="6"/>
  <c r="H889" i="6"/>
  <c r="H890" i="6"/>
  <c r="H891" i="6"/>
  <c r="H892" i="6"/>
  <c r="H893" i="6"/>
  <c r="H894" i="6"/>
  <c r="H895" i="6"/>
  <c r="H896" i="6"/>
  <c r="H897" i="6"/>
  <c r="H898" i="6"/>
  <c r="H899" i="6"/>
  <c r="H900" i="6"/>
  <c r="H901" i="6"/>
  <c r="H902" i="6"/>
  <c r="H903" i="6"/>
  <c r="H904" i="6"/>
  <c r="H905" i="6"/>
  <c r="H906" i="6"/>
  <c r="H907" i="6"/>
  <c r="H908" i="6"/>
  <c r="H909" i="6"/>
  <c r="H910" i="6"/>
  <c r="H911" i="6"/>
  <c r="H912" i="6"/>
  <c r="H913" i="6"/>
  <c r="H914" i="6"/>
  <c r="H915" i="6"/>
  <c r="H916" i="6"/>
  <c r="H917" i="6"/>
  <c r="H918" i="6"/>
  <c r="H919" i="6"/>
  <c r="H920" i="6"/>
  <c r="H921" i="6"/>
  <c r="H922" i="6"/>
  <c r="H923" i="6"/>
  <c r="H924" i="6"/>
  <c r="H925" i="6"/>
  <c r="H926" i="6"/>
  <c r="H927" i="6"/>
  <c r="H928" i="6"/>
  <c r="H929" i="6"/>
  <c r="H930" i="6"/>
  <c r="H931" i="6"/>
  <c r="H932" i="6"/>
  <c r="H933" i="6"/>
  <c r="H934" i="6"/>
  <c r="H935" i="6"/>
  <c r="H936" i="6"/>
  <c r="H937" i="6"/>
  <c r="H938" i="6"/>
  <c r="H939" i="6"/>
  <c r="H940" i="6"/>
  <c r="H941" i="6"/>
  <c r="H942" i="6"/>
  <c r="H943" i="6"/>
  <c r="H944" i="6"/>
  <c r="H945" i="6"/>
  <c r="H946" i="6"/>
  <c r="H947" i="6"/>
  <c r="H948" i="6"/>
  <c r="H949" i="6"/>
  <c r="H950" i="6"/>
  <c r="H951" i="6"/>
  <c r="H952" i="6"/>
  <c r="H953" i="6"/>
  <c r="H954" i="6"/>
  <c r="H955" i="6"/>
  <c r="H956" i="6"/>
  <c r="H957" i="6"/>
  <c r="H958" i="6"/>
  <c r="H959" i="6"/>
  <c r="H960" i="6"/>
  <c r="H961" i="6"/>
  <c r="H962" i="6"/>
  <c r="H963" i="6"/>
  <c r="H964" i="6"/>
  <c r="H965" i="6"/>
  <c r="H966" i="6"/>
  <c r="H967" i="6"/>
  <c r="H968" i="6"/>
  <c r="H969" i="6"/>
  <c r="H970" i="6"/>
  <c r="H971" i="6"/>
  <c r="H972" i="6"/>
  <c r="H973" i="6"/>
  <c r="H974" i="6"/>
  <c r="H975" i="6"/>
  <c r="H976" i="6"/>
  <c r="H977" i="6"/>
  <c r="H978" i="6"/>
  <c r="H979" i="6"/>
  <c r="H980" i="6"/>
  <c r="H981" i="6"/>
  <c r="H982" i="6"/>
  <c r="H983" i="6"/>
  <c r="H984" i="6"/>
  <c r="H985" i="6"/>
  <c r="H986" i="6"/>
  <c r="H987" i="6"/>
  <c r="H988" i="6"/>
  <c r="H989" i="6"/>
  <c r="H990" i="6"/>
  <c r="H991" i="6"/>
  <c r="H992" i="6"/>
  <c r="H993" i="6"/>
  <c r="H994" i="6"/>
  <c r="H995" i="6"/>
  <c r="H996" i="6"/>
  <c r="H997" i="6"/>
  <c r="H998" i="6"/>
  <c r="H999" i="6"/>
  <c r="H1000" i="6"/>
  <c r="H1001" i="6"/>
  <c r="H1002" i="6"/>
  <c r="H1003" i="6"/>
  <c r="H1004" i="6"/>
  <c r="H1005" i="6"/>
  <c r="H1006" i="6"/>
  <c r="H1007" i="6"/>
  <c r="H1008" i="6"/>
  <c r="H1009" i="6"/>
  <c r="H1010" i="6"/>
  <c r="H1011" i="6"/>
  <c r="H1012" i="6"/>
  <c r="H1013" i="6"/>
  <c r="H1014" i="6"/>
  <c r="H1015" i="6"/>
  <c r="H1016" i="6"/>
  <c r="H1017" i="6"/>
  <c r="H1018" i="6"/>
  <c r="H1019" i="6"/>
  <c r="H1020" i="6"/>
  <c r="H1021" i="6"/>
  <c r="H1022" i="6"/>
  <c r="H1023" i="6"/>
  <c r="H1024" i="6"/>
  <c r="H1025" i="6"/>
  <c r="H1026" i="6"/>
  <c r="H1027" i="6"/>
  <c r="H1028" i="6"/>
  <c r="H1029" i="6"/>
  <c r="H1030" i="6"/>
  <c r="H1031" i="6"/>
  <c r="H1032" i="6"/>
  <c r="H1033" i="6"/>
  <c r="H1034" i="6"/>
  <c r="H1035" i="6"/>
  <c r="H1036" i="6"/>
  <c r="H1037" i="6"/>
  <c r="H1038" i="6"/>
  <c r="H1039" i="6"/>
  <c r="H1040" i="6"/>
  <c r="H1041" i="6"/>
  <c r="H1042" i="6"/>
  <c r="H1043" i="6"/>
  <c r="H1044" i="6"/>
  <c r="H1045" i="6"/>
  <c r="H1046" i="6"/>
  <c r="H1047" i="6"/>
  <c r="H1048" i="6"/>
  <c r="H1049" i="6"/>
  <c r="H1050" i="6"/>
  <c r="H1051" i="6"/>
  <c r="H1052" i="6"/>
  <c r="H1053" i="6"/>
  <c r="H1054" i="6"/>
  <c r="H1055" i="6"/>
  <c r="H1056" i="6"/>
  <c r="H1057" i="6"/>
  <c r="H1058" i="6"/>
  <c r="H1059" i="6"/>
  <c r="H1060" i="6"/>
  <c r="H1061" i="6"/>
  <c r="H1062" i="6"/>
  <c r="H1063" i="6"/>
  <c r="H1064" i="6"/>
  <c r="H1065" i="6"/>
  <c r="H1066" i="6"/>
  <c r="H1067" i="6"/>
  <c r="H1068" i="6"/>
  <c r="H1069" i="6"/>
  <c r="H1070" i="6"/>
  <c r="H1071" i="6"/>
  <c r="H1072" i="6"/>
  <c r="H1073" i="6"/>
  <c r="H1074" i="6"/>
  <c r="H1075" i="6"/>
  <c r="H1076" i="6"/>
  <c r="H1077" i="6"/>
  <c r="H1078" i="6"/>
  <c r="H1079" i="6"/>
  <c r="H1080" i="6"/>
  <c r="H1081" i="6"/>
  <c r="H1082" i="6"/>
  <c r="H1083" i="6"/>
  <c r="H1084" i="6"/>
  <c r="H1085" i="6"/>
  <c r="H1086" i="6"/>
  <c r="H1087" i="6"/>
  <c r="H1088" i="6"/>
  <c r="H1089" i="6"/>
  <c r="H1090" i="6"/>
  <c r="H1091" i="6"/>
  <c r="H1092" i="6"/>
  <c r="H1093" i="6"/>
  <c r="H1094" i="6"/>
  <c r="H1095" i="6"/>
  <c r="H1096" i="6"/>
  <c r="H1097" i="6"/>
  <c r="H1098" i="6"/>
  <c r="H1099" i="6"/>
  <c r="H1100" i="6"/>
  <c r="H1101" i="6"/>
  <c r="H1102" i="6"/>
  <c r="H1103" i="6"/>
  <c r="H1104" i="6"/>
  <c r="H1105" i="6"/>
  <c r="H1106" i="6"/>
  <c r="H1107" i="6"/>
  <c r="H1108" i="6"/>
  <c r="H1109" i="6"/>
  <c r="H1110" i="6"/>
  <c r="H1111" i="6"/>
  <c r="H1112" i="6"/>
  <c r="H1113" i="6"/>
  <c r="H1114" i="6"/>
  <c r="H1115" i="6"/>
  <c r="H1116" i="6"/>
  <c r="H1117" i="6"/>
  <c r="H1118" i="6"/>
  <c r="H1119" i="6"/>
  <c r="H1120" i="6"/>
  <c r="H1121" i="6"/>
  <c r="H1122" i="6"/>
  <c r="H1123" i="6"/>
  <c r="H1124" i="6"/>
  <c r="H1125" i="6"/>
  <c r="H1126" i="6"/>
  <c r="H1127" i="6"/>
  <c r="H1128" i="6"/>
  <c r="H1129" i="6"/>
  <c r="H1130" i="6"/>
  <c r="H1131" i="6"/>
  <c r="H1132" i="6"/>
  <c r="H1133" i="6"/>
  <c r="H1134" i="6"/>
  <c r="H1135" i="6"/>
  <c r="H1136" i="6"/>
  <c r="H1137" i="6"/>
  <c r="H1138" i="6"/>
  <c r="H1139" i="6"/>
  <c r="H1140" i="6"/>
  <c r="H1141" i="6"/>
  <c r="H1142" i="6"/>
  <c r="H1143" i="6"/>
  <c r="H1144" i="6"/>
  <c r="H1145" i="6"/>
  <c r="H1146" i="6"/>
  <c r="H1147" i="6"/>
  <c r="H1148" i="6"/>
  <c r="H1149" i="6"/>
  <c r="H1150" i="6"/>
  <c r="H1151" i="6"/>
  <c r="H1152" i="6"/>
  <c r="H1153" i="6"/>
  <c r="H1154" i="6"/>
  <c r="H1155" i="6"/>
  <c r="H1156" i="6"/>
  <c r="H1157" i="6"/>
  <c r="H1158" i="6"/>
  <c r="H1159" i="6"/>
  <c r="H1160" i="6"/>
  <c r="H1161" i="6"/>
  <c r="H1162" i="6"/>
  <c r="H1163" i="6"/>
  <c r="H1164" i="6"/>
  <c r="H1165" i="6"/>
  <c r="H1166" i="6"/>
  <c r="H1167" i="6"/>
  <c r="H1168" i="6"/>
  <c r="H1169" i="6"/>
  <c r="H1170" i="6"/>
  <c r="H1171" i="6"/>
  <c r="H1172" i="6"/>
  <c r="H1173" i="6"/>
  <c r="H1174" i="6"/>
  <c r="H1175" i="6"/>
  <c r="H1176" i="6"/>
  <c r="H1177" i="6"/>
  <c r="H1178" i="6"/>
  <c r="H1179" i="6"/>
  <c r="H1180" i="6"/>
  <c r="H1181" i="6"/>
  <c r="H1182" i="6"/>
  <c r="H1183" i="6"/>
  <c r="H1184" i="6"/>
  <c r="H1185" i="6"/>
  <c r="H1186" i="6"/>
  <c r="H1187" i="6"/>
  <c r="H1188" i="6"/>
  <c r="H1189" i="6"/>
  <c r="H1190" i="6"/>
  <c r="H1191" i="6"/>
  <c r="H1192" i="6"/>
  <c r="H1193" i="6"/>
  <c r="H1194" i="6"/>
  <c r="H1195" i="6"/>
  <c r="H1196" i="6"/>
  <c r="H1197" i="6"/>
  <c r="H1198" i="6"/>
  <c r="H1199" i="6"/>
  <c r="H1200" i="6"/>
  <c r="H1201" i="6"/>
  <c r="H1202" i="6"/>
  <c r="H1203" i="6"/>
  <c r="H1204" i="6"/>
  <c r="H1205" i="6"/>
  <c r="H1206" i="6"/>
  <c r="H1207" i="6"/>
  <c r="H1208" i="6"/>
  <c r="H1209" i="6"/>
  <c r="H1210" i="6"/>
  <c r="H1211" i="6"/>
  <c r="H1212" i="6"/>
  <c r="H1213" i="6"/>
  <c r="H1214" i="6"/>
  <c r="H1215" i="6"/>
  <c r="H1216" i="6"/>
  <c r="H1217" i="6"/>
  <c r="H1218" i="6"/>
  <c r="H1219" i="6"/>
  <c r="H1220" i="6"/>
  <c r="H1221" i="6"/>
  <c r="H1222" i="6"/>
  <c r="H1223" i="6"/>
  <c r="H1224" i="6"/>
  <c r="H1225" i="6"/>
  <c r="H1226" i="6"/>
  <c r="H1227" i="6"/>
  <c r="H1228" i="6"/>
  <c r="H1229" i="6"/>
  <c r="H1230" i="6"/>
  <c r="H1231" i="6"/>
  <c r="H1232" i="6"/>
  <c r="H1233" i="6"/>
  <c r="H1234" i="6"/>
  <c r="H1235" i="6"/>
  <c r="H1236" i="6"/>
  <c r="H1237" i="6"/>
  <c r="H1238" i="6"/>
  <c r="H1239" i="6"/>
  <c r="H1240" i="6"/>
  <c r="H1241" i="6"/>
  <c r="H1242" i="6"/>
  <c r="H1243" i="6"/>
  <c r="H1244" i="6"/>
  <c r="H1245" i="6"/>
  <c r="H1246" i="6"/>
  <c r="H1247" i="6"/>
  <c r="H1248" i="6"/>
  <c r="H1249" i="6"/>
  <c r="H1250" i="6"/>
  <c r="H1251" i="6"/>
  <c r="H1252" i="6"/>
  <c r="H1253" i="6"/>
  <c r="H1254" i="6"/>
  <c r="H1255" i="6"/>
  <c r="H1256" i="6"/>
  <c r="H1257" i="6"/>
  <c r="H1258" i="6"/>
  <c r="H1259" i="6"/>
  <c r="H1260" i="6"/>
  <c r="H1261" i="6"/>
  <c r="H1262" i="6"/>
  <c r="H1263" i="6"/>
  <c r="H1264" i="6"/>
  <c r="H1265" i="6"/>
  <c r="H1266" i="6"/>
  <c r="H1267" i="6"/>
  <c r="H1268" i="6"/>
  <c r="H1269" i="6"/>
  <c r="H1270" i="6"/>
  <c r="H1271" i="6"/>
  <c r="H1272" i="6"/>
  <c r="H1273" i="6"/>
  <c r="H1274" i="6"/>
  <c r="H1275" i="6"/>
  <c r="H1276" i="6"/>
  <c r="H1277" i="6"/>
  <c r="H1278" i="6"/>
  <c r="H1279" i="6"/>
  <c r="H1280" i="6"/>
  <c r="H1281" i="6"/>
  <c r="H1282" i="6"/>
  <c r="H1283" i="6"/>
  <c r="H1284" i="6"/>
  <c r="H1285" i="6"/>
  <c r="H1286" i="6"/>
  <c r="H1287" i="6"/>
  <c r="H1288" i="6"/>
  <c r="H1289" i="6"/>
  <c r="H1290" i="6"/>
  <c r="H1291" i="6"/>
  <c r="H1292" i="6"/>
  <c r="H1293" i="6"/>
  <c r="H1294" i="6"/>
  <c r="H1295" i="6"/>
  <c r="H1296" i="6"/>
  <c r="H1297" i="6"/>
  <c r="H1298" i="6"/>
  <c r="H1299" i="6"/>
  <c r="H1300" i="6"/>
  <c r="H1301" i="6"/>
  <c r="H1302" i="6"/>
  <c r="H1303" i="6"/>
  <c r="H1304" i="6"/>
  <c r="H1305" i="6"/>
  <c r="H1306" i="6"/>
  <c r="H1307" i="6"/>
  <c r="H1308" i="6"/>
  <c r="H1309" i="6"/>
  <c r="H1310" i="6"/>
  <c r="H1311" i="6"/>
  <c r="H1312" i="6"/>
  <c r="H1313" i="6"/>
  <c r="H1314" i="6"/>
  <c r="H1315" i="6"/>
  <c r="H1316" i="6"/>
  <c r="H1317" i="6"/>
  <c r="H1318" i="6"/>
  <c r="H1319" i="6"/>
  <c r="H1320" i="6"/>
  <c r="H1321" i="6"/>
  <c r="H1322" i="6"/>
  <c r="H1323" i="6"/>
  <c r="H1324" i="6"/>
  <c r="H1325" i="6"/>
  <c r="H1326" i="6"/>
  <c r="H1327" i="6"/>
  <c r="H1328" i="6"/>
  <c r="H1329" i="6"/>
  <c r="H1330" i="6"/>
  <c r="H1331" i="6"/>
  <c r="H1332" i="6"/>
  <c r="H1333" i="6"/>
  <c r="H1334" i="6"/>
  <c r="H1335" i="6"/>
  <c r="H1336" i="6"/>
  <c r="H1337" i="6"/>
  <c r="H1338" i="6"/>
  <c r="H1339" i="6"/>
  <c r="H1340" i="6"/>
  <c r="H1341" i="6"/>
  <c r="H1342" i="6"/>
  <c r="H1343" i="6"/>
  <c r="H1344" i="6"/>
  <c r="H1345" i="6"/>
  <c r="H1346" i="6"/>
  <c r="H1347" i="6"/>
  <c r="H1348" i="6"/>
  <c r="H1349" i="6"/>
  <c r="H1350" i="6"/>
  <c r="H1351" i="6"/>
  <c r="H1352" i="6"/>
  <c r="H1353" i="6"/>
  <c r="H1354" i="6"/>
  <c r="H1355" i="6"/>
  <c r="H1356" i="6"/>
  <c r="H1357" i="6"/>
  <c r="H1358" i="6"/>
  <c r="H1359" i="6"/>
  <c r="H1360" i="6"/>
  <c r="H1361" i="6"/>
  <c r="H1362" i="6"/>
  <c r="H1363" i="6"/>
  <c r="H1364" i="6"/>
  <c r="H1365" i="6"/>
  <c r="H1366" i="6"/>
  <c r="H1367" i="6"/>
  <c r="H1368" i="6"/>
  <c r="H1369" i="6"/>
  <c r="H1370" i="6"/>
  <c r="H1371" i="6"/>
  <c r="H1372" i="6"/>
  <c r="H1373" i="6"/>
  <c r="H1374" i="6"/>
  <c r="H1375" i="6"/>
  <c r="H1376" i="6"/>
  <c r="H1377" i="6"/>
  <c r="H1378" i="6"/>
  <c r="H1379" i="6"/>
  <c r="H1380" i="6"/>
  <c r="H1381" i="6"/>
  <c r="H1382" i="6"/>
  <c r="H1383" i="6"/>
  <c r="H1384" i="6"/>
  <c r="H1385" i="6"/>
  <c r="H1386" i="6"/>
  <c r="H1387" i="6"/>
  <c r="H1388" i="6"/>
  <c r="H1389" i="6"/>
  <c r="H1390" i="6"/>
  <c r="H1391" i="6"/>
  <c r="H1392" i="6"/>
  <c r="H1393" i="6"/>
  <c r="H1394" i="6"/>
  <c r="H1395" i="6"/>
  <c r="H1396" i="6"/>
  <c r="H1397" i="6"/>
  <c r="H1398" i="6"/>
  <c r="H1399" i="6"/>
  <c r="H1400" i="6"/>
  <c r="H1401" i="6"/>
  <c r="H1402" i="6"/>
  <c r="H1403" i="6"/>
  <c r="H1404" i="6"/>
  <c r="H1405" i="6"/>
  <c r="H1406" i="6"/>
  <c r="H1407" i="6"/>
  <c r="H1408" i="6"/>
  <c r="H1409" i="6"/>
  <c r="H1410" i="6"/>
  <c r="H1411" i="6"/>
  <c r="H1412" i="6"/>
  <c r="H1413" i="6"/>
  <c r="H1414" i="6"/>
  <c r="H1415" i="6"/>
  <c r="H1416" i="6"/>
  <c r="H1417" i="6"/>
  <c r="H1418" i="6"/>
  <c r="H1419" i="6"/>
  <c r="H1420" i="6"/>
  <c r="H1421" i="6"/>
  <c r="H1422" i="6"/>
  <c r="H1423" i="6"/>
  <c r="H1424" i="6"/>
  <c r="H1425" i="6"/>
  <c r="H1426" i="6"/>
  <c r="H1427" i="6"/>
  <c r="H1428" i="6"/>
  <c r="H1429" i="6"/>
  <c r="H1430" i="6"/>
  <c r="H1431" i="6"/>
  <c r="H1432" i="6"/>
  <c r="H1433" i="6"/>
  <c r="H1434" i="6"/>
  <c r="H1435" i="6"/>
  <c r="H1436" i="6"/>
  <c r="H1437" i="6"/>
  <c r="H1438" i="6"/>
  <c r="H1439" i="6"/>
  <c r="H1440" i="6"/>
  <c r="H1441" i="6"/>
  <c r="H1442" i="6"/>
  <c r="H1443" i="6"/>
  <c r="H1444" i="6"/>
  <c r="H1445" i="6"/>
  <c r="H1446" i="6"/>
  <c r="H1447" i="6"/>
  <c r="H1448" i="6"/>
  <c r="H1449" i="6"/>
  <c r="H1450" i="6"/>
  <c r="H1451" i="6"/>
  <c r="H1452" i="6"/>
  <c r="H1453" i="6"/>
  <c r="H1454" i="6"/>
  <c r="H1455" i="6"/>
  <c r="H1456" i="6"/>
  <c r="H1457" i="6"/>
  <c r="H1458" i="6"/>
  <c r="H1459" i="6"/>
  <c r="H1460" i="6"/>
  <c r="H1461" i="6"/>
  <c r="H1462" i="6"/>
  <c r="H1463" i="6"/>
  <c r="H1464" i="6"/>
  <c r="H1465" i="6"/>
  <c r="H1466" i="6"/>
  <c r="H1467" i="6"/>
  <c r="H1468" i="6"/>
  <c r="H1469" i="6"/>
  <c r="H1470" i="6"/>
  <c r="H1471" i="6"/>
  <c r="H1472" i="6"/>
  <c r="H1473" i="6"/>
  <c r="H1474" i="6"/>
  <c r="H1475" i="6"/>
  <c r="H1476" i="6"/>
  <c r="H1477" i="6"/>
  <c r="H1478" i="6"/>
  <c r="H1479" i="6"/>
  <c r="H1480" i="6"/>
  <c r="H1481" i="6"/>
  <c r="H1482" i="6"/>
  <c r="H1483" i="6"/>
  <c r="H1484" i="6"/>
  <c r="H1485" i="6"/>
  <c r="H1486" i="6"/>
  <c r="H1487" i="6"/>
  <c r="H1488" i="6"/>
  <c r="H1489" i="6"/>
  <c r="H1490" i="6"/>
  <c r="H1491" i="6"/>
  <c r="H1492" i="6"/>
  <c r="H1493" i="6"/>
  <c r="H1494" i="6"/>
  <c r="H1495" i="6"/>
  <c r="H1496" i="6"/>
  <c r="H1497" i="6"/>
  <c r="H1498" i="6"/>
  <c r="H1499" i="6"/>
  <c r="H1500" i="6"/>
  <c r="H1501" i="6"/>
  <c r="H1502" i="6"/>
  <c r="H1503" i="6"/>
  <c r="H1504" i="6"/>
  <c r="H1505" i="6"/>
  <c r="H1506" i="6"/>
  <c r="H1507" i="6"/>
  <c r="H1508" i="6"/>
  <c r="H1509" i="6"/>
  <c r="H1510" i="6"/>
  <c r="H1511" i="6"/>
  <c r="H1512" i="6"/>
  <c r="H1513" i="6"/>
  <c r="H1514" i="6"/>
  <c r="H1515" i="6"/>
  <c r="H1516" i="6"/>
  <c r="H1517" i="6"/>
  <c r="H1518" i="6"/>
  <c r="H1519" i="6"/>
  <c r="H1520" i="6"/>
  <c r="H1521" i="6"/>
  <c r="H1522" i="6"/>
  <c r="H1523" i="6"/>
  <c r="H1524" i="6"/>
  <c r="H1525" i="6"/>
  <c r="H1526" i="6"/>
  <c r="H1527" i="6"/>
  <c r="H1528" i="6"/>
  <c r="H1529" i="6"/>
  <c r="H1530" i="6"/>
  <c r="H1531" i="6"/>
  <c r="H1532" i="6"/>
  <c r="H1533" i="6"/>
  <c r="H1534" i="6"/>
  <c r="H1535" i="6"/>
  <c r="H1536" i="6"/>
  <c r="H1537" i="6"/>
  <c r="H1538" i="6"/>
  <c r="H1539" i="6"/>
  <c r="H1540" i="6"/>
  <c r="H1541" i="6"/>
  <c r="H1542" i="6"/>
  <c r="H1543" i="6"/>
  <c r="H1544" i="6"/>
  <c r="H1545" i="6"/>
  <c r="H1546" i="6"/>
  <c r="H1547" i="6"/>
  <c r="H1548" i="6"/>
  <c r="H1549" i="6"/>
  <c r="H1550" i="6"/>
  <c r="H1551" i="6"/>
  <c r="H1552" i="6"/>
  <c r="H1553" i="6"/>
  <c r="H1554" i="6"/>
  <c r="H1555" i="6"/>
  <c r="H1556" i="6"/>
  <c r="H1557" i="6"/>
  <c r="H1558" i="6"/>
  <c r="H1559" i="6"/>
  <c r="H1560" i="6"/>
  <c r="H1561" i="6"/>
  <c r="H1562" i="6"/>
  <c r="H1563" i="6"/>
  <c r="H1564" i="6"/>
  <c r="H1565" i="6"/>
  <c r="H1566" i="6"/>
  <c r="H1567" i="6"/>
  <c r="H1568" i="6"/>
  <c r="H1569" i="6"/>
  <c r="H1570" i="6"/>
  <c r="H1571" i="6"/>
  <c r="H1572" i="6"/>
  <c r="H1573" i="6"/>
  <c r="H1574" i="6"/>
  <c r="H1575" i="6"/>
  <c r="H1576" i="6"/>
  <c r="H1577" i="6"/>
  <c r="H1578" i="6"/>
  <c r="H1579" i="6"/>
  <c r="H1580" i="6"/>
  <c r="H1581" i="6"/>
  <c r="H1582" i="6"/>
  <c r="H1583" i="6"/>
  <c r="H1584" i="6"/>
  <c r="H1585" i="6"/>
  <c r="H1586" i="6"/>
  <c r="H1587" i="6"/>
  <c r="H1588" i="6"/>
  <c r="H1589" i="6"/>
  <c r="H1590" i="6"/>
  <c r="H1591" i="6"/>
  <c r="H1592" i="6"/>
  <c r="H1593" i="6"/>
  <c r="H1594" i="6"/>
  <c r="H1595" i="6"/>
  <c r="H1596" i="6"/>
  <c r="H1597" i="6"/>
  <c r="H1598" i="6"/>
  <c r="H1599" i="6"/>
  <c r="H1600" i="6"/>
  <c r="H1601" i="6"/>
  <c r="H1602" i="6"/>
  <c r="H1603" i="6"/>
  <c r="H1604" i="6"/>
  <c r="H1605" i="6"/>
  <c r="H1606" i="6"/>
  <c r="H1607" i="6"/>
  <c r="H1608" i="6"/>
  <c r="H1609" i="6"/>
  <c r="H1610" i="6"/>
  <c r="H1611" i="6"/>
  <c r="H1612" i="6"/>
  <c r="H1613" i="6"/>
  <c r="H1614" i="6"/>
  <c r="H1615" i="6"/>
  <c r="H1616" i="6"/>
  <c r="H1617" i="6"/>
  <c r="H1618" i="6"/>
  <c r="H1619" i="6"/>
  <c r="H1620" i="6"/>
  <c r="H1621" i="6"/>
  <c r="H1622" i="6"/>
  <c r="H1623" i="6"/>
  <c r="H1624" i="6"/>
  <c r="H1625" i="6"/>
  <c r="H1626" i="6"/>
  <c r="H1627" i="6"/>
  <c r="H1628" i="6"/>
  <c r="H1629" i="6"/>
  <c r="H1630" i="6"/>
  <c r="H1631" i="6"/>
  <c r="H1632" i="6"/>
  <c r="H1633" i="6"/>
  <c r="H1634" i="6"/>
  <c r="H1635" i="6"/>
  <c r="H1636" i="6"/>
  <c r="H1637" i="6"/>
  <c r="H1638" i="6"/>
  <c r="H1639" i="6"/>
  <c r="H1640" i="6"/>
  <c r="H1641" i="6"/>
  <c r="H1642" i="6"/>
  <c r="H1643" i="6"/>
  <c r="H1644" i="6"/>
  <c r="H1645" i="6"/>
  <c r="H1646" i="6"/>
  <c r="H1647" i="6"/>
  <c r="H1648" i="6"/>
  <c r="H1649" i="6"/>
  <c r="H1650" i="6"/>
  <c r="H1651" i="6"/>
  <c r="H1652" i="6"/>
  <c r="H1653" i="6"/>
  <c r="H1654" i="6"/>
  <c r="H1655" i="6"/>
  <c r="H1656" i="6"/>
  <c r="H1657" i="6"/>
  <c r="H1658" i="6"/>
  <c r="H1659" i="6"/>
  <c r="H1660" i="6"/>
  <c r="H1661" i="6"/>
  <c r="H1662" i="6"/>
  <c r="H1663" i="6"/>
  <c r="H1664" i="6"/>
  <c r="H1665" i="6"/>
  <c r="H1666" i="6"/>
  <c r="H1667" i="6"/>
  <c r="H1668" i="6"/>
  <c r="H1669" i="6"/>
  <c r="H1670" i="6"/>
  <c r="H1671" i="6"/>
  <c r="H1672" i="6"/>
  <c r="H1673" i="6"/>
  <c r="H1674" i="6"/>
  <c r="H1675" i="6"/>
  <c r="H1676" i="6"/>
  <c r="H1677" i="6"/>
  <c r="H1678" i="6"/>
  <c r="H1679" i="6"/>
  <c r="H1680" i="6"/>
  <c r="H1681" i="6"/>
  <c r="H1682" i="6"/>
  <c r="H1683" i="6"/>
  <c r="H1684" i="6"/>
  <c r="H1685" i="6"/>
  <c r="H1686" i="6"/>
  <c r="H1687" i="6"/>
  <c r="H1688" i="6"/>
  <c r="H1689" i="6"/>
  <c r="H1690" i="6"/>
  <c r="H1691" i="6"/>
  <c r="H1692" i="6"/>
  <c r="H1693" i="6"/>
  <c r="H1694" i="6"/>
  <c r="H1695" i="6"/>
  <c r="H1696" i="6"/>
  <c r="H1697" i="6"/>
  <c r="H1698" i="6"/>
  <c r="H1699" i="6"/>
  <c r="H1700" i="6"/>
  <c r="H1701" i="6"/>
  <c r="H1702" i="6"/>
  <c r="H1703" i="6"/>
  <c r="H1704" i="6"/>
  <c r="H1705" i="6"/>
  <c r="H1706" i="6"/>
  <c r="H1707" i="6"/>
  <c r="H1708" i="6"/>
  <c r="H1709" i="6"/>
  <c r="H1710" i="6"/>
  <c r="H1711" i="6"/>
  <c r="H1712" i="6"/>
  <c r="H1713" i="6"/>
  <c r="H1714" i="6"/>
  <c r="H1715" i="6"/>
  <c r="H1716" i="6"/>
  <c r="H1717" i="6"/>
  <c r="H1718" i="6"/>
  <c r="H1719" i="6"/>
  <c r="H1720" i="6"/>
  <c r="H1721" i="6"/>
  <c r="H1722" i="6"/>
  <c r="H1723" i="6"/>
  <c r="H1724" i="6"/>
  <c r="H1725" i="6"/>
  <c r="H1726" i="6"/>
  <c r="H1727" i="6"/>
  <c r="H1728" i="6"/>
  <c r="H1729" i="6"/>
  <c r="H1730" i="6"/>
  <c r="H1731" i="6"/>
  <c r="H1732" i="6"/>
  <c r="H1733" i="6"/>
  <c r="H1734" i="6"/>
  <c r="H1735" i="6"/>
  <c r="H1736" i="6"/>
  <c r="H1737" i="6"/>
  <c r="H1738" i="6"/>
  <c r="H1739" i="6"/>
  <c r="H1740" i="6"/>
  <c r="H1741" i="6"/>
  <c r="H1742" i="6"/>
  <c r="H1743" i="6"/>
  <c r="H1744" i="6"/>
  <c r="H1745" i="6"/>
  <c r="H1746" i="6"/>
  <c r="H1747" i="6"/>
  <c r="H1748" i="6"/>
  <c r="H1749" i="6"/>
  <c r="H1750" i="6"/>
  <c r="H1751" i="6"/>
  <c r="H1752" i="6"/>
  <c r="H1753" i="6"/>
  <c r="H1754" i="6"/>
  <c r="H1755" i="6"/>
  <c r="H1756" i="6"/>
  <c r="H1757" i="6"/>
  <c r="H1758" i="6"/>
  <c r="H1759" i="6"/>
  <c r="H1760" i="6"/>
  <c r="H1761" i="6"/>
  <c r="H1762" i="6"/>
  <c r="H1763" i="6"/>
  <c r="H1764" i="6"/>
  <c r="H1765" i="6"/>
  <c r="H1766" i="6"/>
  <c r="H1767" i="6"/>
  <c r="H1768" i="6"/>
  <c r="H1769" i="6"/>
  <c r="H1770" i="6"/>
  <c r="H1771" i="6"/>
  <c r="H1772" i="6"/>
  <c r="H1773" i="6"/>
  <c r="H1774" i="6"/>
  <c r="H1775" i="6"/>
  <c r="H1776" i="6"/>
  <c r="H1777" i="6"/>
  <c r="H1778" i="6"/>
  <c r="H1779" i="6"/>
  <c r="H1780" i="6"/>
  <c r="H1781" i="6"/>
  <c r="H1782" i="6"/>
  <c r="H1783" i="6"/>
  <c r="H1784" i="6"/>
  <c r="H1785" i="6"/>
  <c r="H1786" i="6"/>
  <c r="H1787" i="6"/>
  <c r="H1788" i="6"/>
  <c r="H1789" i="6"/>
  <c r="H1790" i="6"/>
  <c r="H1791" i="6"/>
  <c r="H1792" i="6"/>
  <c r="H1793" i="6"/>
  <c r="H1794" i="6"/>
  <c r="H1795" i="6"/>
  <c r="H1796" i="6"/>
  <c r="H1797" i="6"/>
  <c r="H1798" i="6"/>
  <c r="H1799" i="6"/>
  <c r="H1800" i="6"/>
  <c r="H1801" i="6"/>
  <c r="H1802" i="6"/>
  <c r="H1803" i="6"/>
  <c r="H1804" i="6"/>
  <c r="H1805" i="6"/>
  <c r="H1806" i="6"/>
  <c r="H1807" i="6"/>
  <c r="H1808" i="6"/>
  <c r="H1809" i="6"/>
  <c r="H1810" i="6"/>
  <c r="H1811" i="6"/>
  <c r="H1812" i="6"/>
  <c r="H1813" i="6"/>
  <c r="H1814" i="6"/>
  <c r="H1815" i="6"/>
  <c r="H1816" i="6"/>
  <c r="H1817" i="6"/>
  <c r="H1818" i="6"/>
  <c r="H1819" i="6"/>
  <c r="H1820" i="6"/>
  <c r="H1821" i="6"/>
  <c r="H1822" i="6"/>
  <c r="H1823" i="6"/>
  <c r="H1824" i="6"/>
  <c r="H1825" i="6"/>
  <c r="H1826" i="6"/>
  <c r="H1827" i="6"/>
  <c r="H1828" i="6"/>
  <c r="H1829" i="6"/>
  <c r="H1830" i="6"/>
  <c r="H1831" i="6"/>
  <c r="H1832" i="6"/>
  <c r="H1833" i="6"/>
  <c r="H1834" i="6"/>
  <c r="H1835" i="6"/>
  <c r="H1836" i="6"/>
  <c r="H1837" i="6"/>
  <c r="H1838" i="6"/>
  <c r="H1839" i="6"/>
  <c r="H1840" i="6"/>
  <c r="H1841" i="6"/>
  <c r="H1842" i="6"/>
  <c r="H1843" i="6"/>
  <c r="H1844" i="6"/>
  <c r="H1845" i="6"/>
  <c r="H1846" i="6"/>
  <c r="H1847" i="6"/>
  <c r="H1848" i="6"/>
  <c r="H1849" i="6"/>
  <c r="H1850" i="6"/>
  <c r="H1851" i="6"/>
  <c r="H1852" i="6"/>
  <c r="H1853" i="6"/>
  <c r="H1854" i="6"/>
  <c r="H1855" i="6"/>
  <c r="H1856" i="6"/>
  <c r="H1857" i="6"/>
  <c r="H1858" i="6"/>
  <c r="H1859" i="6"/>
  <c r="H1860" i="6"/>
  <c r="H1861" i="6"/>
  <c r="H1862" i="6"/>
  <c r="H1863" i="6"/>
  <c r="H1864" i="6"/>
  <c r="H1865" i="6"/>
  <c r="H1866" i="6"/>
  <c r="H1867" i="6"/>
  <c r="H1868" i="6"/>
  <c r="H1869" i="6"/>
  <c r="H1870" i="6"/>
  <c r="H1871" i="6"/>
  <c r="H1872" i="6"/>
  <c r="H1873" i="6"/>
  <c r="H1874" i="6"/>
  <c r="H1875" i="6"/>
  <c r="H1876" i="6"/>
  <c r="H1877" i="6"/>
  <c r="H1878" i="6"/>
  <c r="H1879" i="6"/>
  <c r="H1880" i="6"/>
  <c r="H1881" i="6"/>
  <c r="H1882" i="6"/>
  <c r="H1883" i="6"/>
  <c r="H1884" i="6"/>
  <c r="H1885" i="6"/>
  <c r="H1886" i="6"/>
  <c r="H1887" i="6"/>
  <c r="H1888" i="6"/>
  <c r="H1889" i="6"/>
  <c r="H1890" i="6"/>
  <c r="H1891" i="6"/>
  <c r="H1892" i="6"/>
  <c r="H1893" i="6"/>
  <c r="H1894" i="6"/>
  <c r="H1895" i="6"/>
  <c r="H1896" i="6"/>
  <c r="H1897" i="6"/>
  <c r="H1898" i="6"/>
  <c r="H1899" i="6"/>
  <c r="H1900" i="6"/>
  <c r="H1901" i="6"/>
  <c r="H1902" i="6"/>
  <c r="H1903" i="6"/>
  <c r="H1904" i="6"/>
  <c r="H1905" i="6"/>
  <c r="H1906" i="6"/>
  <c r="H1907" i="6"/>
  <c r="H1908" i="6"/>
  <c r="H1909" i="6"/>
  <c r="H1910" i="6"/>
  <c r="H1911" i="6"/>
  <c r="H1912" i="6"/>
  <c r="H1913" i="6"/>
  <c r="H1914" i="6"/>
  <c r="H1915" i="6"/>
  <c r="H1916" i="6"/>
  <c r="H1917" i="6"/>
  <c r="H1918" i="6"/>
  <c r="H1919" i="6"/>
  <c r="H1920" i="6"/>
  <c r="H1921" i="6"/>
  <c r="H1922" i="6"/>
  <c r="H1923" i="6"/>
  <c r="H1924" i="6"/>
  <c r="H1925" i="6"/>
  <c r="H1926" i="6"/>
  <c r="H1927" i="6"/>
  <c r="H1928" i="6"/>
  <c r="H1929" i="6"/>
  <c r="H1930" i="6"/>
  <c r="H1931" i="6"/>
  <c r="H1932" i="6"/>
  <c r="H1933" i="6"/>
  <c r="H1934" i="6"/>
  <c r="H1935" i="6"/>
  <c r="H1936" i="6"/>
  <c r="H1937" i="6"/>
  <c r="H1938" i="6"/>
  <c r="H1939" i="6"/>
  <c r="H1940" i="6"/>
  <c r="H1941" i="6"/>
  <c r="H1942" i="6"/>
  <c r="H1943" i="6"/>
  <c r="H1944" i="6"/>
  <c r="H1945" i="6"/>
  <c r="H1946" i="6"/>
  <c r="H1947" i="6"/>
  <c r="H1948" i="6"/>
  <c r="H1949" i="6"/>
  <c r="H1950" i="6"/>
  <c r="H1951" i="6"/>
  <c r="H1952" i="6"/>
  <c r="H1953" i="6"/>
  <c r="H1954" i="6"/>
  <c r="H1955" i="6"/>
  <c r="H1956" i="6"/>
  <c r="H1957" i="6"/>
  <c r="H1958" i="6"/>
  <c r="H1959" i="6"/>
  <c r="H1960" i="6"/>
  <c r="H1961" i="6"/>
  <c r="H1962" i="6"/>
  <c r="H1963" i="6"/>
  <c r="H1964" i="6"/>
  <c r="H1965" i="6"/>
  <c r="H1966" i="6"/>
  <c r="H1967" i="6"/>
  <c r="H1968" i="6"/>
  <c r="H1969" i="6"/>
  <c r="H1970" i="6"/>
  <c r="H1971" i="6"/>
  <c r="H1972" i="6"/>
  <c r="H1973" i="6"/>
  <c r="H1974" i="6"/>
  <c r="H1975" i="6"/>
  <c r="H1976" i="6"/>
  <c r="H1977" i="6"/>
  <c r="H1978" i="6"/>
  <c r="H1979" i="6"/>
  <c r="H1980" i="6"/>
  <c r="H1981" i="6"/>
  <c r="H1982" i="6"/>
  <c r="H1983" i="6"/>
  <c r="H1984" i="6"/>
  <c r="H1985" i="6"/>
  <c r="H1986" i="6"/>
  <c r="H1987" i="6"/>
  <c r="H1988" i="6"/>
  <c r="H1989" i="6"/>
  <c r="H1990" i="6"/>
  <c r="H1991" i="6"/>
  <c r="H1992" i="6"/>
  <c r="H1993" i="6"/>
  <c r="H1994" i="6"/>
  <c r="H1995" i="6"/>
  <c r="H1996" i="6"/>
  <c r="H1997" i="6"/>
  <c r="H1998" i="6"/>
  <c r="H1999" i="6"/>
  <c r="H2000" i="6"/>
  <c r="H2001" i="6"/>
  <c r="H2002" i="6"/>
  <c r="H2003" i="6"/>
  <c r="H2004" i="6"/>
  <c r="H2005" i="6"/>
  <c r="H2006" i="6"/>
  <c r="H2007" i="6"/>
  <c r="H2008" i="6"/>
  <c r="H2009" i="6"/>
  <c r="H2010" i="6"/>
  <c r="H2011" i="6"/>
  <c r="H2012" i="6"/>
  <c r="H2013" i="6"/>
  <c r="H2014" i="6"/>
  <c r="H2015" i="6"/>
  <c r="H2016" i="6"/>
  <c r="H2017" i="6"/>
  <c r="H2018" i="6"/>
  <c r="H2019" i="6"/>
  <c r="H2020" i="6"/>
  <c r="H2021" i="6"/>
  <c r="H2022" i="6"/>
  <c r="H2023" i="6"/>
  <c r="H2024" i="6"/>
  <c r="H2025" i="6"/>
  <c r="H2026" i="6"/>
  <c r="H2027" i="6"/>
  <c r="H2028" i="6"/>
  <c r="H2029" i="6"/>
  <c r="H2030" i="6"/>
  <c r="H2031" i="6"/>
  <c r="H2032" i="6"/>
  <c r="H2033" i="6"/>
  <c r="H2034" i="6"/>
  <c r="H2035" i="6"/>
  <c r="H2036" i="6"/>
  <c r="H2037" i="6"/>
  <c r="H2038" i="6"/>
  <c r="H2039" i="6"/>
  <c r="H2040" i="6"/>
  <c r="H2041" i="6"/>
  <c r="H2042" i="6"/>
  <c r="H2043" i="6"/>
  <c r="H2044" i="6"/>
  <c r="H2045" i="6"/>
  <c r="H2046" i="6"/>
  <c r="H2047" i="6"/>
  <c r="H2048" i="6"/>
  <c r="H2049" i="6"/>
  <c r="H2050" i="6"/>
  <c r="H2051" i="6"/>
  <c r="H2052" i="6"/>
  <c r="H2053" i="6"/>
  <c r="H2054" i="6"/>
  <c r="H2055" i="6"/>
  <c r="H2056" i="6"/>
  <c r="H2057" i="6"/>
  <c r="H2058" i="6"/>
  <c r="H2059" i="6"/>
  <c r="H2060" i="6"/>
  <c r="H2061" i="6"/>
  <c r="H2062" i="6"/>
  <c r="H2063" i="6"/>
  <c r="H2064" i="6"/>
  <c r="H2065" i="6"/>
  <c r="H2066" i="6"/>
  <c r="H2067" i="6"/>
  <c r="H2068" i="6"/>
  <c r="H2069" i="6"/>
  <c r="H2070" i="6"/>
  <c r="H2071" i="6"/>
  <c r="H2072" i="6"/>
  <c r="H2073" i="6"/>
  <c r="H2074" i="6"/>
  <c r="H2075" i="6"/>
  <c r="H2076" i="6"/>
  <c r="H2077" i="6"/>
  <c r="H2078" i="6"/>
  <c r="H2079" i="6"/>
  <c r="H2080" i="6"/>
  <c r="H2081" i="6"/>
  <c r="H2082" i="6"/>
  <c r="H2083" i="6"/>
  <c r="H2084" i="6"/>
  <c r="H2085" i="6"/>
  <c r="H2086" i="6"/>
  <c r="H2087" i="6"/>
  <c r="H2088" i="6"/>
  <c r="H2089" i="6"/>
  <c r="H2090" i="6"/>
  <c r="H2091" i="6"/>
  <c r="H2092" i="6"/>
  <c r="H2093" i="6"/>
  <c r="H2094" i="6"/>
  <c r="H2095" i="6"/>
  <c r="H2096" i="6"/>
  <c r="H2097" i="6"/>
  <c r="H2098" i="6"/>
  <c r="H2099" i="6"/>
  <c r="H2100" i="6"/>
  <c r="H2101" i="6"/>
  <c r="H2102" i="6"/>
  <c r="H2103" i="6"/>
  <c r="H2104" i="6"/>
  <c r="H2105" i="6"/>
  <c r="H2106" i="6"/>
  <c r="H2107" i="6"/>
  <c r="H2108" i="6"/>
  <c r="H2109" i="6"/>
  <c r="H2110" i="6"/>
  <c r="H2111" i="6"/>
  <c r="H2112" i="6"/>
  <c r="H2113" i="6"/>
  <c r="H2114" i="6"/>
  <c r="H2115" i="6"/>
  <c r="H2116" i="6"/>
  <c r="H2117" i="6"/>
  <c r="H2118" i="6"/>
  <c r="H2119" i="6"/>
  <c r="H2120" i="6"/>
  <c r="H2121" i="6"/>
  <c r="H2122" i="6"/>
  <c r="H2123" i="6"/>
  <c r="H2124" i="6"/>
  <c r="H2125" i="6"/>
  <c r="H2126" i="6"/>
  <c r="H2127" i="6"/>
  <c r="H2128" i="6"/>
  <c r="H2129" i="6"/>
  <c r="H2130" i="6"/>
  <c r="H2131" i="6"/>
  <c r="H2132" i="6"/>
  <c r="H2133" i="6"/>
  <c r="H2134" i="6"/>
  <c r="H2135" i="6"/>
  <c r="H2136" i="6"/>
  <c r="H2137" i="6"/>
  <c r="H2138" i="6"/>
  <c r="H2139" i="6"/>
  <c r="H2140" i="6"/>
  <c r="H2141" i="6"/>
  <c r="H2142" i="6"/>
  <c r="H2143" i="6"/>
  <c r="H2144" i="6"/>
  <c r="H2145" i="6"/>
  <c r="H2146" i="6"/>
  <c r="H2147" i="6"/>
  <c r="H2148" i="6"/>
  <c r="H2149" i="6"/>
  <c r="H2150" i="6"/>
  <c r="H2151" i="6"/>
  <c r="H2152" i="6"/>
  <c r="H2153" i="6"/>
  <c r="H2154" i="6"/>
  <c r="H2155" i="6"/>
  <c r="H2156" i="6"/>
  <c r="H2157" i="6"/>
  <c r="H2158" i="6"/>
  <c r="H2159" i="6"/>
  <c r="H2160" i="6"/>
  <c r="H2161" i="6"/>
  <c r="H2162" i="6"/>
  <c r="H2163" i="6"/>
  <c r="H2164" i="6"/>
  <c r="H2165" i="6"/>
  <c r="H2166" i="6"/>
  <c r="H2167" i="6"/>
  <c r="H2168" i="6"/>
  <c r="H2169" i="6"/>
  <c r="H2170" i="6"/>
  <c r="H2171" i="6"/>
  <c r="H2172" i="6"/>
  <c r="H2173" i="6"/>
  <c r="H2174" i="6"/>
  <c r="H2175" i="6"/>
  <c r="H2176" i="6"/>
  <c r="H2177" i="6"/>
  <c r="H2178" i="6"/>
  <c r="H2179" i="6"/>
  <c r="H2180" i="6"/>
  <c r="H2181" i="6"/>
  <c r="H2182" i="6"/>
  <c r="H2183" i="6"/>
  <c r="H2184" i="6"/>
  <c r="H2185" i="6"/>
  <c r="H2186" i="6"/>
  <c r="H2187" i="6"/>
  <c r="H2188" i="6"/>
  <c r="H2189" i="6"/>
  <c r="H2190" i="6"/>
  <c r="H2191" i="6"/>
  <c r="H2192" i="6"/>
  <c r="H2193" i="6"/>
  <c r="H2194" i="6"/>
  <c r="H2195" i="6"/>
  <c r="H2196" i="6"/>
  <c r="H2197" i="6"/>
  <c r="H2198" i="6"/>
  <c r="H2199" i="6"/>
  <c r="H2200" i="6"/>
  <c r="H2201" i="6"/>
  <c r="H2202" i="6"/>
  <c r="H2203" i="6"/>
  <c r="H2204" i="6"/>
  <c r="H2205" i="6"/>
  <c r="H2206" i="6"/>
  <c r="H2207" i="6"/>
  <c r="H2208" i="6"/>
  <c r="H2209" i="6"/>
  <c r="H2210" i="6"/>
  <c r="H2211" i="6"/>
  <c r="H2212" i="6"/>
  <c r="H2213" i="6"/>
  <c r="H2214" i="6"/>
  <c r="H2215" i="6"/>
  <c r="H2216" i="6"/>
  <c r="H2217" i="6"/>
  <c r="H2218" i="6"/>
  <c r="H2219" i="6"/>
  <c r="H2220" i="6"/>
  <c r="H2221" i="6"/>
  <c r="H2222" i="6"/>
  <c r="H2223" i="6"/>
  <c r="H2224" i="6"/>
  <c r="H2225" i="6"/>
  <c r="H2226" i="6"/>
  <c r="H2227" i="6"/>
  <c r="H2228" i="6"/>
  <c r="H2229" i="6"/>
  <c r="H2230" i="6"/>
  <c r="H2231" i="6"/>
  <c r="H2232" i="6"/>
  <c r="H2233" i="6"/>
  <c r="H2234" i="6"/>
  <c r="H2235" i="6"/>
  <c r="H2236" i="6"/>
  <c r="H2237" i="6"/>
  <c r="H2238" i="6"/>
  <c r="H2239" i="6"/>
  <c r="H2240" i="6"/>
  <c r="H2241" i="6"/>
  <c r="H2242" i="6"/>
  <c r="H2243" i="6"/>
  <c r="H2244" i="6"/>
  <c r="H2245" i="6"/>
  <c r="H2246" i="6"/>
  <c r="H2247" i="6"/>
  <c r="H2248" i="6"/>
  <c r="H2249" i="6"/>
  <c r="H2250" i="6"/>
  <c r="H2251" i="6"/>
  <c r="H2252" i="6"/>
  <c r="H2253" i="6"/>
  <c r="H2254" i="6"/>
  <c r="H2255" i="6"/>
  <c r="H2256" i="6"/>
  <c r="H2257" i="6"/>
  <c r="H2258" i="6"/>
  <c r="H2259" i="6"/>
  <c r="H2260" i="6"/>
  <c r="H2261" i="6"/>
  <c r="H2262" i="6"/>
  <c r="H2263" i="6"/>
  <c r="H2264" i="6"/>
  <c r="H2265" i="6"/>
  <c r="H2266" i="6"/>
  <c r="H2267" i="6"/>
  <c r="H2268" i="6"/>
  <c r="H2269" i="6"/>
  <c r="H2270" i="6"/>
  <c r="H2271" i="6"/>
  <c r="H2272" i="6"/>
  <c r="H2273" i="6"/>
  <c r="H2274" i="6"/>
  <c r="H2275" i="6"/>
  <c r="H2276" i="6"/>
  <c r="H2277" i="6"/>
  <c r="H2278" i="6"/>
  <c r="H2279" i="6"/>
  <c r="H2280" i="6"/>
  <c r="H2281" i="6"/>
  <c r="H2282" i="6"/>
  <c r="H2283" i="6"/>
  <c r="H2284" i="6"/>
  <c r="H2285" i="6"/>
  <c r="H2286" i="6"/>
  <c r="H2287" i="6"/>
  <c r="H2288" i="6"/>
  <c r="H2289" i="6"/>
  <c r="H2290" i="6"/>
  <c r="H2291" i="6"/>
  <c r="H2292" i="6"/>
  <c r="H2293" i="6"/>
  <c r="H2294" i="6"/>
  <c r="H2295" i="6"/>
  <c r="H2296" i="6"/>
  <c r="H2297" i="6"/>
  <c r="H2298" i="6"/>
  <c r="H2299" i="6"/>
  <c r="H2300" i="6"/>
  <c r="H2301" i="6"/>
  <c r="H2302" i="6"/>
  <c r="H2303" i="6"/>
  <c r="H2304" i="6"/>
  <c r="H2305" i="6"/>
  <c r="H2306" i="6"/>
  <c r="H2307" i="6"/>
  <c r="H2308" i="6"/>
  <c r="H2309" i="6"/>
  <c r="H2310" i="6"/>
  <c r="H2311" i="6"/>
  <c r="H2312" i="6"/>
  <c r="H2313" i="6"/>
  <c r="H2314" i="6"/>
  <c r="H2315" i="6"/>
  <c r="H2316" i="6"/>
  <c r="H2317" i="6"/>
  <c r="H2318" i="6"/>
  <c r="H2319" i="6"/>
  <c r="H2320" i="6"/>
  <c r="H2321" i="6"/>
  <c r="H2322" i="6"/>
  <c r="H2323" i="6"/>
  <c r="H2324" i="6"/>
  <c r="H2325" i="6"/>
  <c r="H2326" i="6"/>
  <c r="H2327" i="6"/>
  <c r="H2328" i="6"/>
  <c r="H2329" i="6"/>
  <c r="H2330" i="6"/>
  <c r="H2331" i="6"/>
  <c r="H2332" i="6"/>
  <c r="H2333" i="6"/>
  <c r="H2334" i="6"/>
  <c r="H2335" i="6"/>
  <c r="H2336" i="6"/>
  <c r="H2337" i="6"/>
  <c r="H2338" i="6"/>
  <c r="H2339" i="6"/>
  <c r="H2340" i="6"/>
  <c r="H2341" i="6"/>
  <c r="H2342" i="6"/>
  <c r="H2343" i="6"/>
  <c r="H2344" i="6"/>
  <c r="H2345" i="6"/>
  <c r="H2346" i="6"/>
  <c r="H2347" i="6"/>
  <c r="H2348" i="6"/>
  <c r="H2349" i="6"/>
  <c r="H2350" i="6"/>
  <c r="H2351" i="6"/>
  <c r="H2352" i="6"/>
  <c r="H2353" i="6"/>
  <c r="H2354" i="6"/>
  <c r="H2355" i="6"/>
  <c r="H2356" i="6"/>
  <c r="H2357" i="6"/>
  <c r="H2358" i="6"/>
  <c r="H2359" i="6"/>
  <c r="H2360" i="6"/>
  <c r="H2361" i="6"/>
  <c r="H2362" i="6"/>
  <c r="H2363" i="6"/>
  <c r="H2364" i="6"/>
  <c r="H2365" i="6"/>
  <c r="H2366" i="6"/>
  <c r="H2367" i="6"/>
  <c r="H2368" i="6"/>
  <c r="H2369" i="6"/>
  <c r="H2370" i="6"/>
  <c r="H2371" i="6"/>
  <c r="H2372" i="6"/>
  <c r="H2373" i="6"/>
  <c r="H2374" i="6"/>
  <c r="H2375" i="6"/>
  <c r="H2376" i="6"/>
  <c r="H2377" i="6"/>
  <c r="H2378" i="6"/>
  <c r="H2379" i="6"/>
  <c r="H2380" i="6"/>
  <c r="H2381" i="6"/>
  <c r="H2382" i="6"/>
  <c r="H2383" i="6"/>
  <c r="H2384" i="6"/>
  <c r="H2385" i="6"/>
  <c r="H2386" i="6"/>
  <c r="H2387" i="6"/>
  <c r="H2388" i="6"/>
  <c r="H2389" i="6"/>
  <c r="H2390" i="6"/>
  <c r="H2391" i="6"/>
  <c r="H2392" i="6"/>
  <c r="H2393" i="6"/>
  <c r="H2394" i="6"/>
  <c r="H2395" i="6"/>
  <c r="H2396" i="6"/>
  <c r="H2397" i="6"/>
  <c r="H2398" i="6"/>
  <c r="H2399" i="6"/>
  <c r="H2400" i="6"/>
  <c r="H2401" i="6"/>
  <c r="H2402" i="6"/>
  <c r="H2403" i="6"/>
  <c r="H2404" i="6"/>
  <c r="H2405" i="6"/>
  <c r="H2406" i="6"/>
  <c r="H2407" i="6"/>
  <c r="H2408" i="6"/>
  <c r="H2409" i="6"/>
  <c r="H2410" i="6"/>
  <c r="H2411" i="6"/>
  <c r="H2412" i="6"/>
  <c r="H2413" i="6"/>
  <c r="H2414" i="6"/>
  <c r="H2415" i="6"/>
  <c r="H2416" i="6"/>
  <c r="H2417" i="6"/>
  <c r="H2418" i="6"/>
  <c r="H2419" i="6"/>
  <c r="H2420" i="6"/>
  <c r="H2421" i="6"/>
  <c r="H2422" i="6"/>
  <c r="H2423" i="6"/>
  <c r="H2424" i="6"/>
  <c r="H2425" i="6"/>
  <c r="H2426" i="6"/>
  <c r="H2427" i="6"/>
  <c r="H2428" i="6"/>
  <c r="H2429" i="6"/>
  <c r="H2430" i="6"/>
  <c r="H2431" i="6"/>
  <c r="H2432" i="6"/>
  <c r="H2433" i="6"/>
  <c r="H2434" i="6"/>
  <c r="H2435" i="6"/>
  <c r="H2436" i="6"/>
  <c r="H2437" i="6"/>
  <c r="H2438" i="6"/>
  <c r="H2439" i="6"/>
  <c r="H2440" i="6"/>
  <c r="H2441" i="6"/>
  <c r="H2442" i="6"/>
  <c r="H2443" i="6"/>
  <c r="H2444" i="6"/>
  <c r="H2445" i="6"/>
  <c r="H2446" i="6"/>
  <c r="H2447" i="6"/>
  <c r="H2448" i="6"/>
  <c r="H2449" i="6"/>
  <c r="H2450" i="6"/>
  <c r="H2451" i="6"/>
  <c r="H2452" i="6"/>
  <c r="H2453" i="6"/>
  <c r="H2454" i="6"/>
  <c r="H2455" i="6"/>
  <c r="H2456" i="6"/>
  <c r="H2457" i="6"/>
  <c r="H2458" i="6"/>
  <c r="H2459" i="6"/>
  <c r="H2460" i="6"/>
  <c r="H2461" i="6"/>
  <c r="H2462" i="6"/>
  <c r="H2463" i="6"/>
  <c r="H2464" i="6"/>
  <c r="H2465" i="6"/>
  <c r="H2466" i="6"/>
  <c r="H2467" i="6"/>
  <c r="H2468" i="6"/>
  <c r="H2469" i="6"/>
  <c r="H2470" i="6"/>
  <c r="H2471" i="6"/>
  <c r="H2472" i="6"/>
  <c r="H2473" i="6"/>
  <c r="H2474" i="6"/>
  <c r="H2475" i="6"/>
  <c r="H2476" i="6"/>
  <c r="H2477" i="6"/>
  <c r="H2478" i="6"/>
  <c r="H2479" i="6"/>
  <c r="H2480" i="6"/>
  <c r="H2481" i="6"/>
  <c r="H2482" i="6"/>
  <c r="H2483" i="6"/>
  <c r="H2484" i="6"/>
  <c r="H2485" i="6"/>
  <c r="H2486" i="6"/>
  <c r="H2487" i="6"/>
  <c r="H2488" i="6"/>
  <c r="H2489" i="6"/>
  <c r="H2490" i="6"/>
  <c r="H2491" i="6"/>
  <c r="H2492" i="6"/>
  <c r="H2493" i="6"/>
  <c r="H2494" i="6"/>
  <c r="H2495" i="6"/>
  <c r="H2496" i="6"/>
  <c r="H2497" i="6"/>
  <c r="H2498" i="6"/>
  <c r="H2499" i="6"/>
  <c r="H2500" i="6"/>
  <c r="H2501" i="6"/>
  <c r="H2502" i="6"/>
  <c r="H2503" i="6"/>
  <c r="H2504" i="6"/>
  <c r="H2505" i="6"/>
  <c r="H2506" i="6"/>
  <c r="H2507" i="6"/>
  <c r="H2508" i="6"/>
  <c r="H2509" i="6"/>
  <c r="H2510" i="6"/>
  <c r="H2511" i="6"/>
  <c r="H2512" i="6"/>
  <c r="H2513" i="6"/>
  <c r="H2514" i="6"/>
  <c r="H2515" i="6"/>
  <c r="H2516" i="6"/>
  <c r="H2517" i="6"/>
  <c r="H2518" i="6"/>
  <c r="H2519" i="6"/>
  <c r="H2520" i="6"/>
  <c r="H2521" i="6"/>
  <c r="H2522" i="6"/>
  <c r="H2523" i="6"/>
  <c r="H2524" i="6"/>
  <c r="H2525" i="6"/>
  <c r="H2526" i="6"/>
  <c r="H2527" i="6"/>
  <c r="H2528" i="6"/>
  <c r="H2529" i="6"/>
  <c r="H2530" i="6"/>
  <c r="H2531" i="6"/>
  <c r="H2532" i="6"/>
  <c r="H2533" i="6"/>
  <c r="H2534" i="6"/>
  <c r="H2535" i="6"/>
  <c r="H2536" i="6"/>
  <c r="H2537" i="6"/>
  <c r="H2538" i="6"/>
  <c r="H2539" i="6"/>
  <c r="H2540" i="6"/>
  <c r="H2541" i="6"/>
  <c r="H2542" i="6"/>
  <c r="H2543" i="6"/>
  <c r="H2544" i="6"/>
  <c r="H2545" i="6"/>
  <c r="H2546" i="6"/>
  <c r="H2547" i="6"/>
  <c r="H2548" i="6"/>
  <c r="H2549" i="6"/>
  <c r="H2550" i="6"/>
  <c r="H2551" i="6"/>
  <c r="H2552" i="6"/>
  <c r="H2553" i="6"/>
  <c r="H2554" i="6"/>
  <c r="H2555" i="6"/>
  <c r="H2556" i="6"/>
  <c r="H2557" i="6"/>
  <c r="H2558" i="6"/>
  <c r="H2559" i="6"/>
  <c r="H2560" i="6"/>
  <c r="H2561" i="6"/>
  <c r="H2562" i="6"/>
  <c r="H2563" i="6"/>
  <c r="H2564" i="6"/>
  <c r="H2565" i="6"/>
  <c r="H2566" i="6"/>
  <c r="H2567" i="6"/>
  <c r="H2568" i="6"/>
  <c r="H2569" i="6"/>
  <c r="H2570" i="6"/>
  <c r="H2571" i="6"/>
  <c r="H2572" i="6"/>
  <c r="H2573" i="6"/>
  <c r="H2574" i="6"/>
  <c r="H2575" i="6"/>
  <c r="H2576" i="6"/>
  <c r="H2577" i="6"/>
  <c r="H2578" i="6"/>
  <c r="H2579" i="6"/>
  <c r="H2580" i="6"/>
  <c r="H2581" i="6"/>
  <c r="H2582" i="6"/>
  <c r="H2583" i="6"/>
  <c r="H2584" i="6"/>
  <c r="H2585" i="6"/>
  <c r="H2586" i="6"/>
  <c r="H2587" i="6"/>
  <c r="H2588" i="6"/>
  <c r="H2589" i="6"/>
  <c r="H2590" i="6"/>
  <c r="H2591" i="6"/>
  <c r="H2592" i="6"/>
  <c r="H2593" i="6"/>
  <c r="H2594" i="6"/>
  <c r="H2595" i="6"/>
  <c r="H2596" i="6"/>
  <c r="H2597" i="6"/>
  <c r="H2598" i="6"/>
  <c r="H2599" i="6"/>
  <c r="H2600" i="6"/>
  <c r="H2601" i="6"/>
  <c r="H2602" i="6"/>
  <c r="H2603" i="6"/>
  <c r="H2604" i="6"/>
  <c r="H2605" i="6"/>
  <c r="H2606" i="6"/>
  <c r="H2607" i="6"/>
  <c r="H2608" i="6"/>
  <c r="H2609" i="6"/>
  <c r="H2610" i="6"/>
  <c r="H2611" i="6"/>
  <c r="H2612" i="6"/>
  <c r="H2613" i="6"/>
  <c r="H2614" i="6"/>
  <c r="H2615" i="6"/>
  <c r="H2616" i="6"/>
  <c r="H2617" i="6"/>
  <c r="H2618" i="6"/>
  <c r="H2619" i="6"/>
  <c r="H2620" i="6"/>
  <c r="H2621" i="6"/>
  <c r="H2622" i="6"/>
  <c r="H2623" i="6"/>
  <c r="H2624" i="6"/>
  <c r="H2625" i="6"/>
  <c r="H2626" i="6"/>
  <c r="H2627" i="6"/>
  <c r="H2628" i="6"/>
  <c r="H2629" i="6"/>
  <c r="H2630" i="6"/>
  <c r="H2631" i="6"/>
  <c r="H2632" i="6"/>
  <c r="H2633" i="6"/>
  <c r="H2634" i="6"/>
  <c r="H2635" i="6"/>
  <c r="H2636" i="6"/>
  <c r="H2637" i="6"/>
  <c r="H2638" i="6"/>
  <c r="H2639" i="6"/>
  <c r="H2640" i="6"/>
  <c r="H2641" i="6"/>
  <c r="H2642" i="6"/>
  <c r="H2643" i="6"/>
  <c r="H2644" i="6"/>
  <c r="H2645" i="6"/>
  <c r="H2646" i="6"/>
  <c r="H2647" i="6"/>
  <c r="H2648" i="6"/>
  <c r="H2649" i="6"/>
  <c r="H2650" i="6"/>
  <c r="H2651" i="6"/>
  <c r="H2652" i="6"/>
  <c r="H2653" i="6"/>
  <c r="H2654" i="6"/>
  <c r="H2655" i="6"/>
  <c r="H2656" i="6"/>
  <c r="H2657" i="6"/>
  <c r="H2658" i="6"/>
  <c r="H2659" i="6"/>
  <c r="H2660" i="6"/>
  <c r="H2661" i="6"/>
  <c r="H2662" i="6"/>
  <c r="H2663" i="6"/>
  <c r="H2664" i="6"/>
  <c r="H2665" i="6"/>
  <c r="H2666" i="6"/>
  <c r="H2667" i="6"/>
  <c r="H2668" i="6"/>
  <c r="H2669" i="6"/>
  <c r="H2670" i="6"/>
  <c r="H2671" i="6"/>
  <c r="H2672" i="6"/>
  <c r="H2673" i="6"/>
  <c r="H2674" i="6"/>
  <c r="H2675" i="6"/>
  <c r="H2676" i="6"/>
  <c r="H2677" i="6"/>
  <c r="H2678" i="6"/>
  <c r="H2679" i="6"/>
  <c r="H2680" i="6"/>
  <c r="H2681" i="6"/>
  <c r="H2682" i="6"/>
  <c r="H2683" i="6"/>
  <c r="H2684" i="6"/>
  <c r="H2685" i="6"/>
  <c r="H2686" i="6"/>
  <c r="H2687" i="6"/>
  <c r="H2688" i="6"/>
  <c r="H2689" i="6"/>
  <c r="H2690" i="6"/>
  <c r="H2691" i="6"/>
  <c r="H2692" i="6"/>
  <c r="H2693" i="6"/>
  <c r="H2694" i="6"/>
  <c r="H2695" i="6"/>
  <c r="H2696" i="6"/>
  <c r="H2697" i="6"/>
  <c r="H2698" i="6"/>
  <c r="H2699" i="6"/>
  <c r="H2700" i="6"/>
  <c r="H2701" i="6"/>
  <c r="H2702" i="6"/>
  <c r="H2703" i="6"/>
  <c r="H2704" i="6"/>
  <c r="H2705" i="6"/>
  <c r="H2706" i="6"/>
  <c r="H2707" i="6"/>
  <c r="H2708" i="6"/>
  <c r="H2709" i="6"/>
  <c r="H2710" i="6"/>
  <c r="H2711" i="6"/>
  <c r="H2712" i="6"/>
  <c r="H2713" i="6"/>
  <c r="H2714" i="6"/>
  <c r="H2715" i="6"/>
  <c r="H2716" i="6"/>
  <c r="H2717" i="6"/>
  <c r="H2718" i="6"/>
  <c r="H2719" i="6"/>
  <c r="H2720" i="6"/>
  <c r="H2721" i="6"/>
  <c r="H2722" i="6"/>
  <c r="H2723" i="6"/>
  <c r="H2724" i="6"/>
  <c r="H2725" i="6"/>
  <c r="H2726" i="6"/>
  <c r="H2727" i="6"/>
  <c r="H2728" i="6"/>
  <c r="H2729" i="6"/>
  <c r="H2730" i="6"/>
  <c r="H2731" i="6"/>
  <c r="H2732" i="6"/>
  <c r="H2733" i="6"/>
  <c r="H2734" i="6"/>
  <c r="H2735" i="6"/>
  <c r="H2736" i="6"/>
  <c r="H2737" i="6"/>
  <c r="H2738" i="6"/>
  <c r="H2739" i="6"/>
  <c r="H2740" i="6"/>
  <c r="H2741" i="6"/>
  <c r="H2742" i="6"/>
  <c r="H2743" i="6"/>
  <c r="H2744" i="6"/>
  <c r="H2745" i="6"/>
  <c r="H2746" i="6"/>
  <c r="H2747" i="6"/>
  <c r="H2748" i="6"/>
  <c r="H2749" i="6"/>
  <c r="H2750" i="6"/>
  <c r="H2751" i="6"/>
  <c r="H2752" i="6"/>
  <c r="H2753" i="6"/>
  <c r="H2754" i="6"/>
  <c r="H2755" i="6"/>
  <c r="H2756" i="6"/>
  <c r="H2757" i="6"/>
  <c r="H2758" i="6"/>
  <c r="H2759" i="6"/>
  <c r="H2760" i="6"/>
  <c r="H2761" i="6"/>
  <c r="H2762" i="6"/>
  <c r="H2763" i="6"/>
  <c r="H2764" i="6"/>
  <c r="H2765" i="6"/>
  <c r="H2766" i="6"/>
  <c r="H2767" i="6"/>
  <c r="H2768" i="6"/>
  <c r="H2769" i="6"/>
  <c r="H2770" i="6"/>
  <c r="H2771" i="6"/>
  <c r="H2772" i="6"/>
  <c r="H2773" i="6"/>
  <c r="H2774" i="6"/>
  <c r="H2775" i="6"/>
  <c r="H2776" i="6"/>
  <c r="H2777" i="6"/>
  <c r="H2778" i="6"/>
  <c r="H2779" i="6"/>
  <c r="H2780" i="6"/>
  <c r="H2781" i="6"/>
  <c r="H2782" i="6"/>
  <c r="H2783" i="6"/>
  <c r="H2784" i="6"/>
  <c r="H2785" i="6"/>
  <c r="H2786" i="6"/>
  <c r="H2787" i="6"/>
  <c r="H2788" i="6"/>
  <c r="H2789" i="6"/>
  <c r="H2790" i="6"/>
  <c r="H2791" i="6"/>
  <c r="H2792" i="6"/>
  <c r="H2793" i="6"/>
  <c r="H2794" i="6"/>
  <c r="H2795" i="6"/>
  <c r="H2796" i="6"/>
  <c r="H2797" i="6"/>
  <c r="H2798" i="6"/>
  <c r="H2799" i="6"/>
  <c r="H2800" i="6"/>
  <c r="H2801" i="6"/>
  <c r="H2802" i="6"/>
  <c r="H2803" i="6"/>
  <c r="H2804" i="6"/>
  <c r="H2805" i="6"/>
  <c r="H2806" i="6"/>
  <c r="H2807" i="6"/>
  <c r="H2808" i="6"/>
  <c r="H2809" i="6"/>
  <c r="H2810" i="6"/>
  <c r="H2811" i="6"/>
  <c r="H2812" i="6"/>
  <c r="H2813" i="6"/>
  <c r="H2814" i="6"/>
  <c r="H2815" i="6"/>
  <c r="H2816" i="6"/>
  <c r="H2817" i="6"/>
  <c r="H2818" i="6"/>
  <c r="H2819" i="6"/>
  <c r="H2820" i="6"/>
  <c r="H2821" i="6"/>
  <c r="H2822" i="6"/>
  <c r="H2823" i="6"/>
  <c r="H2824" i="6"/>
  <c r="H2825" i="6"/>
  <c r="H2826" i="6"/>
  <c r="H2827" i="6"/>
  <c r="H2828" i="6"/>
  <c r="H2829" i="6"/>
  <c r="H2830" i="6"/>
  <c r="H2831" i="6"/>
  <c r="H2832" i="6"/>
  <c r="H2833" i="6"/>
  <c r="H2834" i="6"/>
  <c r="H2835" i="6"/>
  <c r="H2836" i="6"/>
  <c r="H2837" i="6"/>
  <c r="H2838" i="6"/>
  <c r="H2839" i="6"/>
  <c r="H2840" i="6"/>
  <c r="H2841" i="6"/>
  <c r="H2842" i="6"/>
  <c r="H2843" i="6"/>
  <c r="H2844" i="6"/>
  <c r="H2845" i="6"/>
  <c r="H2846" i="6"/>
  <c r="H2847" i="6"/>
  <c r="H2848" i="6"/>
  <c r="H2849" i="6"/>
  <c r="H2850" i="6"/>
  <c r="H2851" i="6"/>
  <c r="H2852" i="6"/>
  <c r="H2853" i="6"/>
  <c r="H2854" i="6"/>
  <c r="H2855" i="6"/>
  <c r="H2856" i="6"/>
  <c r="H2857" i="6"/>
  <c r="H2858" i="6"/>
  <c r="H2859" i="6"/>
  <c r="H2860" i="6"/>
  <c r="H2861" i="6"/>
  <c r="H2862" i="6"/>
  <c r="H2863" i="6"/>
  <c r="H2864" i="6"/>
  <c r="H2865" i="6"/>
  <c r="H2866" i="6"/>
  <c r="H2867" i="6"/>
  <c r="H2868" i="6"/>
  <c r="H2869" i="6"/>
  <c r="H2870" i="6"/>
  <c r="H2871" i="6"/>
  <c r="H2872" i="6"/>
  <c r="H2873" i="6"/>
  <c r="H2874" i="6"/>
  <c r="H2875" i="6"/>
  <c r="H2876" i="6"/>
  <c r="H2877" i="6"/>
  <c r="H2878" i="6"/>
  <c r="H2879" i="6"/>
  <c r="H2880" i="6"/>
  <c r="H2881" i="6"/>
  <c r="H2882" i="6"/>
  <c r="H2883" i="6"/>
  <c r="H2884" i="6"/>
  <c r="H2885" i="6"/>
  <c r="H2886" i="6"/>
  <c r="H2887" i="6"/>
  <c r="H2888" i="6"/>
  <c r="H2889" i="6"/>
  <c r="H2890" i="6"/>
  <c r="H2891" i="6"/>
  <c r="H2892" i="6"/>
  <c r="H2893" i="6"/>
  <c r="H2894" i="6"/>
  <c r="H2895" i="6"/>
  <c r="H2896" i="6"/>
  <c r="H2897" i="6"/>
  <c r="H2898" i="6"/>
  <c r="H2899" i="6"/>
  <c r="H2900" i="6"/>
  <c r="H2901" i="6"/>
  <c r="H2902" i="6"/>
  <c r="H2903" i="6"/>
  <c r="H2904" i="6"/>
  <c r="H2905" i="6"/>
  <c r="H2906" i="6"/>
  <c r="H2907" i="6"/>
  <c r="H2908" i="6"/>
  <c r="H2909" i="6"/>
  <c r="H2910" i="6"/>
  <c r="H2911" i="6"/>
  <c r="H2912" i="6"/>
  <c r="H2913" i="6"/>
  <c r="H2914" i="6"/>
  <c r="H2915" i="6"/>
  <c r="H2916" i="6"/>
  <c r="H2917" i="6"/>
  <c r="H2918" i="6"/>
  <c r="H2919" i="6"/>
  <c r="H2920" i="6"/>
  <c r="H2921" i="6"/>
  <c r="H2922" i="6"/>
  <c r="H2923" i="6"/>
  <c r="H2924" i="6"/>
  <c r="H2925" i="6"/>
  <c r="H2926" i="6"/>
  <c r="H2927" i="6"/>
  <c r="H2928" i="6"/>
  <c r="H2929" i="6"/>
  <c r="H2930" i="6"/>
  <c r="H2931" i="6"/>
  <c r="H2932" i="6"/>
  <c r="H2933" i="6"/>
  <c r="H2934" i="6"/>
  <c r="H2935" i="6"/>
  <c r="H2936" i="6"/>
  <c r="H2937" i="6"/>
  <c r="H2938" i="6"/>
  <c r="H2939" i="6"/>
  <c r="H2940" i="6"/>
  <c r="H2941" i="6"/>
  <c r="H2942" i="6"/>
  <c r="H2943" i="6"/>
  <c r="H2944" i="6"/>
  <c r="H2945" i="6"/>
  <c r="H2946" i="6"/>
  <c r="H2947" i="6"/>
  <c r="H2948" i="6"/>
  <c r="H2949" i="6"/>
  <c r="H2950" i="6"/>
  <c r="H2951" i="6"/>
  <c r="H2952" i="6"/>
  <c r="H2953" i="6"/>
  <c r="H2954" i="6"/>
  <c r="H2955" i="6"/>
  <c r="H2956" i="6"/>
  <c r="H2957" i="6"/>
  <c r="H2958" i="6"/>
  <c r="H2959" i="6"/>
  <c r="H2960" i="6"/>
  <c r="H2961" i="6"/>
  <c r="H2962" i="6"/>
  <c r="H2963" i="6"/>
  <c r="H2964" i="6"/>
  <c r="H2965" i="6"/>
  <c r="H2966" i="6"/>
  <c r="H2967" i="6"/>
  <c r="H2968" i="6"/>
  <c r="H2969" i="6"/>
  <c r="H2970" i="6"/>
  <c r="H2971" i="6"/>
  <c r="H2972" i="6"/>
  <c r="H2973" i="6"/>
  <c r="H2974" i="6"/>
  <c r="H2975" i="6"/>
  <c r="H2976" i="6"/>
  <c r="H2977" i="6"/>
  <c r="H2978" i="6"/>
  <c r="H2979" i="6"/>
  <c r="H2980" i="6"/>
  <c r="H2981" i="6"/>
  <c r="H2982" i="6"/>
  <c r="H2983" i="6"/>
  <c r="H2984" i="6"/>
  <c r="H2985" i="6"/>
  <c r="H2986" i="6"/>
  <c r="H2987" i="6"/>
  <c r="H2988" i="6"/>
  <c r="H2989" i="6"/>
  <c r="H2990" i="6"/>
  <c r="H2991" i="6"/>
  <c r="H2992" i="6"/>
  <c r="H2993" i="6"/>
  <c r="H2994" i="6"/>
  <c r="H2995" i="6"/>
  <c r="H2996" i="6"/>
  <c r="H2997" i="6"/>
  <c r="H2998" i="6"/>
  <c r="H2999" i="6"/>
  <c r="H3000" i="6"/>
  <c r="H3001" i="6"/>
  <c r="H3002" i="6"/>
  <c r="H3003" i="6"/>
  <c r="H3004" i="6"/>
  <c r="H3005" i="6"/>
  <c r="H3006" i="6"/>
  <c r="H3007" i="6"/>
  <c r="H3008" i="6"/>
  <c r="H3009" i="6"/>
  <c r="H3010" i="6"/>
  <c r="H3011" i="6"/>
  <c r="H3012" i="6"/>
  <c r="H3013" i="6"/>
  <c r="H3014" i="6"/>
  <c r="H3015" i="6"/>
  <c r="H3016" i="6"/>
  <c r="H3017" i="6"/>
  <c r="H3018" i="6"/>
  <c r="H3019" i="6"/>
  <c r="H3020" i="6"/>
  <c r="H3021" i="6"/>
  <c r="H3022" i="6"/>
  <c r="H3023" i="6"/>
  <c r="H3024" i="6"/>
  <c r="H3025" i="6"/>
  <c r="H3026" i="6"/>
  <c r="H3027" i="6"/>
  <c r="H3028" i="6"/>
  <c r="H3029" i="6"/>
  <c r="H3030" i="6"/>
  <c r="H3031" i="6"/>
  <c r="H3032" i="6"/>
  <c r="H3033" i="6"/>
  <c r="H3034" i="6"/>
  <c r="H3035" i="6"/>
  <c r="H3036" i="6"/>
  <c r="H3037" i="6"/>
  <c r="H3038" i="6"/>
  <c r="H3039" i="6"/>
  <c r="H3040" i="6"/>
  <c r="H3041" i="6"/>
  <c r="H3042" i="6"/>
  <c r="H3043" i="6"/>
  <c r="H3044" i="6"/>
  <c r="H3045" i="6"/>
  <c r="H3046" i="6"/>
  <c r="H3047" i="6"/>
  <c r="H3048" i="6"/>
  <c r="H3049" i="6"/>
  <c r="H3050" i="6"/>
  <c r="H3051" i="6"/>
  <c r="H3052" i="6"/>
  <c r="H3053" i="6"/>
  <c r="H3054" i="6"/>
  <c r="H3055" i="6"/>
  <c r="H3056" i="6"/>
  <c r="H3057" i="6"/>
  <c r="H3058" i="6"/>
  <c r="H3059" i="6"/>
  <c r="H3060" i="6"/>
  <c r="H3061" i="6"/>
  <c r="H3062" i="6"/>
  <c r="H3063" i="6"/>
  <c r="H3064" i="6"/>
  <c r="H3065" i="6"/>
  <c r="H3066" i="6"/>
  <c r="H3067" i="6"/>
  <c r="H3068" i="6"/>
  <c r="H3069" i="6"/>
  <c r="H3070" i="6"/>
  <c r="H3071" i="6"/>
  <c r="H3072" i="6"/>
  <c r="H3073" i="6"/>
  <c r="H3074" i="6"/>
  <c r="H3075" i="6"/>
  <c r="H3076" i="6"/>
  <c r="H3077" i="6"/>
  <c r="H3078" i="6"/>
  <c r="H3079" i="6"/>
  <c r="H3080" i="6"/>
  <c r="H3081" i="6"/>
  <c r="H3082" i="6"/>
  <c r="H3083" i="6"/>
  <c r="H3084" i="6"/>
  <c r="H3085" i="6"/>
  <c r="H3086" i="6"/>
  <c r="H3087" i="6"/>
  <c r="H3088" i="6"/>
  <c r="H3089" i="6"/>
  <c r="H3090" i="6"/>
  <c r="H3091" i="6"/>
  <c r="H3092" i="6"/>
  <c r="H3093" i="6"/>
  <c r="H3094" i="6"/>
  <c r="H3095" i="6"/>
  <c r="H3096" i="6"/>
  <c r="H3097" i="6"/>
  <c r="H3098" i="6"/>
  <c r="H3099" i="6"/>
  <c r="H3100" i="6"/>
  <c r="H3101" i="6"/>
  <c r="H3102" i="6"/>
  <c r="H3103" i="6"/>
  <c r="H3104" i="6"/>
  <c r="H3105" i="6"/>
  <c r="H3106" i="6"/>
  <c r="H3107" i="6"/>
  <c r="H3108" i="6"/>
  <c r="H3109" i="6"/>
  <c r="H3110" i="6"/>
  <c r="H3111" i="6"/>
  <c r="H3112" i="6"/>
  <c r="H3113" i="6"/>
  <c r="H3114" i="6"/>
  <c r="H3115" i="6"/>
  <c r="H3116" i="6"/>
  <c r="H3117" i="6"/>
  <c r="H3118" i="6"/>
  <c r="H3119" i="6"/>
  <c r="H3120" i="6"/>
  <c r="H3121" i="6"/>
  <c r="H3122" i="6"/>
  <c r="H3123" i="6"/>
  <c r="H3124" i="6"/>
  <c r="H3125" i="6"/>
  <c r="H3126" i="6"/>
  <c r="H3127" i="6"/>
  <c r="H3128" i="6"/>
  <c r="H3129" i="6"/>
  <c r="H3130" i="6"/>
  <c r="H3131" i="6"/>
  <c r="H3132" i="6"/>
  <c r="H3133" i="6"/>
  <c r="H3134" i="6"/>
  <c r="H3135" i="6"/>
  <c r="H3136" i="6"/>
  <c r="H3137" i="6"/>
  <c r="H3138" i="6"/>
  <c r="H3139" i="6"/>
  <c r="H3140" i="6"/>
  <c r="H3141" i="6"/>
  <c r="H3142" i="6"/>
  <c r="H3143" i="6"/>
  <c r="H3144" i="6"/>
  <c r="H3145" i="6"/>
  <c r="H3146" i="6"/>
  <c r="H3147" i="6"/>
  <c r="H3148" i="6"/>
  <c r="H3149" i="6"/>
  <c r="H3150" i="6"/>
  <c r="H3151" i="6"/>
  <c r="H3152" i="6"/>
  <c r="H3153" i="6"/>
  <c r="H3154" i="6"/>
  <c r="H3155" i="6"/>
  <c r="H3156" i="6"/>
  <c r="H3157" i="6"/>
  <c r="H3158" i="6"/>
  <c r="H3159" i="6"/>
  <c r="H3160" i="6"/>
  <c r="H3161" i="6"/>
  <c r="H3162" i="6"/>
  <c r="I2" i="6"/>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37" i="6"/>
  <c r="I338" i="6"/>
  <c r="I339" i="6"/>
  <c r="I340" i="6"/>
  <c r="I341" i="6"/>
  <c r="I342" i="6"/>
  <c r="I343" i="6"/>
  <c r="I344" i="6"/>
  <c r="I345" i="6"/>
  <c r="I346" i="6"/>
  <c r="I347" i="6"/>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I375" i="6"/>
  <c r="I376" i="6"/>
  <c r="I377" i="6"/>
  <c r="I378" i="6"/>
  <c r="I379" i="6"/>
  <c r="I380" i="6"/>
  <c r="I381" i="6"/>
  <c r="I382" i="6"/>
  <c r="I383" i="6"/>
  <c r="I384" i="6"/>
  <c r="I385" i="6"/>
  <c r="I386" i="6"/>
  <c r="I387" i="6"/>
  <c r="I388" i="6"/>
  <c r="I389" i="6"/>
  <c r="I390" i="6"/>
  <c r="I391" i="6"/>
  <c r="I392" i="6"/>
  <c r="I393" i="6"/>
  <c r="I394" i="6"/>
  <c r="I395" i="6"/>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I518" i="6"/>
  <c r="I519" i="6"/>
  <c r="I520" i="6"/>
  <c r="I521" i="6"/>
  <c r="I522" i="6"/>
  <c r="I523" i="6"/>
  <c r="I524" i="6"/>
  <c r="I525" i="6"/>
  <c r="I526" i="6"/>
  <c r="I527" i="6"/>
  <c r="I528" i="6"/>
  <c r="I529" i="6"/>
  <c r="I530" i="6"/>
  <c r="I531" i="6"/>
  <c r="I532" i="6"/>
  <c r="I533" i="6"/>
  <c r="I534" i="6"/>
  <c r="I535" i="6"/>
  <c r="I536" i="6"/>
  <c r="I537" i="6"/>
  <c r="I538" i="6"/>
  <c r="I539" i="6"/>
  <c r="I540" i="6"/>
  <c r="I541" i="6"/>
  <c r="I542" i="6"/>
  <c r="I543" i="6"/>
  <c r="I544" i="6"/>
  <c r="I545" i="6"/>
  <c r="I546" i="6"/>
  <c r="I547" i="6"/>
  <c r="I548" i="6"/>
  <c r="I549" i="6"/>
  <c r="I550" i="6"/>
  <c r="I551" i="6"/>
  <c r="I552" i="6"/>
  <c r="I553" i="6"/>
  <c r="I554" i="6"/>
  <c r="I555" i="6"/>
  <c r="I556" i="6"/>
  <c r="I557" i="6"/>
  <c r="I558" i="6"/>
  <c r="I559" i="6"/>
  <c r="I560" i="6"/>
  <c r="I561" i="6"/>
  <c r="I562" i="6"/>
  <c r="I563" i="6"/>
  <c r="I564" i="6"/>
  <c r="I565" i="6"/>
  <c r="I566" i="6"/>
  <c r="I567" i="6"/>
  <c r="I568" i="6"/>
  <c r="I569" i="6"/>
  <c r="I570" i="6"/>
  <c r="I571" i="6"/>
  <c r="I572" i="6"/>
  <c r="I573" i="6"/>
  <c r="I574" i="6"/>
  <c r="I575" i="6"/>
  <c r="I576" i="6"/>
  <c r="I577" i="6"/>
  <c r="I578" i="6"/>
  <c r="I579" i="6"/>
  <c r="I580" i="6"/>
  <c r="I581" i="6"/>
  <c r="I582" i="6"/>
  <c r="I583" i="6"/>
  <c r="I584" i="6"/>
  <c r="I585" i="6"/>
  <c r="I586" i="6"/>
  <c r="I587" i="6"/>
  <c r="I588" i="6"/>
  <c r="I589" i="6"/>
  <c r="I590" i="6"/>
  <c r="I591" i="6"/>
  <c r="I592" i="6"/>
  <c r="I593" i="6"/>
  <c r="I594" i="6"/>
  <c r="I595" i="6"/>
  <c r="I596" i="6"/>
  <c r="I597" i="6"/>
  <c r="I598" i="6"/>
  <c r="I599" i="6"/>
  <c r="I600" i="6"/>
  <c r="I601" i="6"/>
  <c r="I602" i="6"/>
  <c r="I603" i="6"/>
  <c r="I604" i="6"/>
  <c r="I605" i="6"/>
  <c r="I606" i="6"/>
  <c r="I607" i="6"/>
  <c r="I608" i="6"/>
  <c r="I609" i="6"/>
  <c r="I610" i="6"/>
  <c r="I611" i="6"/>
  <c r="I612" i="6"/>
  <c r="I613" i="6"/>
  <c r="I614" i="6"/>
  <c r="I615" i="6"/>
  <c r="I616" i="6"/>
  <c r="I617" i="6"/>
  <c r="I618" i="6"/>
  <c r="I619" i="6"/>
  <c r="I620" i="6"/>
  <c r="I621" i="6"/>
  <c r="I622" i="6"/>
  <c r="I623" i="6"/>
  <c r="I624" i="6"/>
  <c r="I625" i="6"/>
  <c r="I626" i="6"/>
  <c r="I627" i="6"/>
  <c r="I628" i="6"/>
  <c r="I629" i="6"/>
  <c r="I630" i="6"/>
  <c r="I631" i="6"/>
  <c r="I632" i="6"/>
  <c r="I633" i="6"/>
  <c r="I634" i="6"/>
  <c r="I635" i="6"/>
  <c r="I636" i="6"/>
  <c r="I637" i="6"/>
  <c r="I638" i="6"/>
  <c r="I639" i="6"/>
  <c r="I640" i="6"/>
  <c r="I641" i="6"/>
  <c r="I642" i="6"/>
  <c r="I643" i="6"/>
  <c r="I644" i="6"/>
  <c r="I645" i="6"/>
  <c r="I646" i="6"/>
  <c r="I647" i="6"/>
  <c r="I648" i="6"/>
  <c r="I649" i="6"/>
  <c r="I650" i="6"/>
  <c r="I651" i="6"/>
  <c r="I652" i="6"/>
  <c r="I653" i="6"/>
  <c r="I654" i="6"/>
  <c r="I655" i="6"/>
  <c r="I656" i="6"/>
  <c r="I657" i="6"/>
  <c r="I658" i="6"/>
  <c r="I659" i="6"/>
  <c r="I660" i="6"/>
  <c r="I661" i="6"/>
  <c r="I662" i="6"/>
  <c r="I663" i="6"/>
  <c r="I664" i="6"/>
  <c r="I665" i="6"/>
  <c r="I666" i="6"/>
  <c r="I667" i="6"/>
  <c r="I668" i="6"/>
  <c r="I669" i="6"/>
  <c r="I670" i="6"/>
  <c r="I671" i="6"/>
  <c r="I672" i="6"/>
  <c r="I673" i="6"/>
  <c r="I674" i="6"/>
  <c r="I675" i="6"/>
  <c r="I676" i="6"/>
  <c r="I677" i="6"/>
  <c r="I678" i="6"/>
  <c r="I679" i="6"/>
  <c r="I680" i="6"/>
  <c r="I681" i="6"/>
  <c r="I682" i="6"/>
  <c r="I683" i="6"/>
  <c r="I684" i="6"/>
  <c r="I685" i="6"/>
  <c r="I686" i="6"/>
  <c r="I687" i="6"/>
  <c r="I688" i="6"/>
  <c r="I689" i="6"/>
  <c r="I690" i="6"/>
  <c r="I691" i="6"/>
  <c r="I692" i="6"/>
  <c r="I693" i="6"/>
  <c r="I694" i="6"/>
  <c r="I695" i="6"/>
  <c r="I696" i="6"/>
  <c r="I697" i="6"/>
  <c r="I698" i="6"/>
  <c r="I699" i="6"/>
  <c r="I700" i="6"/>
  <c r="I701" i="6"/>
  <c r="I702" i="6"/>
  <c r="I703" i="6"/>
  <c r="I704" i="6"/>
  <c r="I705" i="6"/>
  <c r="I706" i="6"/>
  <c r="I707" i="6"/>
  <c r="I708" i="6"/>
  <c r="I709" i="6"/>
  <c r="I710" i="6"/>
  <c r="I711" i="6"/>
  <c r="I712" i="6"/>
  <c r="I713" i="6"/>
  <c r="I714" i="6"/>
  <c r="I715" i="6"/>
  <c r="I716" i="6"/>
  <c r="I717" i="6"/>
  <c r="I718" i="6"/>
  <c r="I719" i="6"/>
  <c r="I720" i="6"/>
  <c r="I721" i="6"/>
  <c r="I722" i="6"/>
  <c r="I723" i="6"/>
  <c r="I724" i="6"/>
  <c r="I725" i="6"/>
  <c r="I726" i="6"/>
  <c r="I727" i="6"/>
  <c r="I728" i="6"/>
  <c r="I729" i="6"/>
  <c r="I730" i="6"/>
  <c r="I731" i="6"/>
  <c r="I732" i="6"/>
  <c r="I733" i="6"/>
  <c r="I734" i="6"/>
  <c r="I735" i="6"/>
  <c r="I736" i="6"/>
  <c r="I737" i="6"/>
  <c r="I738" i="6"/>
  <c r="I739" i="6"/>
  <c r="I740" i="6"/>
  <c r="I741" i="6"/>
  <c r="I742" i="6"/>
  <c r="I743" i="6"/>
  <c r="I744" i="6"/>
  <c r="I745" i="6"/>
  <c r="I746" i="6"/>
  <c r="I747" i="6"/>
  <c r="I748" i="6"/>
  <c r="I749" i="6"/>
  <c r="I750" i="6"/>
  <c r="I751" i="6"/>
  <c r="I752" i="6"/>
  <c r="I753" i="6"/>
  <c r="I754" i="6"/>
  <c r="I755" i="6"/>
  <c r="I756" i="6"/>
  <c r="I757" i="6"/>
  <c r="I758" i="6"/>
  <c r="I759" i="6"/>
  <c r="I760" i="6"/>
  <c r="I761" i="6"/>
  <c r="I762" i="6"/>
  <c r="I763" i="6"/>
  <c r="I764" i="6"/>
  <c r="I765" i="6"/>
  <c r="I766" i="6"/>
  <c r="I767" i="6"/>
  <c r="I768" i="6"/>
  <c r="I769" i="6"/>
  <c r="I770" i="6"/>
  <c r="I771" i="6"/>
  <c r="I772" i="6"/>
  <c r="I773" i="6"/>
  <c r="I774" i="6"/>
  <c r="I775" i="6"/>
  <c r="I776" i="6"/>
  <c r="I777" i="6"/>
  <c r="I778" i="6"/>
  <c r="I779" i="6"/>
  <c r="I780" i="6"/>
  <c r="I781" i="6"/>
  <c r="I782" i="6"/>
  <c r="I783" i="6"/>
  <c r="I784" i="6"/>
  <c r="I785" i="6"/>
  <c r="I786" i="6"/>
  <c r="I787" i="6"/>
  <c r="I788" i="6"/>
  <c r="I789" i="6"/>
  <c r="I790" i="6"/>
  <c r="I791" i="6"/>
  <c r="I792" i="6"/>
  <c r="I793" i="6"/>
  <c r="I794" i="6"/>
  <c r="I795" i="6"/>
  <c r="I796" i="6"/>
  <c r="I797" i="6"/>
  <c r="I798" i="6"/>
  <c r="I799" i="6"/>
  <c r="I800" i="6"/>
  <c r="I801" i="6"/>
  <c r="I802" i="6"/>
  <c r="I803" i="6"/>
  <c r="I804" i="6"/>
  <c r="I805" i="6"/>
  <c r="I806" i="6"/>
  <c r="I807" i="6"/>
  <c r="I808" i="6"/>
  <c r="I809" i="6"/>
  <c r="I810" i="6"/>
  <c r="I811" i="6"/>
  <c r="I812" i="6"/>
  <c r="I813" i="6"/>
  <c r="I814" i="6"/>
  <c r="I815" i="6"/>
  <c r="I816" i="6"/>
  <c r="I817" i="6"/>
  <c r="I818" i="6"/>
  <c r="I819" i="6"/>
  <c r="I820" i="6"/>
  <c r="I821" i="6"/>
  <c r="I822" i="6"/>
  <c r="I823" i="6"/>
  <c r="I824" i="6"/>
  <c r="I825" i="6"/>
  <c r="I826" i="6"/>
  <c r="I827" i="6"/>
  <c r="I828" i="6"/>
  <c r="I829" i="6"/>
  <c r="I830" i="6"/>
  <c r="I831" i="6"/>
  <c r="I832" i="6"/>
  <c r="I833" i="6"/>
  <c r="I834" i="6"/>
  <c r="I835" i="6"/>
  <c r="I836" i="6"/>
  <c r="I837" i="6"/>
  <c r="I838" i="6"/>
  <c r="I839" i="6"/>
  <c r="I840" i="6"/>
  <c r="I841" i="6"/>
  <c r="I842" i="6"/>
  <c r="I843" i="6"/>
  <c r="I844" i="6"/>
  <c r="I845" i="6"/>
  <c r="I846" i="6"/>
  <c r="I847" i="6"/>
  <c r="I848" i="6"/>
  <c r="I849" i="6"/>
  <c r="I850" i="6"/>
  <c r="I851" i="6"/>
  <c r="I852" i="6"/>
  <c r="I853" i="6"/>
  <c r="I854" i="6"/>
  <c r="I855" i="6"/>
  <c r="I856" i="6"/>
  <c r="I857" i="6"/>
  <c r="I858" i="6"/>
  <c r="I859" i="6"/>
  <c r="I860" i="6"/>
  <c r="I861" i="6"/>
  <c r="I862" i="6"/>
  <c r="I863" i="6"/>
  <c r="I864" i="6"/>
  <c r="I865" i="6"/>
  <c r="I866" i="6"/>
  <c r="I867" i="6"/>
  <c r="I868" i="6"/>
  <c r="I869" i="6"/>
  <c r="I870" i="6"/>
  <c r="I871" i="6"/>
  <c r="I872" i="6"/>
  <c r="I873" i="6"/>
  <c r="I874" i="6"/>
  <c r="I875" i="6"/>
  <c r="I876" i="6"/>
  <c r="I877" i="6"/>
  <c r="I878" i="6"/>
  <c r="I879" i="6"/>
  <c r="I880" i="6"/>
  <c r="I881" i="6"/>
  <c r="I882" i="6"/>
  <c r="I883" i="6"/>
  <c r="I884" i="6"/>
  <c r="I885" i="6"/>
  <c r="I886" i="6"/>
  <c r="I887" i="6"/>
  <c r="I888" i="6"/>
  <c r="I889" i="6"/>
  <c r="I890" i="6"/>
  <c r="I891" i="6"/>
  <c r="I892" i="6"/>
  <c r="I893" i="6"/>
  <c r="I894" i="6"/>
  <c r="I895" i="6"/>
  <c r="I896" i="6"/>
  <c r="I897" i="6"/>
  <c r="I898" i="6"/>
  <c r="I899" i="6"/>
  <c r="I900" i="6"/>
  <c r="I901" i="6"/>
  <c r="I902" i="6"/>
  <c r="I903" i="6"/>
  <c r="I904" i="6"/>
  <c r="I905" i="6"/>
  <c r="I906" i="6"/>
  <c r="I907" i="6"/>
  <c r="I908" i="6"/>
  <c r="I909" i="6"/>
  <c r="I910" i="6"/>
  <c r="I911" i="6"/>
  <c r="I912" i="6"/>
  <c r="I913" i="6"/>
  <c r="I914" i="6"/>
  <c r="I915" i="6"/>
  <c r="I916" i="6"/>
  <c r="I917" i="6"/>
  <c r="I918" i="6"/>
  <c r="I919" i="6"/>
  <c r="I920" i="6"/>
  <c r="I921" i="6"/>
  <c r="I922" i="6"/>
  <c r="I923" i="6"/>
  <c r="I924" i="6"/>
  <c r="I925" i="6"/>
  <c r="I926" i="6"/>
  <c r="I927" i="6"/>
  <c r="I928" i="6"/>
  <c r="I929" i="6"/>
  <c r="I930" i="6"/>
  <c r="I931" i="6"/>
  <c r="I932" i="6"/>
  <c r="I933" i="6"/>
  <c r="I934" i="6"/>
  <c r="I935" i="6"/>
  <c r="I936" i="6"/>
  <c r="I937" i="6"/>
  <c r="I938" i="6"/>
  <c r="I939" i="6"/>
  <c r="I940" i="6"/>
  <c r="I941" i="6"/>
  <c r="I942" i="6"/>
  <c r="I943" i="6"/>
  <c r="I944" i="6"/>
  <c r="I945" i="6"/>
  <c r="I946" i="6"/>
  <c r="I947" i="6"/>
  <c r="I948" i="6"/>
  <c r="I949" i="6"/>
  <c r="I950" i="6"/>
  <c r="I951" i="6"/>
  <c r="I952" i="6"/>
  <c r="I953" i="6"/>
  <c r="I954" i="6"/>
  <c r="I955" i="6"/>
  <c r="I956" i="6"/>
  <c r="I957" i="6"/>
  <c r="I958" i="6"/>
  <c r="I959" i="6"/>
  <c r="I960" i="6"/>
  <c r="I961" i="6"/>
  <c r="I962" i="6"/>
  <c r="I963" i="6"/>
  <c r="I964" i="6"/>
  <c r="I965" i="6"/>
  <c r="I966" i="6"/>
  <c r="I967" i="6"/>
  <c r="I968" i="6"/>
  <c r="I969" i="6"/>
  <c r="I970" i="6"/>
  <c r="I971" i="6"/>
  <c r="I972" i="6"/>
  <c r="I973" i="6"/>
  <c r="I974" i="6"/>
  <c r="I975" i="6"/>
  <c r="I976" i="6"/>
  <c r="I977" i="6"/>
  <c r="I978" i="6"/>
  <c r="I979" i="6"/>
  <c r="I980" i="6"/>
  <c r="I981" i="6"/>
  <c r="I982" i="6"/>
  <c r="I983" i="6"/>
  <c r="I984" i="6"/>
  <c r="I985" i="6"/>
  <c r="I986" i="6"/>
  <c r="I987" i="6"/>
  <c r="I988" i="6"/>
  <c r="I989" i="6"/>
  <c r="I990" i="6"/>
  <c r="I991" i="6"/>
  <c r="I992" i="6"/>
  <c r="I993" i="6"/>
  <c r="I994" i="6"/>
  <c r="I995" i="6"/>
  <c r="I996" i="6"/>
  <c r="I997" i="6"/>
  <c r="I998" i="6"/>
  <c r="I999" i="6"/>
  <c r="I1000" i="6"/>
  <c r="I1001" i="6"/>
  <c r="I1002" i="6"/>
  <c r="I1003" i="6"/>
  <c r="I1004" i="6"/>
  <c r="I1005" i="6"/>
  <c r="I1006" i="6"/>
  <c r="I1007" i="6"/>
  <c r="I1008" i="6"/>
  <c r="I1009" i="6"/>
  <c r="I1010" i="6"/>
  <c r="I1011" i="6"/>
  <c r="I1012" i="6"/>
  <c r="I1013" i="6"/>
  <c r="I1014" i="6"/>
  <c r="I1015" i="6"/>
  <c r="I1016" i="6"/>
  <c r="I1017" i="6"/>
  <c r="I1018" i="6"/>
  <c r="I1019" i="6"/>
  <c r="I1020" i="6"/>
  <c r="I1021" i="6"/>
  <c r="I1022" i="6"/>
  <c r="I1023" i="6"/>
  <c r="I1024" i="6"/>
  <c r="I1025" i="6"/>
  <c r="I1026" i="6"/>
  <c r="I1027" i="6"/>
  <c r="I1028" i="6"/>
  <c r="I1029" i="6"/>
  <c r="I1030" i="6"/>
  <c r="I1031" i="6"/>
  <c r="I1032" i="6"/>
  <c r="I1033" i="6"/>
  <c r="I1034" i="6"/>
  <c r="I1035" i="6"/>
  <c r="I1036" i="6"/>
  <c r="I1037" i="6"/>
  <c r="I1038" i="6"/>
  <c r="I1039" i="6"/>
  <c r="I1040" i="6"/>
  <c r="I1041" i="6"/>
  <c r="I1042" i="6"/>
  <c r="I1043" i="6"/>
  <c r="I1044" i="6"/>
  <c r="I1045" i="6"/>
  <c r="I1046" i="6"/>
  <c r="I1047" i="6"/>
  <c r="I1048" i="6"/>
  <c r="I1049" i="6"/>
  <c r="I1050" i="6"/>
  <c r="I1051" i="6"/>
  <c r="I1052" i="6"/>
  <c r="I1053" i="6"/>
  <c r="I1054" i="6"/>
  <c r="I1055" i="6"/>
  <c r="I1056" i="6"/>
  <c r="I1057" i="6"/>
  <c r="I1058" i="6"/>
  <c r="I1059" i="6"/>
  <c r="I1060" i="6"/>
  <c r="I1061" i="6"/>
  <c r="I1062" i="6"/>
  <c r="I1063" i="6"/>
  <c r="I1064" i="6"/>
  <c r="I1065" i="6"/>
  <c r="I1066" i="6"/>
  <c r="I1067" i="6"/>
  <c r="I1068" i="6"/>
  <c r="I1069" i="6"/>
  <c r="I1070" i="6"/>
  <c r="I1071" i="6"/>
  <c r="I1072" i="6"/>
  <c r="I1073" i="6"/>
  <c r="I1074" i="6"/>
  <c r="I1075" i="6"/>
  <c r="I1076" i="6"/>
  <c r="I1077" i="6"/>
  <c r="I1078" i="6"/>
  <c r="I1079" i="6"/>
  <c r="I1080" i="6"/>
  <c r="I1081" i="6"/>
  <c r="I1082" i="6"/>
  <c r="I1083" i="6"/>
  <c r="I1084" i="6"/>
  <c r="I1085" i="6"/>
  <c r="I1086" i="6"/>
  <c r="I1087" i="6"/>
  <c r="I1088" i="6"/>
  <c r="I1089" i="6"/>
  <c r="I1090" i="6"/>
  <c r="I1091" i="6"/>
  <c r="I1092" i="6"/>
  <c r="I1093" i="6"/>
  <c r="I1094" i="6"/>
  <c r="I1095" i="6"/>
  <c r="I1096" i="6"/>
  <c r="I1097" i="6"/>
  <c r="I1098" i="6"/>
  <c r="I1099" i="6"/>
  <c r="I1100" i="6"/>
  <c r="I1101" i="6"/>
  <c r="I1102" i="6"/>
  <c r="I1103" i="6"/>
  <c r="I1104" i="6"/>
  <c r="I1105" i="6"/>
  <c r="I1106" i="6"/>
  <c r="I1107" i="6"/>
  <c r="I1108" i="6"/>
  <c r="I1109" i="6"/>
  <c r="I1110" i="6"/>
  <c r="I1111" i="6"/>
  <c r="I1112" i="6"/>
  <c r="I1113" i="6"/>
  <c r="I1114" i="6"/>
  <c r="I1115" i="6"/>
  <c r="I1116" i="6"/>
  <c r="I1117" i="6"/>
  <c r="I1118" i="6"/>
  <c r="I1119" i="6"/>
  <c r="I1120" i="6"/>
  <c r="I1121" i="6"/>
  <c r="I1122" i="6"/>
  <c r="I1123" i="6"/>
  <c r="I1124" i="6"/>
  <c r="I1125" i="6"/>
  <c r="I1126" i="6"/>
  <c r="I1127" i="6"/>
  <c r="I1128" i="6"/>
  <c r="I1129" i="6"/>
  <c r="I1130" i="6"/>
  <c r="I1131" i="6"/>
  <c r="I1132" i="6"/>
  <c r="I1133" i="6"/>
  <c r="I1134" i="6"/>
  <c r="I1135" i="6"/>
  <c r="I1136" i="6"/>
  <c r="I1137" i="6"/>
  <c r="I1138" i="6"/>
  <c r="I1139" i="6"/>
  <c r="I1140" i="6"/>
  <c r="I1141" i="6"/>
  <c r="I1142" i="6"/>
  <c r="I1143" i="6"/>
  <c r="I1144" i="6"/>
  <c r="I1145" i="6"/>
  <c r="I1146" i="6"/>
  <c r="I1147" i="6"/>
  <c r="I1148" i="6"/>
  <c r="I1149" i="6"/>
  <c r="I1150" i="6"/>
  <c r="I1151" i="6"/>
  <c r="I1152" i="6"/>
  <c r="I1153" i="6"/>
  <c r="I1154" i="6"/>
  <c r="I1155" i="6"/>
  <c r="I1156" i="6"/>
  <c r="I1157" i="6"/>
  <c r="I1158" i="6"/>
  <c r="I1159" i="6"/>
  <c r="I1160" i="6"/>
  <c r="I1161" i="6"/>
  <c r="I1162" i="6"/>
  <c r="I1163" i="6"/>
  <c r="I1164" i="6"/>
  <c r="I1165" i="6"/>
  <c r="I1166" i="6"/>
  <c r="I1167" i="6"/>
  <c r="I1168" i="6"/>
  <c r="I1169" i="6"/>
  <c r="I1170" i="6"/>
  <c r="I1171" i="6"/>
  <c r="I1172" i="6"/>
  <c r="I1173" i="6"/>
  <c r="I1174" i="6"/>
  <c r="I1175" i="6"/>
  <c r="I1176" i="6"/>
  <c r="I1177" i="6"/>
  <c r="I1178" i="6"/>
  <c r="I1179" i="6"/>
  <c r="I1180" i="6"/>
  <c r="I1181" i="6"/>
  <c r="I1182" i="6"/>
  <c r="I1183" i="6"/>
  <c r="I1184" i="6"/>
  <c r="I1185" i="6"/>
  <c r="I1186" i="6"/>
  <c r="I1187" i="6"/>
  <c r="I1188" i="6"/>
  <c r="I1189" i="6"/>
  <c r="I1190" i="6"/>
  <c r="I1191" i="6"/>
  <c r="I1192" i="6"/>
  <c r="I1193" i="6"/>
  <c r="I1194" i="6"/>
  <c r="I1195" i="6"/>
  <c r="I1196" i="6"/>
  <c r="I1197" i="6"/>
  <c r="I1198" i="6"/>
  <c r="I1199" i="6"/>
  <c r="I1200" i="6"/>
  <c r="I1201" i="6"/>
  <c r="I1202" i="6"/>
  <c r="I1203" i="6"/>
  <c r="I1204" i="6"/>
  <c r="I1205" i="6"/>
  <c r="I1206" i="6"/>
  <c r="I1207" i="6"/>
  <c r="I1208" i="6"/>
  <c r="I1209" i="6"/>
  <c r="I1210" i="6"/>
  <c r="I1211" i="6"/>
  <c r="I1212" i="6"/>
  <c r="I1213" i="6"/>
  <c r="I1214" i="6"/>
  <c r="I1215" i="6"/>
  <c r="I1216" i="6"/>
  <c r="I1217" i="6"/>
  <c r="I1218" i="6"/>
  <c r="I1219" i="6"/>
  <c r="I1220" i="6"/>
  <c r="I1221" i="6"/>
  <c r="I1222" i="6"/>
  <c r="I1223" i="6"/>
  <c r="I1224" i="6"/>
  <c r="I1225" i="6"/>
  <c r="I1226" i="6"/>
  <c r="I1227" i="6"/>
  <c r="I1228" i="6"/>
  <c r="I1229" i="6"/>
  <c r="I1230" i="6"/>
  <c r="I1231" i="6"/>
  <c r="I1232" i="6"/>
  <c r="I1233" i="6"/>
  <c r="I1234" i="6"/>
  <c r="I1235" i="6"/>
  <c r="I1236" i="6"/>
  <c r="I1237" i="6"/>
  <c r="I1238" i="6"/>
  <c r="I1239" i="6"/>
  <c r="I1240" i="6"/>
  <c r="I1241" i="6"/>
  <c r="I1242" i="6"/>
  <c r="I1243" i="6"/>
  <c r="I1244" i="6"/>
  <c r="I1245" i="6"/>
  <c r="I1246" i="6"/>
  <c r="I1247" i="6"/>
  <c r="I1248" i="6"/>
  <c r="I1249" i="6"/>
  <c r="I1250" i="6"/>
  <c r="I1251" i="6"/>
  <c r="I1252" i="6"/>
  <c r="I1253" i="6"/>
  <c r="I1254" i="6"/>
  <c r="I1255" i="6"/>
  <c r="I1256" i="6"/>
  <c r="I1257" i="6"/>
  <c r="I1258" i="6"/>
  <c r="I1259" i="6"/>
  <c r="I1260" i="6"/>
  <c r="I1261" i="6"/>
  <c r="I1262" i="6"/>
  <c r="I1263" i="6"/>
  <c r="I1264" i="6"/>
  <c r="I1265" i="6"/>
  <c r="I1266" i="6"/>
  <c r="I1267" i="6"/>
  <c r="I1268" i="6"/>
  <c r="I1269" i="6"/>
  <c r="I1270" i="6"/>
  <c r="I1271" i="6"/>
  <c r="I1272" i="6"/>
  <c r="I1273" i="6"/>
  <c r="I1274" i="6"/>
  <c r="I1275" i="6"/>
  <c r="I1276" i="6"/>
  <c r="I1277" i="6"/>
  <c r="I1278" i="6"/>
  <c r="I1279" i="6"/>
  <c r="I1280" i="6"/>
  <c r="I1281" i="6"/>
  <c r="I1282" i="6"/>
  <c r="I1283" i="6"/>
  <c r="I1284" i="6"/>
  <c r="I1285" i="6"/>
  <c r="I1286" i="6"/>
  <c r="I1287" i="6"/>
  <c r="I1288" i="6"/>
  <c r="I1289" i="6"/>
  <c r="I1290" i="6"/>
  <c r="I1291" i="6"/>
  <c r="I1292" i="6"/>
  <c r="I1293" i="6"/>
  <c r="I1294" i="6"/>
  <c r="I1295" i="6"/>
  <c r="I1296" i="6"/>
  <c r="I1297" i="6"/>
  <c r="I1298" i="6"/>
  <c r="I1299" i="6"/>
  <c r="I1300" i="6"/>
  <c r="I1301" i="6"/>
  <c r="I1302" i="6"/>
  <c r="I1303" i="6"/>
  <c r="I1304" i="6"/>
  <c r="I1305" i="6"/>
  <c r="I1306" i="6"/>
  <c r="I1307" i="6"/>
  <c r="I1308" i="6"/>
  <c r="I1309" i="6"/>
  <c r="I1310" i="6"/>
  <c r="I1311" i="6"/>
  <c r="I1312" i="6"/>
  <c r="I1313" i="6"/>
  <c r="I1314" i="6"/>
  <c r="I1315" i="6"/>
  <c r="I1316" i="6"/>
  <c r="I1317" i="6"/>
  <c r="I1318" i="6"/>
  <c r="I1319" i="6"/>
  <c r="I1320" i="6"/>
  <c r="I1321" i="6"/>
  <c r="I1322" i="6"/>
  <c r="I1323" i="6"/>
  <c r="I1324" i="6"/>
  <c r="I1325" i="6"/>
  <c r="I1326" i="6"/>
  <c r="I1327" i="6"/>
  <c r="I1328" i="6"/>
  <c r="I1329" i="6"/>
  <c r="I1330" i="6"/>
  <c r="I1331" i="6"/>
  <c r="I1332" i="6"/>
  <c r="I1333" i="6"/>
  <c r="I1334" i="6"/>
  <c r="I1335" i="6"/>
  <c r="I1336" i="6"/>
  <c r="I1337" i="6"/>
  <c r="I1338" i="6"/>
  <c r="I1339" i="6"/>
  <c r="I1340" i="6"/>
  <c r="I1341" i="6"/>
  <c r="I1342" i="6"/>
  <c r="I1343" i="6"/>
  <c r="I1344" i="6"/>
  <c r="I1345" i="6"/>
  <c r="I1346" i="6"/>
  <c r="I1347" i="6"/>
  <c r="I1348" i="6"/>
  <c r="I1349" i="6"/>
  <c r="I1350" i="6"/>
  <c r="I1351" i="6"/>
  <c r="I1352" i="6"/>
  <c r="I1353" i="6"/>
  <c r="I1354" i="6"/>
  <c r="I1355" i="6"/>
  <c r="I1356" i="6"/>
  <c r="I1357" i="6"/>
  <c r="I1358" i="6"/>
  <c r="I1359" i="6"/>
  <c r="I1360" i="6"/>
  <c r="I1361" i="6"/>
  <c r="I1362" i="6"/>
  <c r="I1363" i="6"/>
  <c r="I1364" i="6"/>
  <c r="I1365" i="6"/>
  <c r="I1366" i="6"/>
  <c r="I1367" i="6"/>
  <c r="I1368" i="6"/>
  <c r="I1369" i="6"/>
  <c r="I1370" i="6"/>
  <c r="I1371" i="6"/>
  <c r="I1372" i="6"/>
  <c r="I1373" i="6"/>
  <c r="I1374" i="6"/>
  <c r="I1375" i="6"/>
  <c r="I1376" i="6"/>
  <c r="I1377" i="6"/>
  <c r="I1378" i="6"/>
  <c r="I1379" i="6"/>
  <c r="I1380" i="6"/>
  <c r="I1381" i="6"/>
  <c r="I1382" i="6"/>
  <c r="I1383" i="6"/>
  <c r="I1384" i="6"/>
  <c r="I1385" i="6"/>
  <c r="I1386" i="6"/>
  <c r="I1387" i="6"/>
  <c r="I1388" i="6"/>
  <c r="I1389" i="6"/>
  <c r="I1390" i="6"/>
  <c r="I1391" i="6"/>
  <c r="I1392" i="6"/>
  <c r="I1393" i="6"/>
  <c r="I1394" i="6"/>
  <c r="I1395" i="6"/>
  <c r="I1396" i="6"/>
  <c r="I1397" i="6"/>
  <c r="I1398" i="6"/>
  <c r="I1399" i="6"/>
  <c r="I1400" i="6"/>
  <c r="I1401" i="6"/>
  <c r="I1402" i="6"/>
  <c r="I1403" i="6"/>
  <c r="I1404" i="6"/>
  <c r="I1405" i="6"/>
  <c r="I1406" i="6"/>
  <c r="I1407" i="6"/>
  <c r="I1408" i="6"/>
  <c r="I1409" i="6"/>
  <c r="I1410" i="6"/>
  <c r="I1411" i="6"/>
  <c r="I1412" i="6"/>
  <c r="I1413" i="6"/>
  <c r="I1414" i="6"/>
  <c r="I1415" i="6"/>
  <c r="I1416" i="6"/>
  <c r="I1417" i="6"/>
  <c r="I1418" i="6"/>
  <c r="I1419" i="6"/>
  <c r="I1420" i="6"/>
  <c r="I1421" i="6"/>
  <c r="I1422" i="6"/>
  <c r="I1423" i="6"/>
  <c r="I1424" i="6"/>
  <c r="I1425" i="6"/>
  <c r="I1426" i="6"/>
  <c r="I1427" i="6"/>
  <c r="I1428" i="6"/>
  <c r="I1429" i="6"/>
  <c r="I1430" i="6"/>
  <c r="I1431" i="6"/>
  <c r="I1432" i="6"/>
  <c r="I1433" i="6"/>
  <c r="I1434" i="6"/>
  <c r="I1435" i="6"/>
  <c r="I1436" i="6"/>
  <c r="I1437" i="6"/>
  <c r="I1438" i="6"/>
  <c r="I1439" i="6"/>
  <c r="I1440" i="6"/>
  <c r="I1441" i="6"/>
  <c r="I1442" i="6"/>
  <c r="I1443" i="6"/>
  <c r="I1444" i="6"/>
  <c r="I1445" i="6"/>
  <c r="I1446" i="6"/>
  <c r="I1447" i="6"/>
  <c r="I1448" i="6"/>
  <c r="I1449" i="6"/>
  <c r="I1450" i="6"/>
  <c r="I1451" i="6"/>
  <c r="I1452" i="6"/>
  <c r="I1453" i="6"/>
  <c r="I1454" i="6"/>
  <c r="I1455" i="6"/>
  <c r="I1456" i="6"/>
  <c r="I1457" i="6"/>
  <c r="I1458" i="6"/>
  <c r="I1459" i="6"/>
  <c r="I1460" i="6"/>
  <c r="I1461" i="6"/>
  <c r="I1462" i="6"/>
  <c r="I1463" i="6"/>
  <c r="I1464" i="6"/>
  <c r="I1465" i="6"/>
  <c r="I1466" i="6"/>
  <c r="I1467" i="6"/>
  <c r="I1468" i="6"/>
  <c r="I1469" i="6"/>
  <c r="I1470" i="6"/>
  <c r="I1471" i="6"/>
  <c r="I1472" i="6"/>
  <c r="I1473" i="6"/>
  <c r="I1474" i="6"/>
  <c r="I1475" i="6"/>
  <c r="I1476" i="6"/>
  <c r="I1477" i="6"/>
  <c r="I1478" i="6"/>
  <c r="I1479" i="6"/>
  <c r="I1480" i="6"/>
  <c r="I1481" i="6"/>
  <c r="I1482" i="6"/>
  <c r="I1483" i="6"/>
  <c r="I1484" i="6"/>
  <c r="I1485" i="6"/>
  <c r="I1486" i="6"/>
  <c r="I1487" i="6"/>
  <c r="I1488" i="6"/>
  <c r="I1489" i="6"/>
  <c r="I1490" i="6"/>
  <c r="I1491" i="6"/>
  <c r="I1492" i="6"/>
  <c r="I1493" i="6"/>
  <c r="I1494" i="6"/>
  <c r="I1495" i="6"/>
  <c r="I1496" i="6"/>
  <c r="I1497" i="6"/>
  <c r="I1498" i="6"/>
  <c r="I1499" i="6"/>
  <c r="I1500" i="6"/>
  <c r="I1501" i="6"/>
  <c r="I1502" i="6"/>
  <c r="I1503" i="6"/>
  <c r="I1504" i="6"/>
  <c r="I1505" i="6"/>
  <c r="I1506" i="6"/>
  <c r="I1507" i="6"/>
  <c r="I1508" i="6"/>
  <c r="I1509" i="6"/>
  <c r="I1510" i="6"/>
  <c r="I1511" i="6"/>
  <c r="I1512" i="6"/>
  <c r="I1513" i="6"/>
  <c r="I1514" i="6"/>
  <c r="I1515" i="6"/>
  <c r="I1516" i="6"/>
  <c r="I1517" i="6"/>
  <c r="I1518" i="6"/>
  <c r="I1519" i="6"/>
  <c r="I1520" i="6"/>
  <c r="I1521" i="6"/>
  <c r="I1522" i="6"/>
  <c r="I1523" i="6"/>
  <c r="I1524" i="6"/>
  <c r="I1525" i="6"/>
  <c r="I1526" i="6"/>
  <c r="I1527" i="6"/>
  <c r="I1528" i="6"/>
  <c r="I1529" i="6"/>
  <c r="I1530" i="6"/>
  <c r="I1531" i="6"/>
  <c r="I1532" i="6"/>
  <c r="I1533" i="6"/>
  <c r="I1534" i="6"/>
  <c r="I1535" i="6"/>
  <c r="I1536" i="6"/>
  <c r="I1537" i="6"/>
  <c r="I1538" i="6"/>
  <c r="I1539" i="6"/>
  <c r="I1540" i="6"/>
  <c r="I1541" i="6"/>
  <c r="I1542" i="6"/>
  <c r="I1543" i="6"/>
  <c r="I1544" i="6"/>
  <c r="I1545" i="6"/>
  <c r="I1546" i="6"/>
  <c r="I1547" i="6"/>
  <c r="I1548" i="6"/>
  <c r="I1549" i="6"/>
  <c r="I1550" i="6"/>
  <c r="I1551" i="6"/>
  <c r="I1552" i="6"/>
  <c r="I1553" i="6"/>
  <c r="I1554" i="6"/>
  <c r="I1555" i="6"/>
  <c r="I1556" i="6"/>
  <c r="I1557" i="6"/>
  <c r="I1558" i="6"/>
  <c r="I1559" i="6"/>
  <c r="I1560" i="6"/>
  <c r="I1561" i="6"/>
  <c r="I1562" i="6"/>
  <c r="I1563" i="6"/>
  <c r="I1564" i="6"/>
  <c r="I1565" i="6"/>
  <c r="I1566" i="6"/>
  <c r="I1567" i="6"/>
  <c r="I1568" i="6"/>
  <c r="I1569" i="6"/>
  <c r="I1570" i="6"/>
  <c r="I1571" i="6"/>
  <c r="I1572" i="6"/>
  <c r="I1573" i="6"/>
  <c r="I1574" i="6"/>
  <c r="I1575" i="6"/>
  <c r="I1576" i="6"/>
  <c r="I1577" i="6"/>
  <c r="I1578" i="6"/>
  <c r="I1579" i="6"/>
  <c r="I1580" i="6"/>
  <c r="I1581" i="6"/>
  <c r="I1582" i="6"/>
  <c r="I1583" i="6"/>
  <c r="I1584" i="6"/>
  <c r="I1585" i="6"/>
  <c r="I1586" i="6"/>
  <c r="I1587" i="6"/>
  <c r="I1588" i="6"/>
  <c r="I1589" i="6"/>
  <c r="I1590" i="6"/>
  <c r="I1591" i="6"/>
  <c r="I1592" i="6"/>
  <c r="I1593" i="6"/>
  <c r="I1594" i="6"/>
  <c r="I1595" i="6"/>
  <c r="I1596" i="6"/>
  <c r="I1597" i="6"/>
  <c r="I1598" i="6"/>
  <c r="I1599" i="6"/>
  <c r="I1600" i="6"/>
  <c r="I1601" i="6"/>
  <c r="I1602" i="6"/>
  <c r="I1603" i="6"/>
  <c r="I1604" i="6"/>
  <c r="I1605" i="6"/>
  <c r="I1606" i="6"/>
  <c r="I1607" i="6"/>
  <c r="I1608" i="6"/>
  <c r="I1609" i="6"/>
  <c r="I1610" i="6"/>
  <c r="I1611" i="6"/>
  <c r="I1612" i="6"/>
  <c r="I1613" i="6"/>
  <c r="I1614" i="6"/>
  <c r="I1615" i="6"/>
  <c r="I1616" i="6"/>
  <c r="I1617" i="6"/>
  <c r="I1618" i="6"/>
  <c r="I1619" i="6"/>
  <c r="I1620" i="6"/>
  <c r="I1621" i="6"/>
  <c r="I1622" i="6"/>
  <c r="I1623" i="6"/>
  <c r="I1624" i="6"/>
  <c r="I1625" i="6"/>
  <c r="I1626" i="6"/>
  <c r="I1627" i="6"/>
  <c r="I1628" i="6"/>
  <c r="I1629" i="6"/>
  <c r="I1630" i="6"/>
  <c r="I1631" i="6"/>
  <c r="I1632" i="6"/>
  <c r="I1633" i="6"/>
  <c r="I1634" i="6"/>
  <c r="I1635" i="6"/>
  <c r="I1636" i="6"/>
  <c r="I1637" i="6"/>
  <c r="I1638" i="6"/>
  <c r="I1639" i="6"/>
  <c r="I1640" i="6"/>
  <c r="I1641" i="6"/>
  <c r="I1642" i="6"/>
  <c r="I1643" i="6"/>
  <c r="I1644" i="6"/>
  <c r="I1645" i="6"/>
  <c r="I1646" i="6"/>
  <c r="I1647" i="6"/>
  <c r="I1648" i="6"/>
  <c r="I1649" i="6"/>
  <c r="I1650" i="6"/>
  <c r="I1651" i="6"/>
  <c r="I1652" i="6"/>
  <c r="I1653" i="6"/>
  <c r="I1654" i="6"/>
  <c r="I1655" i="6"/>
  <c r="I1656" i="6"/>
  <c r="I1657" i="6"/>
  <c r="I1658" i="6"/>
  <c r="I1659" i="6"/>
  <c r="I1660" i="6"/>
  <c r="I1661" i="6"/>
  <c r="I1662" i="6"/>
  <c r="I1663" i="6"/>
  <c r="I1664" i="6"/>
  <c r="I1665" i="6"/>
  <c r="I1666" i="6"/>
  <c r="I1667" i="6"/>
  <c r="I1668" i="6"/>
  <c r="I1669" i="6"/>
  <c r="I1670" i="6"/>
  <c r="I1671" i="6"/>
  <c r="I1672" i="6"/>
  <c r="I1673" i="6"/>
  <c r="I1674" i="6"/>
  <c r="I1675" i="6"/>
  <c r="I1676" i="6"/>
  <c r="I1677" i="6"/>
  <c r="I1678" i="6"/>
  <c r="I1679" i="6"/>
  <c r="I1680" i="6"/>
  <c r="I1681" i="6"/>
  <c r="I1682" i="6"/>
  <c r="I1683" i="6"/>
  <c r="I1684" i="6"/>
  <c r="I1685" i="6"/>
  <c r="I1686" i="6"/>
  <c r="I1687" i="6"/>
  <c r="I1688" i="6"/>
  <c r="I1689" i="6"/>
  <c r="I1690" i="6"/>
  <c r="I1691" i="6"/>
  <c r="I1692" i="6"/>
  <c r="I1693" i="6"/>
  <c r="I1694" i="6"/>
  <c r="I1695" i="6"/>
  <c r="I1696" i="6"/>
  <c r="I1697" i="6"/>
  <c r="I1698" i="6"/>
  <c r="I1699" i="6"/>
  <c r="I1700" i="6"/>
  <c r="I1701" i="6"/>
  <c r="I1702" i="6"/>
  <c r="I1703" i="6"/>
  <c r="I1704" i="6"/>
  <c r="I1705" i="6"/>
  <c r="I1706" i="6"/>
  <c r="I1707" i="6"/>
  <c r="I1708" i="6"/>
  <c r="I1709" i="6"/>
  <c r="I1710" i="6"/>
  <c r="I1711" i="6"/>
  <c r="I1712" i="6"/>
  <c r="I1713" i="6"/>
  <c r="I1714" i="6"/>
  <c r="I1715" i="6"/>
  <c r="I1716" i="6"/>
  <c r="I1717" i="6"/>
  <c r="I1718" i="6"/>
  <c r="I1719" i="6"/>
  <c r="I1720" i="6"/>
  <c r="I1721" i="6"/>
  <c r="I1722" i="6"/>
  <c r="I1723" i="6"/>
  <c r="I1724" i="6"/>
  <c r="I1725" i="6"/>
  <c r="I1726" i="6"/>
  <c r="I1727" i="6"/>
  <c r="I1728" i="6"/>
  <c r="I1729" i="6"/>
  <c r="I1730" i="6"/>
  <c r="I1731" i="6"/>
  <c r="I1732" i="6"/>
  <c r="I1733" i="6"/>
  <c r="I1734" i="6"/>
  <c r="I1735" i="6"/>
  <c r="I1736" i="6"/>
  <c r="I1737" i="6"/>
  <c r="I1738" i="6"/>
  <c r="I1739" i="6"/>
  <c r="I1740" i="6"/>
  <c r="I1741" i="6"/>
  <c r="I1742" i="6"/>
  <c r="I1743" i="6"/>
  <c r="I1744" i="6"/>
  <c r="I1745" i="6"/>
  <c r="I1746" i="6"/>
  <c r="I1747" i="6"/>
  <c r="I1748" i="6"/>
  <c r="I1749" i="6"/>
  <c r="I1750" i="6"/>
  <c r="I1751" i="6"/>
  <c r="I1752" i="6"/>
  <c r="I1753" i="6"/>
  <c r="I1754" i="6"/>
  <c r="I1755" i="6"/>
  <c r="I1756" i="6"/>
  <c r="I1757" i="6"/>
  <c r="I1758" i="6"/>
  <c r="I1759" i="6"/>
  <c r="I1760" i="6"/>
  <c r="I1761" i="6"/>
  <c r="I1762" i="6"/>
  <c r="I1763" i="6"/>
  <c r="I1764" i="6"/>
  <c r="I1765" i="6"/>
  <c r="I1766" i="6"/>
  <c r="I1767" i="6"/>
  <c r="I1768" i="6"/>
  <c r="I1769" i="6"/>
  <c r="I1770" i="6"/>
  <c r="I1771" i="6"/>
  <c r="I1772" i="6"/>
  <c r="I1773" i="6"/>
  <c r="I1774" i="6"/>
  <c r="I1775" i="6"/>
  <c r="I1776" i="6"/>
  <c r="I1777" i="6"/>
  <c r="I1778" i="6"/>
  <c r="I1779" i="6"/>
  <c r="I1780" i="6"/>
  <c r="I1781" i="6"/>
  <c r="I1782" i="6"/>
  <c r="I1783" i="6"/>
  <c r="I1784" i="6"/>
  <c r="I1785" i="6"/>
  <c r="I1786" i="6"/>
  <c r="I1787" i="6"/>
  <c r="I1788" i="6"/>
  <c r="I1789" i="6"/>
  <c r="I1790" i="6"/>
  <c r="I1791" i="6"/>
  <c r="I1792" i="6"/>
  <c r="I1793" i="6"/>
  <c r="I1794" i="6"/>
  <c r="I1795" i="6"/>
  <c r="I1796" i="6"/>
  <c r="I1797" i="6"/>
  <c r="I1798" i="6"/>
  <c r="I1799" i="6"/>
  <c r="I1800" i="6"/>
  <c r="I1801" i="6"/>
  <c r="I1802" i="6"/>
  <c r="I1803" i="6"/>
  <c r="I1804" i="6"/>
  <c r="I1805" i="6"/>
  <c r="I1806" i="6"/>
  <c r="I1807" i="6"/>
  <c r="I1808" i="6"/>
  <c r="I1809" i="6"/>
  <c r="I1810" i="6"/>
  <c r="I1811" i="6"/>
  <c r="I1812" i="6"/>
  <c r="I1813" i="6"/>
  <c r="I1814" i="6"/>
  <c r="I1815" i="6"/>
  <c r="I1816" i="6"/>
  <c r="I1817" i="6"/>
  <c r="I1818" i="6"/>
  <c r="I1819" i="6"/>
  <c r="I1820" i="6"/>
  <c r="I1821" i="6"/>
  <c r="I1822" i="6"/>
  <c r="I1823" i="6"/>
  <c r="I1824" i="6"/>
  <c r="I1825" i="6"/>
  <c r="I1826" i="6"/>
  <c r="I1827" i="6"/>
  <c r="I1828" i="6"/>
  <c r="I1829" i="6"/>
  <c r="I1830" i="6"/>
  <c r="I1831" i="6"/>
  <c r="I1832" i="6"/>
  <c r="I1833" i="6"/>
  <c r="I1834" i="6"/>
  <c r="I1835" i="6"/>
  <c r="I1836" i="6"/>
  <c r="I1837" i="6"/>
  <c r="I1838" i="6"/>
  <c r="I1839" i="6"/>
  <c r="I1840" i="6"/>
  <c r="I1841" i="6"/>
  <c r="I1842" i="6"/>
  <c r="I1843" i="6"/>
  <c r="I1844" i="6"/>
  <c r="I1845" i="6"/>
  <c r="I1846" i="6"/>
  <c r="I1847" i="6"/>
  <c r="I1848" i="6"/>
  <c r="I1849" i="6"/>
  <c r="I1850" i="6"/>
  <c r="I1851" i="6"/>
  <c r="I1852" i="6"/>
  <c r="I1853" i="6"/>
  <c r="I1854" i="6"/>
  <c r="I1855" i="6"/>
  <c r="I1856" i="6"/>
  <c r="I1857" i="6"/>
  <c r="I1858" i="6"/>
  <c r="I1859" i="6"/>
  <c r="I1860" i="6"/>
  <c r="I1861" i="6"/>
  <c r="I1862" i="6"/>
  <c r="I1863" i="6"/>
  <c r="I1864" i="6"/>
  <c r="I1865" i="6"/>
  <c r="I1866" i="6"/>
  <c r="I1867" i="6"/>
  <c r="I1868" i="6"/>
  <c r="I1869" i="6"/>
  <c r="I1870" i="6"/>
  <c r="I1871" i="6"/>
  <c r="I1872" i="6"/>
  <c r="I1873" i="6"/>
  <c r="I1874" i="6"/>
  <c r="I1875" i="6"/>
  <c r="I1876" i="6"/>
  <c r="I1877" i="6"/>
  <c r="I1878" i="6"/>
  <c r="I1879" i="6"/>
  <c r="I1880" i="6"/>
  <c r="I1881" i="6"/>
  <c r="I1882" i="6"/>
  <c r="I1883" i="6"/>
  <c r="I1884" i="6"/>
  <c r="I1885" i="6"/>
  <c r="I1886" i="6"/>
  <c r="I1887" i="6"/>
  <c r="I1888" i="6"/>
  <c r="I1889" i="6"/>
  <c r="I1890" i="6"/>
  <c r="I1891" i="6"/>
  <c r="I1892" i="6"/>
  <c r="I1893" i="6"/>
  <c r="I1894" i="6"/>
  <c r="I1895" i="6"/>
  <c r="I1896" i="6"/>
  <c r="I1897" i="6"/>
  <c r="I1898" i="6"/>
  <c r="I1899" i="6"/>
  <c r="I1900" i="6"/>
  <c r="I1901" i="6"/>
  <c r="I1902" i="6"/>
  <c r="I1903" i="6"/>
  <c r="I1904" i="6"/>
  <c r="I1905" i="6"/>
  <c r="I1906" i="6"/>
  <c r="I1907" i="6"/>
  <c r="I1908" i="6"/>
  <c r="I1909" i="6"/>
  <c r="I1910" i="6"/>
  <c r="I1911" i="6"/>
  <c r="I1912" i="6"/>
  <c r="I1913" i="6"/>
  <c r="I1914" i="6"/>
  <c r="I1915" i="6"/>
  <c r="I1916" i="6"/>
  <c r="I1917" i="6"/>
  <c r="I1918" i="6"/>
  <c r="I1919" i="6"/>
  <c r="I1920" i="6"/>
  <c r="I1921" i="6"/>
  <c r="I1922" i="6"/>
  <c r="I1923" i="6"/>
  <c r="I1924" i="6"/>
  <c r="I1925" i="6"/>
  <c r="I1926" i="6"/>
  <c r="I1927" i="6"/>
  <c r="I1928" i="6"/>
  <c r="I1929" i="6"/>
  <c r="I1930" i="6"/>
  <c r="I1931" i="6"/>
  <c r="I1932" i="6"/>
  <c r="I1933" i="6"/>
  <c r="I1934" i="6"/>
  <c r="I1935" i="6"/>
  <c r="I1936" i="6"/>
  <c r="I1937" i="6"/>
  <c r="I1938" i="6"/>
  <c r="I1939" i="6"/>
  <c r="I1940" i="6"/>
  <c r="I1941" i="6"/>
  <c r="I1942" i="6"/>
  <c r="I1943" i="6"/>
  <c r="I1944" i="6"/>
  <c r="I1945" i="6"/>
  <c r="I1946" i="6"/>
  <c r="I1947" i="6"/>
  <c r="I1948" i="6"/>
  <c r="I1949" i="6"/>
  <c r="I1950" i="6"/>
  <c r="I1951" i="6"/>
  <c r="I1952" i="6"/>
  <c r="I1953" i="6"/>
  <c r="I1954" i="6"/>
  <c r="I1955" i="6"/>
  <c r="I1956" i="6"/>
  <c r="I1957" i="6"/>
  <c r="I1958" i="6"/>
  <c r="I1959" i="6"/>
  <c r="I1960" i="6"/>
  <c r="I1961" i="6"/>
  <c r="I1962" i="6"/>
  <c r="I1963" i="6"/>
  <c r="I1964" i="6"/>
  <c r="I1965" i="6"/>
  <c r="I1966" i="6"/>
  <c r="I1967" i="6"/>
  <c r="I1968" i="6"/>
  <c r="I1969" i="6"/>
  <c r="I1970" i="6"/>
  <c r="I1971" i="6"/>
  <c r="I1972" i="6"/>
  <c r="I1973" i="6"/>
  <c r="I1974" i="6"/>
  <c r="I1975" i="6"/>
  <c r="I1976" i="6"/>
  <c r="I1977" i="6"/>
  <c r="I1978" i="6"/>
  <c r="I1979" i="6"/>
  <c r="I1980" i="6"/>
  <c r="I1981" i="6"/>
  <c r="I1982" i="6"/>
  <c r="I1983" i="6"/>
  <c r="I1984" i="6"/>
  <c r="I1985" i="6"/>
  <c r="I1986" i="6"/>
  <c r="I1987" i="6"/>
  <c r="I1988" i="6"/>
  <c r="I1989" i="6"/>
  <c r="I1990" i="6"/>
  <c r="I1991" i="6"/>
  <c r="I1992" i="6"/>
  <c r="I1993" i="6"/>
  <c r="I1994" i="6"/>
  <c r="I1995" i="6"/>
  <c r="I1996" i="6"/>
  <c r="I1997" i="6"/>
  <c r="I1998" i="6"/>
  <c r="I1999" i="6"/>
  <c r="I2000" i="6"/>
  <c r="I2001" i="6"/>
  <c r="I2002" i="6"/>
  <c r="I2003" i="6"/>
  <c r="I2004" i="6"/>
  <c r="I2005" i="6"/>
  <c r="I2006" i="6"/>
  <c r="I2007" i="6"/>
  <c r="I2008" i="6"/>
  <c r="I2009" i="6"/>
  <c r="I2010" i="6"/>
  <c r="I2011" i="6"/>
  <c r="I2012" i="6"/>
  <c r="I2013" i="6"/>
  <c r="I2014" i="6"/>
  <c r="I2015" i="6"/>
  <c r="I2016" i="6"/>
  <c r="I2017" i="6"/>
  <c r="I2018" i="6"/>
  <c r="I2019" i="6"/>
  <c r="I2020" i="6"/>
  <c r="I2021" i="6"/>
  <c r="I2022" i="6"/>
  <c r="I2023" i="6"/>
  <c r="I2024" i="6"/>
  <c r="I2025" i="6"/>
  <c r="I2026" i="6"/>
  <c r="I2027" i="6"/>
  <c r="I2028" i="6"/>
  <c r="I2029" i="6"/>
  <c r="I2030" i="6"/>
  <c r="I2031" i="6"/>
  <c r="I2032" i="6"/>
  <c r="I2033" i="6"/>
  <c r="I2034" i="6"/>
  <c r="I2035" i="6"/>
  <c r="I2036" i="6"/>
  <c r="I2037" i="6"/>
  <c r="I2038" i="6"/>
  <c r="I2039" i="6"/>
  <c r="I2040" i="6"/>
  <c r="I2041" i="6"/>
  <c r="I2042" i="6"/>
  <c r="I2043" i="6"/>
  <c r="I2044" i="6"/>
  <c r="I2045" i="6"/>
  <c r="I2046" i="6"/>
  <c r="I2047" i="6"/>
  <c r="I2048" i="6"/>
  <c r="I2049" i="6"/>
  <c r="I2050" i="6"/>
  <c r="I2051" i="6"/>
  <c r="I2052" i="6"/>
  <c r="I2053" i="6"/>
  <c r="I2054" i="6"/>
  <c r="I2055" i="6"/>
  <c r="I2056" i="6"/>
  <c r="I2057" i="6"/>
  <c r="I2058" i="6"/>
  <c r="I2059" i="6"/>
  <c r="I2060" i="6"/>
  <c r="I2061" i="6"/>
  <c r="I2062" i="6"/>
  <c r="I2063" i="6"/>
  <c r="I2064" i="6"/>
  <c r="I2065" i="6"/>
  <c r="I2066" i="6"/>
  <c r="I2067" i="6"/>
  <c r="I2068" i="6"/>
  <c r="I2069" i="6"/>
  <c r="I2070" i="6"/>
  <c r="I2071" i="6"/>
  <c r="I2072" i="6"/>
  <c r="I2073" i="6"/>
  <c r="I2074" i="6"/>
  <c r="I2075" i="6"/>
  <c r="I2076" i="6"/>
  <c r="I2077" i="6"/>
  <c r="I2078" i="6"/>
  <c r="I2079" i="6"/>
  <c r="I2080" i="6"/>
  <c r="I2081" i="6"/>
  <c r="I2082" i="6"/>
  <c r="I2083" i="6"/>
  <c r="I2084" i="6"/>
  <c r="I2085" i="6"/>
  <c r="I2086" i="6"/>
  <c r="I2087" i="6"/>
  <c r="I2088" i="6"/>
  <c r="I2089" i="6"/>
  <c r="I2090" i="6"/>
  <c r="I2091" i="6"/>
  <c r="I2092" i="6"/>
  <c r="I2093" i="6"/>
  <c r="I2094" i="6"/>
  <c r="I2095" i="6"/>
  <c r="I2096" i="6"/>
  <c r="I2097" i="6"/>
  <c r="I2098" i="6"/>
  <c r="I2099" i="6"/>
  <c r="I2100" i="6"/>
  <c r="I2101" i="6"/>
  <c r="I2102" i="6"/>
  <c r="I2103" i="6"/>
  <c r="I2104" i="6"/>
  <c r="I2105" i="6"/>
  <c r="I2106" i="6"/>
  <c r="I2107" i="6"/>
  <c r="I2108" i="6"/>
  <c r="I2109" i="6"/>
  <c r="I2110" i="6"/>
  <c r="I2111" i="6"/>
  <c r="I2112" i="6"/>
  <c r="I2113" i="6"/>
  <c r="I2114" i="6"/>
  <c r="I2115" i="6"/>
  <c r="I2116" i="6"/>
  <c r="I2117" i="6"/>
  <c r="I2118" i="6"/>
  <c r="I2119" i="6"/>
  <c r="I2120" i="6"/>
  <c r="I2121" i="6"/>
  <c r="I2122" i="6"/>
  <c r="I2123" i="6"/>
  <c r="I2124" i="6"/>
  <c r="I2125" i="6"/>
  <c r="I2126" i="6"/>
  <c r="I2127" i="6"/>
  <c r="I2128" i="6"/>
  <c r="I2129" i="6"/>
  <c r="I2130" i="6"/>
  <c r="I2131" i="6"/>
  <c r="I2132" i="6"/>
  <c r="I2133" i="6"/>
  <c r="I2134" i="6"/>
  <c r="I2135" i="6"/>
  <c r="I2136" i="6"/>
  <c r="I2137" i="6"/>
  <c r="I2138" i="6"/>
  <c r="I2139" i="6"/>
  <c r="I2140" i="6"/>
  <c r="I2141" i="6"/>
  <c r="I2142" i="6"/>
  <c r="I2143" i="6"/>
  <c r="I2144" i="6"/>
  <c r="I2145" i="6"/>
  <c r="I2146" i="6"/>
  <c r="I2147" i="6"/>
  <c r="I2148" i="6"/>
  <c r="I2149" i="6"/>
  <c r="I2150" i="6"/>
  <c r="I2151" i="6"/>
  <c r="I2152" i="6"/>
  <c r="I2153" i="6"/>
  <c r="I2154" i="6"/>
  <c r="I2155" i="6"/>
  <c r="I2156" i="6"/>
  <c r="I2157" i="6"/>
  <c r="I2158" i="6"/>
  <c r="I2159" i="6"/>
  <c r="I2160" i="6"/>
  <c r="I2161" i="6"/>
  <c r="I2162" i="6"/>
  <c r="I2163" i="6"/>
  <c r="I2164" i="6"/>
  <c r="I2165" i="6"/>
  <c r="I2166" i="6"/>
  <c r="I2167" i="6"/>
  <c r="I2168" i="6"/>
  <c r="I2169" i="6"/>
  <c r="I2170" i="6"/>
  <c r="I2171" i="6"/>
  <c r="I2172" i="6"/>
  <c r="I2173" i="6"/>
  <c r="I2174" i="6"/>
  <c r="I2175" i="6"/>
  <c r="I2176" i="6"/>
  <c r="I2177" i="6"/>
  <c r="I2178" i="6"/>
  <c r="I2179" i="6"/>
  <c r="I2180" i="6"/>
  <c r="I2181" i="6"/>
  <c r="I2182" i="6"/>
  <c r="I2183" i="6"/>
  <c r="I2184" i="6"/>
  <c r="I2185" i="6"/>
  <c r="I2186" i="6"/>
  <c r="I2187" i="6"/>
  <c r="I2188" i="6"/>
  <c r="I2189" i="6"/>
  <c r="I2190" i="6"/>
  <c r="I2191" i="6"/>
  <c r="I2192" i="6"/>
  <c r="I2193" i="6"/>
  <c r="I2194" i="6"/>
  <c r="I2195" i="6"/>
  <c r="I2196" i="6"/>
  <c r="I2197" i="6"/>
  <c r="I2198" i="6"/>
  <c r="I2199" i="6"/>
  <c r="I2200" i="6"/>
  <c r="I2201" i="6"/>
  <c r="I2202" i="6"/>
  <c r="I2203" i="6"/>
  <c r="I2204" i="6"/>
  <c r="I2205" i="6"/>
  <c r="I2206" i="6"/>
  <c r="I2207" i="6"/>
  <c r="I2208" i="6"/>
  <c r="I2209" i="6"/>
  <c r="I2210" i="6"/>
  <c r="I2211" i="6"/>
  <c r="I2212" i="6"/>
  <c r="I2213" i="6"/>
  <c r="I2214" i="6"/>
  <c r="I2215" i="6"/>
  <c r="I2216" i="6"/>
  <c r="I2217" i="6"/>
  <c r="I2218" i="6"/>
  <c r="I2219" i="6"/>
  <c r="I2220" i="6"/>
  <c r="I2221" i="6"/>
  <c r="I2222" i="6"/>
  <c r="I2223" i="6"/>
  <c r="I2224" i="6"/>
  <c r="I2225" i="6"/>
  <c r="I2226" i="6"/>
  <c r="I2227" i="6"/>
  <c r="I2228" i="6"/>
  <c r="I2229" i="6"/>
  <c r="I2230" i="6"/>
  <c r="I2231" i="6"/>
  <c r="I2232" i="6"/>
  <c r="I2233" i="6"/>
  <c r="I2234" i="6"/>
  <c r="I2235" i="6"/>
  <c r="I2236" i="6"/>
  <c r="I2237" i="6"/>
  <c r="I2238" i="6"/>
  <c r="I2239" i="6"/>
  <c r="I2240" i="6"/>
  <c r="I2241" i="6"/>
  <c r="I2242" i="6"/>
  <c r="I2243" i="6"/>
  <c r="I2244" i="6"/>
  <c r="I2245" i="6"/>
  <c r="I2246" i="6"/>
  <c r="I2247" i="6"/>
  <c r="I2248" i="6"/>
  <c r="I2249" i="6"/>
  <c r="I2250" i="6"/>
  <c r="I2251" i="6"/>
  <c r="I2252" i="6"/>
  <c r="I2253" i="6"/>
  <c r="I2254" i="6"/>
  <c r="I2255" i="6"/>
  <c r="I2256" i="6"/>
  <c r="I2257" i="6"/>
  <c r="I2258" i="6"/>
  <c r="I2259" i="6"/>
  <c r="I2260" i="6"/>
  <c r="I2261" i="6"/>
  <c r="I2262" i="6"/>
  <c r="I2263" i="6"/>
  <c r="I2264" i="6"/>
  <c r="I2265" i="6"/>
  <c r="I2266" i="6"/>
  <c r="I2267" i="6"/>
  <c r="I2268" i="6"/>
  <c r="I2269" i="6"/>
  <c r="I2270" i="6"/>
  <c r="I2271" i="6"/>
  <c r="I2272" i="6"/>
  <c r="I2273" i="6"/>
  <c r="I2274" i="6"/>
  <c r="I2275" i="6"/>
  <c r="I2276" i="6"/>
  <c r="I2277" i="6"/>
  <c r="I2278" i="6"/>
  <c r="I2279" i="6"/>
  <c r="I2280" i="6"/>
  <c r="I2281" i="6"/>
  <c r="I2282" i="6"/>
  <c r="I2283" i="6"/>
  <c r="I2284" i="6"/>
  <c r="I2285" i="6"/>
  <c r="I2286" i="6"/>
  <c r="I2287" i="6"/>
  <c r="I2288" i="6"/>
  <c r="I2289" i="6"/>
  <c r="I2290" i="6"/>
  <c r="I2291" i="6"/>
  <c r="I2292" i="6"/>
  <c r="I2293" i="6"/>
  <c r="I2294" i="6"/>
  <c r="I2295" i="6"/>
  <c r="I2296" i="6"/>
  <c r="I2297" i="6"/>
  <c r="I2298" i="6"/>
  <c r="I2299" i="6"/>
  <c r="I2300" i="6"/>
  <c r="I2301" i="6"/>
  <c r="I2302" i="6"/>
  <c r="I2303" i="6"/>
  <c r="I2304" i="6"/>
  <c r="I2305" i="6"/>
  <c r="I2306" i="6"/>
  <c r="I2307" i="6"/>
  <c r="I2308" i="6"/>
  <c r="I2309" i="6"/>
  <c r="I2310" i="6"/>
  <c r="I2311" i="6"/>
  <c r="I2312" i="6"/>
  <c r="I2313" i="6"/>
  <c r="I2314" i="6"/>
  <c r="I2315" i="6"/>
  <c r="I2316" i="6"/>
  <c r="I2317" i="6"/>
  <c r="I2318" i="6"/>
  <c r="I2319" i="6"/>
  <c r="I2320" i="6"/>
  <c r="I2321" i="6"/>
  <c r="I2322" i="6"/>
  <c r="I2323" i="6"/>
  <c r="I2324" i="6"/>
  <c r="I2325" i="6"/>
  <c r="I2326" i="6"/>
  <c r="I2327" i="6"/>
  <c r="I2328" i="6"/>
  <c r="I2329" i="6"/>
  <c r="I2330" i="6"/>
  <c r="I2331" i="6"/>
  <c r="I2332" i="6"/>
  <c r="I2333" i="6"/>
  <c r="I2334" i="6"/>
  <c r="I2335" i="6"/>
  <c r="I2336" i="6"/>
  <c r="I2337" i="6"/>
  <c r="I2338" i="6"/>
  <c r="I2339" i="6"/>
  <c r="I2340" i="6"/>
  <c r="I2341" i="6"/>
  <c r="I2342" i="6"/>
  <c r="I2343" i="6"/>
  <c r="I2344" i="6"/>
  <c r="I2345" i="6"/>
  <c r="I2346" i="6"/>
  <c r="I2347" i="6"/>
  <c r="I2348" i="6"/>
  <c r="I2349" i="6"/>
  <c r="I2350" i="6"/>
  <c r="I2351" i="6"/>
  <c r="I2352" i="6"/>
  <c r="I2353" i="6"/>
  <c r="I2354" i="6"/>
  <c r="I2355" i="6"/>
  <c r="I2356" i="6"/>
  <c r="I2357" i="6"/>
  <c r="I2358" i="6"/>
  <c r="I2359" i="6"/>
  <c r="I2360" i="6"/>
  <c r="I2361" i="6"/>
  <c r="I2362" i="6"/>
  <c r="I2363" i="6"/>
  <c r="I2364" i="6"/>
  <c r="I2365" i="6"/>
  <c r="I2366" i="6"/>
  <c r="I2367" i="6"/>
  <c r="I2368" i="6"/>
  <c r="I2369" i="6"/>
  <c r="I2370" i="6"/>
  <c r="I2371" i="6"/>
  <c r="I2372" i="6"/>
  <c r="I2373" i="6"/>
  <c r="I2374" i="6"/>
  <c r="I2375" i="6"/>
  <c r="I2376" i="6"/>
  <c r="I2377" i="6"/>
  <c r="I2378" i="6"/>
  <c r="I2379" i="6"/>
  <c r="I2380" i="6"/>
  <c r="I2381" i="6"/>
  <c r="I2382" i="6"/>
  <c r="I2383" i="6"/>
  <c r="I2384" i="6"/>
  <c r="I2385" i="6"/>
  <c r="I2386" i="6"/>
  <c r="I2387" i="6"/>
  <c r="I2388" i="6"/>
  <c r="I2389" i="6"/>
  <c r="I2390" i="6"/>
  <c r="I2391" i="6"/>
  <c r="I2392" i="6"/>
  <c r="I2393" i="6"/>
  <c r="I2394" i="6"/>
  <c r="I2395" i="6"/>
  <c r="I2396" i="6"/>
  <c r="I2397" i="6"/>
  <c r="I2398" i="6"/>
  <c r="I2399" i="6"/>
  <c r="I2400" i="6"/>
  <c r="I2401" i="6"/>
  <c r="I2402" i="6"/>
  <c r="I2403" i="6"/>
  <c r="I2404" i="6"/>
  <c r="I2405" i="6"/>
  <c r="I2406" i="6"/>
  <c r="I2407" i="6"/>
  <c r="I2408" i="6"/>
  <c r="I2409" i="6"/>
  <c r="I2410" i="6"/>
  <c r="I2411" i="6"/>
  <c r="I2412" i="6"/>
  <c r="I2413" i="6"/>
  <c r="I2414" i="6"/>
  <c r="I2415" i="6"/>
  <c r="I2416" i="6"/>
  <c r="I2417" i="6"/>
  <c r="I2418" i="6"/>
  <c r="I2419" i="6"/>
  <c r="I2420" i="6"/>
  <c r="I2421" i="6"/>
  <c r="I2422" i="6"/>
  <c r="I2423" i="6"/>
  <c r="I2424" i="6"/>
  <c r="I2425" i="6"/>
  <c r="I2426" i="6"/>
  <c r="I2427" i="6"/>
  <c r="I2428" i="6"/>
  <c r="I2429" i="6"/>
  <c r="I2430" i="6"/>
  <c r="I2431" i="6"/>
  <c r="I2432" i="6"/>
  <c r="I2433" i="6"/>
  <c r="I2434" i="6"/>
  <c r="I2435" i="6"/>
  <c r="I2436" i="6"/>
  <c r="I2437" i="6"/>
  <c r="I2438" i="6"/>
  <c r="I2439" i="6"/>
  <c r="I2440" i="6"/>
  <c r="I2441" i="6"/>
  <c r="I2442" i="6"/>
  <c r="I2443" i="6"/>
  <c r="I2444" i="6"/>
  <c r="I2445" i="6"/>
  <c r="I2446" i="6"/>
  <c r="I2447" i="6"/>
  <c r="I2448" i="6"/>
  <c r="I2449" i="6"/>
  <c r="I2450" i="6"/>
  <c r="I2451" i="6"/>
  <c r="I2452" i="6"/>
  <c r="I2453" i="6"/>
  <c r="I2454" i="6"/>
  <c r="I2455" i="6"/>
  <c r="I2456" i="6"/>
  <c r="I2457" i="6"/>
  <c r="I2458" i="6"/>
  <c r="I2459" i="6"/>
  <c r="I2460" i="6"/>
  <c r="I2461" i="6"/>
  <c r="I2462" i="6"/>
  <c r="I2463" i="6"/>
  <c r="I2464" i="6"/>
  <c r="I2465" i="6"/>
  <c r="I2466" i="6"/>
  <c r="I2467" i="6"/>
  <c r="I2468" i="6"/>
  <c r="I2469" i="6"/>
  <c r="I2470" i="6"/>
  <c r="I2471" i="6"/>
  <c r="I2472" i="6"/>
  <c r="I2473" i="6"/>
  <c r="I2474" i="6"/>
  <c r="I2475" i="6"/>
  <c r="I2476" i="6"/>
  <c r="I2477" i="6"/>
  <c r="I2478" i="6"/>
  <c r="I2479" i="6"/>
  <c r="I2480" i="6"/>
  <c r="I2481" i="6"/>
  <c r="I2482" i="6"/>
  <c r="I2483" i="6"/>
  <c r="I2484" i="6"/>
  <c r="I2485" i="6"/>
  <c r="I2486" i="6"/>
  <c r="I2487" i="6"/>
  <c r="I2488" i="6"/>
  <c r="I2489" i="6"/>
  <c r="I2490" i="6"/>
  <c r="I2491" i="6"/>
  <c r="I2492" i="6"/>
  <c r="I2493" i="6"/>
  <c r="I2494" i="6"/>
  <c r="I2495" i="6"/>
  <c r="I2496" i="6"/>
  <c r="I2497" i="6"/>
  <c r="I2498" i="6"/>
  <c r="I2499" i="6"/>
  <c r="I2500" i="6"/>
  <c r="I2501" i="6"/>
  <c r="I2502" i="6"/>
  <c r="I2503" i="6"/>
  <c r="I2504" i="6"/>
  <c r="I2505" i="6"/>
  <c r="I2506" i="6"/>
  <c r="I2507" i="6"/>
  <c r="I2508" i="6"/>
  <c r="I2509" i="6"/>
  <c r="I2510" i="6"/>
  <c r="I2511" i="6"/>
  <c r="I2512" i="6"/>
  <c r="I2513" i="6"/>
  <c r="I2514" i="6"/>
  <c r="I2515" i="6"/>
  <c r="I2516" i="6"/>
  <c r="I2517" i="6"/>
  <c r="I2518" i="6"/>
  <c r="I2519" i="6"/>
  <c r="I2520" i="6"/>
  <c r="I2521" i="6"/>
  <c r="I2522" i="6"/>
  <c r="I2523" i="6"/>
  <c r="I2524" i="6"/>
  <c r="I2525" i="6"/>
  <c r="I2526" i="6"/>
  <c r="I2527" i="6"/>
  <c r="I2528" i="6"/>
  <c r="I2529" i="6"/>
  <c r="I2530" i="6"/>
  <c r="I2531" i="6"/>
  <c r="I2532" i="6"/>
  <c r="I2533" i="6"/>
  <c r="I2534" i="6"/>
  <c r="I2535" i="6"/>
  <c r="I2536" i="6"/>
  <c r="I2537" i="6"/>
  <c r="I2538" i="6"/>
  <c r="I2539" i="6"/>
  <c r="I2540" i="6"/>
  <c r="I2541" i="6"/>
  <c r="I2542" i="6"/>
  <c r="I2543" i="6"/>
  <c r="I2544" i="6"/>
  <c r="I2545" i="6"/>
  <c r="I2546" i="6"/>
  <c r="I2547" i="6"/>
  <c r="I2548" i="6"/>
  <c r="I2549" i="6"/>
  <c r="I2550" i="6"/>
  <c r="I2551" i="6"/>
  <c r="I2552" i="6"/>
  <c r="I2553" i="6"/>
  <c r="I2554" i="6"/>
  <c r="I2555" i="6"/>
  <c r="I2556" i="6"/>
  <c r="I2557" i="6"/>
  <c r="I2558" i="6"/>
  <c r="I2559" i="6"/>
  <c r="I2560" i="6"/>
  <c r="I2561" i="6"/>
  <c r="I2562" i="6"/>
  <c r="I2563" i="6"/>
  <c r="I2564" i="6"/>
  <c r="I2565" i="6"/>
  <c r="I2566" i="6"/>
  <c r="I2567" i="6"/>
  <c r="I2568" i="6"/>
  <c r="I2569" i="6"/>
  <c r="I2570" i="6"/>
  <c r="I2571" i="6"/>
  <c r="I2572" i="6"/>
  <c r="I2573" i="6"/>
  <c r="I2574" i="6"/>
  <c r="I2575" i="6"/>
  <c r="I2576" i="6"/>
  <c r="I2577" i="6"/>
  <c r="I2578" i="6"/>
  <c r="I2579" i="6"/>
  <c r="I2580" i="6"/>
  <c r="I2581" i="6"/>
  <c r="I2582" i="6"/>
  <c r="I2583" i="6"/>
  <c r="I2584" i="6"/>
  <c r="I2585" i="6"/>
  <c r="I2586" i="6"/>
  <c r="I2587" i="6"/>
  <c r="I2588" i="6"/>
  <c r="I2589" i="6"/>
  <c r="I2590" i="6"/>
  <c r="I2591" i="6"/>
  <c r="I2592" i="6"/>
  <c r="I2593" i="6"/>
  <c r="I2594" i="6"/>
  <c r="I2595" i="6"/>
  <c r="I2596" i="6"/>
  <c r="I2597" i="6"/>
  <c r="I2598" i="6"/>
  <c r="I2599" i="6"/>
  <c r="I2600" i="6"/>
  <c r="I2601" i="6"/>
  <c r="I2602" i="6"/>
  <c r="I2603" i="6"/>
  <c r="I2604" i="6"/>
  <c r="I2605" i="6"/>
  <c r="I2606" i="6"/>
  <c r="I2607" i="6"/>
  <c r="I2608" i="6"/>
  <c r="I2609" i="6"/>
  <c r="I2610" i="6"/>
  <c r="I2611" i="6"/>
  <c r="I2612" i="6"/>
  <c r="I2613" i="6"/>
  <c r="I2614" i="6"/>
  <c r="I2615" i="6"/>
  <c r="I2616" i="6"/>
  <c r="I2617" i="6"/>
  <c r="I2618" i="6"/>
  <c r="I2619" i="6"/>
  <c r="I2620" i="6"/>
  <c r="I2621" i="6"/>
  <c r="I2622" i="6"/>
  <c r="I2623" i="6"/>
  <c r="I2624" i="6"/>
  <c r="I2625" i="6"/>
  <c r="I2626" i="6"/>
  <c r="I2627" i="6"/>
  <c r="I2628" i="6"/>
  <c r="I2629" i="6"/>
  <c r="I2630" i="6"/>
  <c r="I2631" i="6"/>
  <c r="I2632" i="6"/>
  <c r="I2633" i="6"/>
  <c r="I2634" i="6"/>
  <c r="I2635" i="6"/>
  <c r="I2636" i="6"/>
  <c r="I2637" i="6"/>
  <c r="I2638" i="6"/>
  <c r="I2639" i="6"/>
  <c r="I2640" i="6"/>
  <c r="I2641" i="6"/>
  <c r="I2642" i="6"/>
  <c r="I2643" i="6"/>
  <c r="I2644" i="6"/>
  <c r="I2645" i="6"/>
  <c r="I2646" i="6"/>
  <c r="I2647" i="6"/>
  <c r="I2648" i="6"/>
  <c r="I2649" i="6"/>
  <c r="I2650" i="6"/>
  <c r="I2651" i="6"/>
  <c r="I2652" i="6"/>
  <c r="I2653" i="6"/>
  <c r="I2654" i="6"/>
  <c r="I2655" i="6"/>
  <c r="I2656" i="6"/>
  <c r="I2657" i="6"/>
  <c r="I2658" i="6"/>
  <c r="I2659" i="6"/>
  <c r="I2660" i="6"/>
  <c r="I2661" i="6"/>
  <c r="I2662" i="6"/>
  <c r="I2663" i="6"/>
  <c r="I2664" i="6"/>
  <c r="I2665" i="6"/>
  <c r="I2666" i="6"/>
  <c r="I2667" i="6"/>
  <c r="I2668" i="6"/>
  <c r="I2669" i="6"/>
  <c r="I2670" i="6"/>
  <c r="I2671" i="6"/>
  <c r="I2672" i="6"/>
  <c r="I2673" i="6"/>
  <c r="I2674" i="6"/>
  <c r="I2675" i="6"/>
  <c r="I2676" i="6"/>
  <c r="I2677" i="6"/>
  <c r="I2678" i="6"/>
  <c r="I2679" i="6"/>
  <c r="I2680" i="6"/>
  <c r="I2681" i="6"/>
  <c r="I2682" i="6"/>
  <c r="I2683" i="6"/>
  <c r="I2684" i="6"/>
  <c r="I2685" i="6"/>
  <c r="I2686" i="6"/>
  <c r="I2687" i="6"/>
  <c r="I2688" i="6"/>
  <c r="I2689" i="6"/>
  <c r="I2690" i="6"/>
  <c r="I2691" i="6"/>
  <c r="I2692" i="6"/>
  <c r="I2693" i="6"/>
  <c r="I2694" i="6"/>
  <c r="I2695" i="6"/>
  <c r="I2696" i="6"/>
  <c r="I2697" i="6"/>
  <c r="I2698" i="6"/>
  <c r="I2699" i="6"/>
  <c r="I2700" i="6"/>
  <c r="I2701" i="6"/>
  <c r="I2702" i="6"/>
  <c r="I2703" i="6"/>
  <c r="I2704" i="6"/>
  <c r="I2705" i="6"/>
  <c r="I2706" i="6"/>
  <c r="I2707" i="6"/>
  <c r="I2708" i="6"/>
  <c r="I2709" i="6"/>
  <c r="I2710" i="6"/>
  <c r="I2711" i="6"/>
  <c r="I2712" i="6"/>
  <c r="I2713" i="6"/>
  <c r="I2714" i="6"/>
  <c r="I2715" i="6"/>
  <c r="I2716" i="6"/>
  <c r="I2717" i="6"/>
  <c r="I2718" i="6"/>
  <c r="I2719" i="6"/>
  <c r="I2720" i="6"/>
  <c r="I2721" i="6"/>
  <c r="I2722" i="6"/>
  <c r="I2723" i="6"/>
  <c r="I2724" i="6"/>
  <c r="I2725" i="6"/>
  <c r="I2726" i="6"/>
  <c r="I2727" i="6"/>
  <c r="I2728" i="6"/>
  <c r="I2729" i="6"/>
  <c r="I2730" i="6"/>
  <c r="I2731" i="6"/>
  <c r="I2732" i="6"/>
  <c r="I2733" i="6"/>
  <c r="I2734" i="6"/>
  <c r="I2735" i="6"/>
  <c r="I2736" i="6"/>
  <c r="I2737" i="6"/>
  <c r="I2738" i="6"/>
  <c r="I2739" i="6"/>
  <c r="I2740" i="6"/>
  <c r="I2741" i="6"/>
  <c r="I2742" i="6"/>
  <c r="I2743" i="6"/>
  <c r="I2744" i="6"/>
  <c r="I2745" i="6"/>
  <c r="I2746" i="6"/>
  <c r="I2747" i="6"/>
  <c r="I2748" i="6"/>
  <c r="I2749" i="6"/>
  <c r="I2750" i="6"/>
  <c r="I2751" i="6"/>
  <c r="I2752" i="6"/>
  <c r="I2753" i="6"/>
  <c r="I2754" i="6"/>
  <c r="I2755" i="6"/>
  <c r="I2756" i="6"/>
  <c r="I2757" i="6"/>
  <c r="I2758" i="6"/>
  <c r="I2759" i="6"/>
  <c r="I2760" i="6"/>
  <c r="I2761" i="6"/>
  <c r="I2762" i="6"/>
  <c r="I2763" i="6"/>
  <c r="I2764" i="6"/>
  <c r="I2765" i="6"/>
  <c r="I2766" i="6"/>
  <c r="I2767" i="6"/>
  <c r="I2768" i="6"/>
  <c r="I2769" i="6"/>
  <c r="I2770" i="6"/>
  <c r="I2771" i="6"/>
  <c r="I2772" i="6"/>
  <c r="I2773" i="6"/>
  <c r="I2774" i="6"/>
  <c r="I2775" i="6"/>
  <c r="I2776" i="6"/>
  <c r="I2777" i="6"/>
  <c r="I2778" i="6"/>
  <c r="I2779" i="6"/>
  <c r="I2780" i="6"/>
  <c r="I2781" i="6"/>
  <c r="I2782" i="6"/>
  <c r="I2783" i="6"/>
  <c r="I2784" i="6"/>
  <c r="I2785" i="6"/>
  <c r="I2786" i="6"/>
  <c r="I2787" i="6"/>
  <c r="I2788" i="6"/>
  <c r="I2789" i="6"/>
  <c r="I2790" i="6"/>
  <c r="I2791" i="6"/>
  <c r="I2792" i="6"/>
  <c r="I2793" i="6"/>
  <c r="I2794" i="6"/>
  <c r="I2795" i="6"/>
  <c r="I2796" i="6"/>
  <c r="I2797" i="6"/>
  <c r="I2798" i="6"/>
  <c r="I2799" i="6"/>
  <c r="I2800" i="6"/>
  <c r="I2801" i="6"/>
  <c r="I2802" i="6"/>
  <c r="I2803" i="6"/>
  <c r="I2804" i="6"/>
  <c r="I2805" i="6"/>
  <c r="I2806" i="6"/>
  <c r="I2807" i="6"/>
  <c r="I2808" i="6"/>
  <c r="I2809" i="6"/>
  <c r="I2810" i="6"/>
  <c r="I2811" i="6"/>
  <c r="I2812" i="6"/>
  <c r="I2813" i="6"/>
  <c r="I2814" i="6"/>
  <c r="I2815" i="6"/>
  <c r="I2816" i="6"/>
  <c r="I2817" i="6"/>
  <c r="I2818" i="6"/>
  <c r="I2819" i="6"/>
  <c r="I2820" i="6"/>
  <c r="I2821" i="6"/>
  <c r="I2822" i="6"/>
  <c r="I2823" i="6"/>
  <c r="I2824" i="6"/>
  <c r="I2825" i="6"/>
  <c r="I2826" i="6"/>
  <c r="I2827" i="6"/>
  <c r="I2828" i="6"/>
  <c r="I2829" i="6"/>
  <c r="I2830" i="6"/>
  <c r="I2831" i="6"/>
  <c r="I2832" i="6"/>
  <c r="I2833" i="6"/>
  <c r="I2834" i="6"/>
  <c r="I2835" i="6"/>
  <c r="I2836" i="6"/>
  <c r="I2837" i="6"/>
  <c r="I2838" i="6"/>
  <c r="I2839" i="6"/>
  <c r="I2840" i="6"/>
  <c r="I2841" i="6"/>
  <c r="I2842" i="6"/>
  <c r="I2843" i="6"/>
  <c r="I2844" i="6"/>
  <c r="I2845" i="6"/>
  <c r="I2846" i="6"/>
  <c r="I2847" i="6"/>
  <c r="I2848" i="6"/>
  <c r="I2849" i="6"/>
  <c r="I2850" i="6"/>
  <c r="I2851" i="6"/>
  <c r="I2852" i="6"/>
  <c r="I2853" i="6"/>
  <c r="I2854" i="6"/>
  <c r="I2855" i="6"/>
  <c r="I2856" i="6"/>
  <c r="I2857" i="6"/>
  <c r="I2858" i="6"/>
  <c r="I2859" i="6"/>
  <c r="I2860" i="6"/>
  <c r="I2861" i="6"/>
  <c r="I2862" i="6"/>
  <c r="I2863" i="6"/>
  <c r="I2864" i="6"/>
  <c r="I2865" i="6"/>
  <c r="I2866" i="6"/>
  <c r="I2867" i="6"/>
  <c r="I2868" i="6"/>
  <c r="I2869" i="6"/>
  <c r="I2870" i="6"/>
  <c r="I2871" i="6"/>
  <c r="I2872" i="6"/>
  <c r="I2873" i="6"/>
  <c r="I2874" i="6"/>
  <c r="I2875" i="6"/>
  <c r="I2876" i="6"/>
  <c r="I2877" i="6"/>
  <c r="I2878" i="6"/>
  <c r="I2879" i="6"/>
  <c r="I2880" i="6"/>
  <c r="I2881" i="6"/>
  <c r="I2882" i="6"/>
  <c r="I2883" i="6"/>
  <c r="I2884" i="6"/>
  <c r="I2885" i="6"/>
  <c r="I2886" i="6"/>
  <c r="I2887" i="6"/>
  <c r="I2888" i="6"/>
  <c r="I2889" i="6"/>
  <c r="I2890" i="6"/>
  <c r="I2891" i="6"/>
  <c r="I2892" i="6"/>
  <c r="I2893" i="6"/>
  <c r="I2894" i="6"/>
  <c r="I2895" i="6"/>
  <c r="I2896" i="6"/>
  <c r="I2897" i="6"/>
  <c r="I2898" i="6"/>
  <c r="I2899" i="6"/>
  <c r="I2900" i="6"/>
  <c r="I2901" i="6"/>
  <c r="I2902" i="6"/>
  <c r="I2903" i="6"/>
  <c r="I2904" i="6"/>
  <c r="I2905" i="6"/>
  <c r="I2906" i="6"/>
  <c r="I2907" i="6"/>
  <c r="I2908" i="6"/>
  <c r="I2909" i="6"/>
  <c r="I2910" i="6"/>
  <c r="I2911" i="6"/>
  <c r="I2912" i="6"/>
  <c r="I2913" i="6"/>
  <c r="I2914" i="6"/>
  <c r="I2915" i="6"/>
  <c r="I2916" i="6"/>
  <c r="I2917" i="6"/>
  <c r="I2918" i="6"/>
  <c r="I2919" i="6"/>
  <c r="I2920" i="6"/>
  <c r="I2921" i="6"/>
  <c r="I2922" i="6"/>
  <c r="I2923" i="6"/>
  <c r="I2924" i="6"/>
  <c r="I2925" i="6"/>
  <c r="I2926" i="6"/>
  <c r="I2927" i="6"/>
  <c r="I2928" i="6"/>
  <c r="I2929" i="6"/>
  <c r="I2930" i="6"/>
  <c r="I2931" i="6"/>
  <c r="I2932" i="6"/>
  <c r="I2933" i="6"/>
  <c r="I2934" i="6"/>
  <c r="I2935" i="6"/>
  <c r="I2936" i="6"/>
  <c r="I2937" i="6"/>
  <c r="I2938" i="6"/>
  <c r="I2939" i="6"/>
  <c r="I2940" i="6"/>
  <c r="I2941" i="6"/>
  <c r="I2942" i="6"/>
  <c r="I2943" i="6"/>
  <c r="I2944" i="6"/>
  <c r="I2945" i="6"/>
  <c r="I2946" i="6"/>
  <c r="I2947" i="6"/>
  <c r="I2948" i="6"/>
  <c r="I2949" i="6"/>
  <c r="I2950" i="6"/>
  <c r="I2951" i="6"/>
  <c r="I2952" i="6"/>
  <c r="I2953" i="6"/>
  <c r="I2954" i="6"/>
  <c r="I2955" i="6"/>
  <c r="I2956" i="6"/>
  <c r="I2957" i="6"/>
  <c r="I2958" i="6"/>
  <c r="I2959" i="6"/>
  <c r="I2960" i="6"/>
  <c r="I2961" i="6"/>
  <c r="I2962" i="6"/>
  <c r="I2963" i="6"/>
  <c r="I2964" i="6"/>
  <c r="I2965" i="6"/>
  <c r="I2966" i="6"/>
  <c r="I2967" i="6"/>
  <c r="I2968" i="6"/>
  <c r="I2969" i="6"/>
  <c r="I2970" i="6"/>
  <c r="I2971" i="6"/>
  <c r="I2972" i="6"/>
  <c r="I2973" i="6"/>
  <c r="I2974" i="6"/>
  <c r="I2975" i="6"/>
  <c r="I2976" i="6"/>
  <c r="I2977" i="6"/>
  <c r="I2978" i="6"/>
  <c r="I2979" i="6"/>
  <c r="I2980" i="6"/>
  <c r="I2981" i="6"/>
  <c r="I2982" i="6"/>
  <c r="I2983" i="6"/>
  <c r="I2984" i="6"/>
  <c r="I2985" i="6"/>
  <c r="I2986" i="6"/>
  <c r="I2987" i="6"/>
  <c r="I2988" i="6"/>
  <c r="I2989" i="6"/>
  <c r="I2990" i="6"/>
  <c r="I2991" i="6"/>
  <c r="I2992" i="6"/>
  <c r="I2993" i="6"/>
  <c r="I2994" i="6"/>
  <c r="I2995" i="6"/>
  <c r="I2996" i="6"/>
  <c r="I2997" i="6"/>
  <c r="I2998" i="6"/>
  <c r="I2999" i="6"/>
  <c r="I3000" i="6"/>
  <c r="I3001" i="6"/>
  <c r="I3002" i="6"/>
  <c r="I3003" i="6"/>
  <c r="I3004" i="6"/>
  <c r="I3005" i="6"/>
  <c r="I3006" i="6"/>
  <c r="I3007" i="6"/>
  <c r="I3008" i="6"/>
  <c r="I3009" i="6"/>
  <c r="I3010" i="6"/>
  <c r="I3011" i="6"/>
  <c r="I3012" i="6"/>
  <c r="I3013" i="6"/>
  <c r="I3014" i="6"/>
  <c r="I3015" i="6"/>
  <c r="I3016" i="6"/>
  <c r="I3017" i="6"/>
  <c r="I3018" i="6"/>
  <c r="I3019" i="6"/>
  <c r="I3020" i="6"/>
  <c r="I3021" i="6"/>
  <c r="I3022" i="6"/>
  <c r="I3023" i="6"/>
  <c r="I3024" i="6"/>
  <c r="I3025" i="6"/>
  <c r="I3026" i="6"/>
  <c r="I3027" i="6"/>
  <c r="I3028" i="6"/>
  <c r="I3029" i="6"/>
  <c r="I3030" i="6"/>
  <c r="I3031" i="6"/>
  <c r="I3032" i="6"/>
  <c r="I3033" i="6"/>
  <c r="I3034" i="6"/>
  <c r="I3035" i="6"/>
  <c r="I3036" i="6"/>
  <c r="I3037" i="6"/>
  <c r="I3038" i="6"/>
  <c r="I3039" i="6"/>
  <c r="I3040" i="6"/>
  <c r="I3041" i="6"/>
  <c r="I3042" i="6"/>
  <c r="I3043" i="6"/>
  <c r="I3044" i="6"/>
  <c r="I3045" i="6"/>
  <c r="I3046" i="6"/>
  <c r="I3047" i="6"/>
  <c r="I3048" i="6"/>
  <c r="I3049" i="6"/>
  <c r="I3050" i="6"/>
  <c r="I3051" i="6"/>
  <c r="I3052" i="6"/>
  <c r="I3053" i="6"/>
  <c r="I3054" i="6"/>
  <c r="I3055" i="6"/>
  <c r="I3056" i="6"/>
  <c r="I3057" i="6"/>
  <c r="I3058" i="6"/>
  <c r="I3059" i="6"/>
  <c r="I3060" i="6"/>
  <c r="I3061" i="6"/>
  <c r="I3062" i="6"/>
  <c r="I3063" i="6"/>
  <c r="I3064" i="6"/>
  <c r="I3065" i="6"/>
  <c r="I3066" i="6"/>
  <c r="I3067" i="6"/>
  <c r="I3068" i="6"/>
  <c r="I3069" i="6"/>
  <c r="I3070" i="6"/>
  <c r="I3071" i="6"/>
  <c r="I3072" i="6"/>
  <c r="I3073" i="6"/>
  <c r="I3074" i="6"/>
  <c r="I3075" i="6"/>
  <c r="I3076" i="6"/>
  <c r="I3077" i="6"/>
  <c r="I3078" i="6"/>
  <c r="I3079" i="6"/>
  <c r="I3080" i="6"/>
  <c r="I3081" i="6"/>
  <c r="I3082" i="6"/>
  <c r="I3083" i="6"/>
  <c r="I3084" i="6"/>
  <c r="I3085" i="6"/>
  <c r="I3086" i="6"/>
  <c r="I3087" i="6"/>
  <c r="I3088" i="6"/>
  <c r="I3089" i="6"/>
  <c r="I3090" i="6"/>
  <c r="I3091" i="6"/>
  <c r="I3092" i="6"/>
  <c r="I3093" i="6"/>
  <c r="I3094" i="6"/>
  <c r="I3095" i="6"/>
  <c r="I3096" i="6"/>
  <c r="I3097" i="6"/>
  <c r="I3098" i="6"/>
  <c r="I3099" i="6"/>
  <c r="I3100" i="6"/>
  <c r="I3101" i="6"/>
  <c r="I3102" i="6"/>
  <c r="I3103" i="6"/>
  <c r="I3104" i="6"/>
  <c r="I3105" i="6"/>
  <c r="I3106" i="6"/>
  <c r="I3107" i="6"/>
  <c r="I3108" i="6"/>
  <c r="I3109" i="6"/>
  <c r="I3110" i="6"/>
  <c r="I3111" i="6"/>
  <c r="I3112" i="6"/>
  <c r="I3113" i="6"/>
  <c r="I3114" i="6"/>
  <c r="I3115" i="6"/>
  <c r="I3116" i="6"/>
  <c r="I3117" i="6"/>
  <c r="I3118" i="6"/>
  <c r="I3119" i="6"/>
  <c r="I3120" i="6"/>
  <c r="I3121" i="6"/>
  <c r="I3122" i="6"/>
  <c r="I3123" i="6"/>
  <c r="I3124" i="6"/>
  <c r="I3125" i="6"/>
  <c r="I3126" i="6"/>
  <c r="I3127" i="6"/>
  <c r="I3128" i="6"/>
  <c r="I3129" i="6"/>
  <c r="I3130" i="6"/>
  <c r="I3131" i="6"/>
  <c r="I3132" i="6"/>
  <c r="I3133" i="6"/>
  <c r="I3134" i="6"/>
  <c r="I3135" i="6"/>
  <c r="I3136" i="6"/>
  <c r="I3137" i="6"/>
  <c r="I3138" i="6"/>
  <c r="I3139" i="6"/>
  <c r="I3140" i="6"/>
  <c r="I3141" i="6"/>
  <c r="I3142" i="6"/>
  <c r="I3143" i="6"/>
  <c r="I3144" i="6"/>
  <c r="I3145" i="6"/>
  <c r="I3146" i="6"/>
  <c r="I3147" i="6"/>
  <c r="I3148" i="6"/>
  <c r="I3149" i="6"/>
  <c r="I3150" i="6"/>
  <c r="I3151" i="6"/>
  <c r="I3152" i="6"/>
  <c r="I3153" i="6"/>
  <c r="I3154" i="6"/>
  <c r="I3155" i="6"/>
  <c r="I3156" i="6"/>
  <c r="I3157" i="6"/>
  <c r="I3158" i="6"/>
  <c r="I3159" i="6"/>
  <c r="I3160" i="6"/>
  <c r="I3161" i="6"/>
  <c r="I3162" i="6"/>
  <c r="K2" i="6"/>
  <c r="K3" i="6"/>
  <c r="K4" i="6"/>
  <c r="K5" i="6"/>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K253" i="6"/>
  <c r="K254" i="6"/>
  <c r="K255" i="6"/>
  <c r="K256" i="6"/>
  <c r="K257" i="6"/>
  <c r="K258" i="6"/>
  <c r="K259" i="6"/>
  <c r="K260" i="6"/>
  <c r="K261" i="6"/>
  <c r="K262" i="6"/>
  <c r="K263" i="6"/>
  <c r="K264" i="6"/>
  <c r="K265" i="6"/>
  <c r="K266" i="6"/>
  <c r="K267" i="6"/>
  <c r="K268" i="6"/>
  <c r="K269" i="6"/>
  <c r="K270" i="6"/>
  <c r="K271" i="6"/>
  <c r="K272" i="6"/>
  <c r="K273" i="6"/>
  <c r="K274" i="6"/>
  <c r="K275" i="6"/>
  <c r="K276" i="6"/>
  <c r="K277" i="6"/>
  <c r="K278" i="6"/>
  <c r="K279" i="6"/>
  <c r="K280" i="6"/>
  <c r="K281" i="6"/>
  <c r="K282" i="6"/>
  <c r="K283" i="6"/>
  <c r="K284" i="6"/>
  <c r="K285" i="6"/>
  <c r="K286" i="6"/>
  <c r="K287" i="6"/>
  <c r="K288" i="6"/>
  <c r="K289" i="6"/>
  <c r="K290" i="6"/>
  <c r="K291" i="6"/>
  <c r="K292" i="6"/>
  <c r="K293" i="6"/>
  <c r="K294" i="6"/>
  <c r="K295" i="6"/>
  <c r="K296" i="6"/>
  <c r="K297" i="6"/>
  <c r="K298" i="6"/>
  <c r="K299" i="6"/>
  <c r="K300" i="6"/>
  <c r="K301" i="6"/>
  <c r="K302" i="6"/>
  <c r="K303" i="6"/>
  <c r="K304" i="6"/>
  <c r="K305" i="6"/>
  <c r="K306" i="6"/>
  <c r="K307" i="6"/>
  <c r="K308" i="6"/>
  <c r="K309" i="6"/>
  <c r="K310" i="6"/>
  <c r="K311" i="6"/>
  <c r="K312" i="6"/>
  <c r="K313" i="6"/>
  <c r="K314" i="6"/>
  <c r="K315" i="6"/>
  <c r="K316" i="6"/>
  <c r="K317" i="6"/>
  <c r="K318" i="6"/>
  <c r="K319" i="6"/>
  <c r="K320" i="6"/>
  <c r="K321" i="6"/>
  <c r="K322" i="6"/>
  <c r="K323" i="6"/>
  <c r="K324" i="6"/>
  <c r="K325" i="6"/>
  <c r="K326" i="6"/>
  <c r="K327" i="6"/>
  <c r="K328" i="6"/>
  <c r="K329" i="6"/>
  <c r="K330" i="6"/>
  <c r="K331" i="6"/>
  <c r="K332" i="6"/>
  <c r="K333" i="6"/>
  <c r="K334" i="6"/>
  <c r="K335" i="6"/>
  <c r="K336" i="6"/>
  <c r="K337" i="6"/>
  <c r="K338" i="6"/>
  <c r="K339" i="6"/>
  <c r="K340" i="6"/>
  <c r="K341" i="6"/>
  <c r="K342" i="6"/>
  <c r="K343" i="6"/>
  <c r="K344" i="6"/>
  <c r="K345" i="6"/>
  <c r="K346" i="6"/>
  <c r="K347" i="6"/>
  <c r="K348" i="6"/>
  <c r="K349" i="6"/>
  <c r="K350" i="6"/>
  <c r="K351" i="6"/>
  <c r="K352" i="6"/>
  <c r="K353" i="6"/>
  <c r="K354" i="6"/>
  <c r="K355" i="6"/>
  <c r="K356" i="6"/>
  <c r="K357" i="6"/>
  <c r="K358" i="6"/>
  <c r="K359" i="6"/>
  <c r="K360" i="6"/>
  <c r="K361" i="6"/>
  <c r="K362" i="6"/>
  <c r="K363" i="6"/>
  <c r="K364" i="6"/>
  <c r="K365" i="6"/>
  <c r="K366" i="6"/>
  <c r="K367" i="6"/>
  <c r="K368" i="6"/>
  <c r="K369" i="6"/>
  <c r="K370" i="6"/>
  <c r="K371" i="6"/>
  <c r="K372" i="6"/>
  <c r="K373" i="6"/>
  <c r="K374" i="6"/>
  <c r="K375" i="6"/>
  <c r="K376" i="6"/>
  <c r="K377" i="6"/>
  <c r="K378" i="6"/>
  <c r="K379" i="6"/>
  <c r="K380" i="6"/>
  <c r="K381" i="6"/>
  <c r="K382" i="6"/>
  <c r="K383" i="6"/>
  <c r="K384" i="6"/>
  <c r="K385" i="6"/>
  <c r="K386" i="6"/>
  <c r="K387" i="6"/>
  <c r="K388" i="6"/>
  <c r="K389" i="6"/>
  <c r="K390" i="6"/>
  <c r="K391" i="6"/>
  <c r="K392" i="6"/>
  <c r="K393" i="6"/>
  <c r="K394" i="6"/>
  <c r="K395" i="6"/>
  <c r="K396" i="6"/>
  <c r="K397" i="6"/>
  <c r="K398" i="6"/>
  <c r="K399" i="6"/>
  <c r="K400" i="6"/>
  <c r="K401" i="6"/>
  <c r="K402" i="6"/>
  <c r="K403" i="6"/>
  <c r="K404" i="6"/>
  <c r="K405" i="6"/>
  <c r="K406" i="6"/>
  <c r="K407" i="6"/>
  <c r="K408" i="6"/>
  <c r="K409" i="6"/>
  <c r="K410" i="6"/>
  <c r="K411" i="6"/>
  <c r="K412" i="6"/>
  <c r="K413" i="6"/>
  <c r="K414" i="6"/>
  <c r="K415" i="6"/>
  <c r="K416" i="6"/>
  <c r="K417" i="6"/>
  <c r="K418" i="6"/>
  <c r="K419" i="6"/>
  <c r="K420" i="6"/>
  <c r="K421" i="6"/>
  <c r="K422" i="6"/>
  <c r="K423" i="6"/>
  <c r="K424" i="6"/>
  <c r="K425" i="6"/>
  <c r="K426" i="6"/>
  <c r="K427" i="6"/>
  <c r="K428" i="6"/>
  <c r="K429" i="6"/>
  <c r="K430" i="6"/>
  <c r="K431" i="6"/>
  <c r="K432" i="6"/>
  <c r="K433" i="6"/>
  <c r="K434" i="6"/>
  <c r="K435" i="6"/>
  <c r="K436" i="6"/>
  <c r="K437" i="6"/>
  <c r="K438" i="6"/>
  <c r="K439" i="6"/>
  <c r="K440" i="6"/>
  <c r="K441" i="6"/>
  <c r="K442" i="6"/>
  <c r="K443" i="6"/>
  <c r="K444" i="6"/>
  <c r="K445" i="6"/>
  <c r="K446" i="6"/>
  <c r="K447" i="6"/>
  <c r="K448" i="6"/>
  <c r="K449" i="6"/>
  <c r="K450" i="6"/>
  <c r="K451" i="6"/>
  <c r="K452" i="6"/>
  <c r="K453" i="6"/>
  <c r="K454" i="6"/>
  <c r="K455" i="6"/>
  <c r="K456" i="6"/>
  <c r="K457" i="6"/>
  <c r="K458" i="6"/>
  <c r="K459" i="6"/>
  <c r="K460" i="6"/>
  <c r="K461" i="6"/>
  <c r="K462" i="6"/>
  <c r="K463" i="6"/>
  <c r="K464" i="6"/>
  <c r="K465" i="6"/>
  <c r="K466" i="6"/>
  <c r="K467" i="6"/>
  <c r="K468" i="6"/>
  <c r="K469" i="6"/>
  <c r="K470" i="6"/>
  <c r="K471" i="6"/>
  <c r="K472" i="6"/>
  <c r="K473" i="6"/>
  <c r="K474" i="6"/>
  <c r="K475" i="6"/>
  <c r="K476" i="6"/>
  <c r="K477" i="6"/>
  <c r="K478" i="6"/>
  <c r="K479" i="6"/>
  <c r="K480" i="6"/>
  <c r="K481" i="6"/>
  <c r="K482" i="6"/>
  <c r="K483" i="6"/>
  <c r="K484" i="6"/>
  <c r="K485" i="6"/>
  <c r="K486" i="6"/>
  <c r="K487" i="6"/>
  <c r="K488" i="6"/>
  <c r="K489" i="6"/>
  <c r="K490" i="6"/>
  <c r="K491" i="6"/>
  <c r="K492" i="6"/>
  <c r="K493" i="6"/>
  <c r="K494" i="6"/>
  <c r="K495" i="6"/>
  <c r="K496" i="6"/>
  <c r="K497" i="6"/>
  <c r="K498" i="6"/>
  <c r="K499" i="6"/>
  <c r="K500" i="6"/>
  <c r="K501" i="6"/>
  <c r="K502" i="6"/>
  <c r="K503" i="6"/>
  <c r="K504" i="6"/>
  <c r="K505" i="6"/>
  <c r="K506" i="6"/>
  <c r="K507" i="6"/>
  <c r="K508" i="6"/>
  <c r="K509" i="6"/>
  <c r="K510" i="6"/>
  <c r="K511" i="6"/>
  <c r="K512" i="6"/>
  <c r="K513" i="6"/>
  <c r="K514" i="6"/>
  <c r="K515" i="6"/>
  <c r="K516" i="6"/>
  <c r="K517" i="6"/>
  <c r="K518" i="6"/>
  <c r="K519" i="6"/>
  <c r="K520" i="6"/>
  <c r="K521" i="6"/>
  <c r="K522" i="6"/>
  <c r="K523" i="6"/>
  <c r="K524" i="6"/>
  <c r="K525" i="6"/>
  <c r="K526" i="6"/>
  <c r="K527" i="6"/>
  <c r="K528" i="6"/>
  <c r="K529" i="6"/>
  <c r="K530" i="6"/>
  <c r="K531" i="6"/>
  <c r="K532" i="6"/>
  <c r="K533" i="6"/>
  <c r="K534" i="6"/>
  <c r="K535" i="6"/>
  <c r="K536" i="6"/>
  <c r="K537" i="6"/>
  <c r="K538" i="6"/>
  <c r="K539" i="6"/>
  <c r="K540" i="6"/>
  <c r="K541" i="6"/>
  <c r="K542" i="6"/>
  <c r="K543" i="6"/>
  <c r="K544" i="6"/>
  <c r="K545" i="6"/>
  <c r="K546" i="6"/>
  <c r="K547" i="6"/>
  <c r="K548" i="6"/>
  <c r="K549" i="6"/>
  <c r="K550" i="6"/>
  <c r="K551" i="6"/>
  <c r="K552" i="6"/>
  <c r="K553" i="6"/>
  <c r="K554" i="6"/>
  <c r="K555" i="6"/>
  <c r="K556" i="6"/>
  <c r="K557" i="6"/>
  <c r="K558" i="6"/>
  <c r="K559" i="6"/>
  <c r="K560" i="6"/>
  <c r="K561" i="6"/>
  <c r="K562" i="6"/>
  <c r="K563" i="6"/>
  <c r="K564" i="6"/>
  <c r="K565" i="6"/>
  <c r="K566" i="6"/>
  <c r="K567" i="6"/>
  <c r="K568" i="6"/>
  <c r="K569" i="6"/>
  <c r="K570" i="6"/>
  <c r="K571" i="6"/>
  <c r="K572" i="6"/>
  <c r="K573" i="6"/>
  <c r="K574" i="6"/>
  <c r="K575" i="6"/>
  <c r="K576" i="6"/>
  <c r="K577" i="6"/>
  <c r="K578" i="6"/>
  <c r="K579" i="6"/>
  <c r="K580" i="6"/>
  <c r="K581" i="6"/>
  <c r="K582" i="6"/>
  <c r="K583" i="6"/>
  <c r="K584" i="6"/>
  <c r="K585" i="6"/>
  <c r="K586" i="6"/>
  <c r="K587" i="6"/>
  <c r="K588" i="6"/>
  <c r="K589" i="6"/>
  <c r="K590" i="6"/>
  <c r="K591" i="6"/>
  <c r="K592" i="6"/>
  <c r="K593" i="6"/>
  <c r="K594" i="6"/>
  <c r="K595" i="6"/>
  <c r="K596" i="6"/>
  <c r="K597" i="6"/>
  <c r="K598" i="6"/>
  <c r="K599" i="6"/>
  <c r="K600" i="6"/>
  <c r="K601" i="6"/>
  <c r="K602" i="6"/>
  <c r="K603" i="6"/>
  <c r="K604" i="6"/>
  <c r="K605" i="6"/>
  <c r="K606" i="6"/>
  <c r="K607" i="6"/>
  <c r="K608" i="6"/>
  <c r="K609" i="6"/>
  <c r="K610" i="6"/>
  <c r="K611" i="6"/>
  <c r="K612" i="6"/>
  <c r="K613" i="6"/>
  <c r="K614" i="6"/>
  <c r="K615" i="6"/>
  <c r="K616" i="6"/>
  <c r="K617" i="6"/>
  <c r="K618" i="6"/>
  <c r="K619" i="6"/>
  <c r="K620" i="6"/>
  <c r="K621" i="6"/>
  <c r="K622" i="6"/>
  <c r="K623" i="6"/>
  <c r="K624" i="6"/>
  <c r="K625" i="6"/>
  <c r="K626" i="6"/>
  <c r="K627" i="6"/>
  <c r="K628" i="6"/>
  <c r="K629" i="6"/>
  <c r="K630" i="6"/>
  <c r="K631" i="6"/>
  <c r="K632" i="6"/>
  <c r="K633" i="6"/>
  <c r="K634" i="6"/>
  <c r="K635" i="6"/>
  <c r="K636" i="6"/>
  <c r="K637" i="6"/>
  <c r="K638" i="6"/>
  <c r="K639" i="6"/>
  <c r="K640" i="6"/>
  <c r="K641" i="6"/>
  <c r="K642" i="6"/>
  <c r="K643" i="6"/>
  <c r="K644" i="6"/>
  <c r="K645" i="6"/>
  <c r="K646" i="6"/>
  <c r="K647" i="6"/>
  <c r="K648" i="6"/>
  <c r="K649" i="6"/>
  <c r="K650" i="6"/>
  <c r="K651" i="6"/>
  <c r="K652" i="6"/>
  <c r="K653" i="6"/>
  <c r="K654" i="6"/>
  <c r="K655" i="6"/>
  <c r="K656" i="6"/>
  <c r="K657" i="6"/>
  <c r="K658" i="6"/>
  <c r="K659" i="6"/>
  <c r="K660" i="6"/>
  <c r="K661" i="6"/>
  <c r="K662" i="6"/>
  <c r="K663" i="6"/>
  <c r="K664" i="6"/>
  <c r="K665" i="6"/>
  <c r="K666" i="6"/>
  <c r="K667" i="6"/>
  <c r="K668" i="6"/>
  <c r="K669" i="6"/>
  <c r="K670" i="6"/>
  <c r="K671" i="6"/>
  <c r="K672" i="6"/>
  <c r="K673" i="6"/>
  <c r="K674" i="6"/>
  <c r="K675" i="6"/>
  <c r="K676" i="6"/>
  <c r="K677" i="6"/>
  <c r="K678" i="6"/>
  <c r="K679" i="6"/>
  <c r="K680" i="6"/>
  <c r="K681" i="6"/>
  <c r="K682" i="6"/>
  <c r="K683" i="6"/>
  <c r="K684" i="6"/>
  <c r="K685" i="6"/>
  <c r="K686" i="6"/>
  <c r="K687" i="6"/>
  <c r="K688" i="6"/>
  <c r="K689" i="6"/>
  <c r="K690" i="6"/>
  <c r="K691" i="6"/>
  <c r="K692" i="6"/>
  <c r="K693" i="6"/>
  <c r="K694" i="6"/>
  <c r="K695" i="6"/>
  <c r="K696" i="6"/>
  <c r="K697" i="6"/>
  <c r="K698" i="6"/>
  <c r="K699" i="6"/>
  <c r="K700" i="6"/>
  <c r="K701" i="6"/>
  <c r="K702" i="6"/>
  <c r="K703" i="6"/>
  <c r="K704" i="6"/>
  <c r="K705" i="6"/>
  <c r="K706" i="6"/>
  <c r="K707" i="6"/>
  <c r="K708" i="6"/>
  <c r="K709" i="6"/>
  <c r="K710" i="6"/>
  <c r="K711" i="6"/>
  <c r="K712" i="6"/>
  <c r="K713" i="6"/>
  <c r="K714" i="6"/>
  <c r="K715" i="6"/>
  <c r="K716" i="6"/>
  <c r="K717" i="6"/>
  <c r="K718" i="6"/>
  <c r="K719" i="6"/>
  <c r="K720" i="6"/>
  <c r="K721" i="6"/>
  <c r="K722" i="6"/>
  <c r="K723" i="6"/>
  <c r="K724" i="6"/>
  <c r="K725" i="6"/>
  <c r="K726" i="6"/>
  <c r="K727" i="6"/>
  <c r="K728" i="6"/>
  <c r="K729" i="6"/>
  <c r="K730" i="6"/>
  <c r="K731" i="6"/>
  <c r="K732" i="6"/>
  <c r="K733" i="6"/>
  <c r="K734" i="6"/>
  <c r="K735" i="6"/>
  <c r="K736" i="6"/>
  <c r="K737" i="6"/>
  <c r="K738" i="6"/>
  <c r="K739" i="6"/>
  <c r="K740" i="6"/>
  <c r="K741" i="6"/>
  <c r="K742" i="6"/>
  <c r="K743" i="6"/>
  <c r="K744" i="6"/>
  <c r="K745" i="6"/>
  <c r="K746" i="6"/>
  <c r="K747" i="6"/>
  <c r="K748" i="6"/>
  <c r="K749" i="6"/>
  <c r="K750" i="6"/>
  <c r="K751" i="6"/>
  <c r="K752" i="6"/>
  <c r="K753" i="6"/>
  <c r="K754" i="6"/>
  <c r="K755" i="6"/>
  <c r="K756" i="6"/>
  <c r="K757" i="6"/>
  <c r="K758" i="6"/>
  <c r="K759" i="6"/>
  <c r="K760" i="6"/>
  <c r="K761" i="6"/>
  <c r="K762" i="6"/>
  <c r="K763" i="6"/>
  <c r="K764" i="6"/>
  <c r="K765" i="6"/>
  <c r="K766" i="6"/>
  <c r="K767" i="6"/>
  <c r="K768" i="6"/>
  <c r="K769" i="6"/>
  <c r="K770" i="6"/>
  <c r="K771" i="6"/>
  <c r="K772" i="6"/>
  <c r="K773" i="6"/>
  <c r="K774" i="6"/>
  <c r="K775" i="6"/>
  <c r="K776" i="6"/>
  <c r="K777" i="6"/>
  <c r="K778" i="6"/>
  <c r="K779" i="6"/>
  <c r="K780" i="6"/>
  <c r="K781" i="6"/>
  <c r="K782" i="6"/>
  <c r="K783" i="6"/>
  <c r="K784" i="6"/>
  <c r="K785" i="6"/>
  <c r="K786" i="6"/>
  <c r="K787" i="6"/>
  <c r="K788" i="6"/>
  <c r="K789" i="6"/>
  <c r="K790" i="6"/>
  <c r="K791" i="6"/>
  <c r="K792" i="6"/>
  <c r="K793" i="6"/>
  <c r="K794" i="6"/>
  <c r="K795" i="6"/>
  <c r="K796" i="6"/>
  <c r="K797" i="6"/>
  <c r="K798" i="6"/>
  <c r="K799" i="6"/>
  <c r="K800" i="6"/>
  <c r="K801" i="6"/>
  <c r="K802" i="6"/>
  <c r="K803" i="6"/>
  <c r="K804" i="6"/>
  <c r="K805" i="6"/>
  <c r="K806" i="6"/>
  <c r="K807" i="6"/>
  <c r="K808" i="6"/>
  <c r="K809" i="6"/>
  <c r="K810" i="6"/>
  <c r="K811" i="6"/>
  <c r="K812" i="6"/>
  <c r="K813" i="6"/>
  <c r="K814" i="6"/>
  <c r="K815" i="6"/>
  <c r="K816" i="6"/>
  <c r="K817" i="6"/>
  <c r="K818" i="6"/>
  <c r="K819" i="6"/>
  <c r="K820" i="6"/>
  <c r="K821" i="6"/>
  <c r="K822" i="6"/>
  <c r="K823" i="6"/>
  <c r="K824" i="6"/>
  <c r="K825" i="6"/>
  <c r="K826" i="6"/>
  <c r="K827" i="6"/>
  <c r="K828" i="6"/>
  <c r="K829" i="6"/>
  <c r="K830" i="6"/>
  <c r="K831" i="6"/>
  <c r="K832" i="6"/>
  <c r="K833" i="6"/>
  <c r="K834" i="6"/>
  <c r="K835" i="6"/>
  <c r="K836" i="6"/>
  <c r="K837" i="6"/>
  <c r="K838" i="6"/>
  <c r="K839" i="6"/>
  <c r="K840" i="6"/>
  <c r="K841" i="6"/>
  <c r="K842" i="6"/>
  <c r="K843" i="6"/>
  <c r="K844" i="6"/>
  <c r="K845" i="6"/>
  <c r="K846" i="6"/>
  <c r="K847" i="6"/>
  <c r="K848" i="6"/>
  <c r="K849" i="6"/>
  <c r="K850" i="6"/>
  <c r="K851" i="6"/>
  <c r="K852" i="6"/>
  <c r="K853" i="6"/>
  <c r="K854" i="6"/>
  <c r="K855" i="6"/>
  <c r="K856" i="6"/>
  <c r="K857" i="6"/>
  <c r="K858" i="6"/>
  <c r="K859" i="6"/>
  <c r="K860" i="6"/>
  <c r="K861" i="6"/>
  <c r="K862" i="6"/>
  <c r="K863" i="6"/>
  <c r="K864" i="6"/>
  <c r="K865" i="6"/>
  <c r="K866" i="6"/>
  <c r="K867" i="6"/>
  <c r="K868" i="6"/>
  <c r="K869" i="6"/>
  <c r="K870" i="6"/>
  <c r="K871" i="6"/>
  <c r="K872" i="6"/>
  <c r="K873" i="6"/>
  <c r="K874" i="6"/>
  <c r="K875" i="6"/>
  <c r="K876" i="6"/>
  <c r="K877" i="6"/>
  <c r="K878" i="6"/>
  <c r="K879" i="6"/>
  <c r="K880" i="6"/>
  <c r="K881" i="6"/>
  <c r="K882" i="6"/>
  <c r="K883" i="6"/>
  <c r="K884" i="6"/>
  <c r="K885" i="6"/>
  <c r="K886" i="6"/>
  <c r="K887" i="6"/>
  <c r="K888" i="6"/>
  <c r="K889" i="6"/>
  <c r="K890" i="6"/>
  <c r="K891" i="6"/>
  <c r="K892" i="6"/>
  <c r="K893" i="6"/>
  <c r="K894" i="6"/>
  <c r="K895" i="6"/>
  <c r="K896" i="6"/>
  <c r="K897" i="6"/>
  <c r="K898" i="6"/>
  <c r="K899" i="6"/>
  <c r="K900" i="6"/>
  <c r="K901" i="6"/>
  <c r="K902" i="6"/>
  <c r="K903" i="6"/>
  <c r="K904" i="6"/>
  <c r="K905" i="6"/>
  <c r="K906" i="6"/>
  <c r="K907" i="6"/>
  <c r="K908" i="6"/>
  <c r="K909" i="6"/>
  <c r="K910" i="6"/>
  <c r="K911" i="6"/>
  <c r="K912" i="6"/>
  <c r="K913" i="6"/>
  <c r="K914" i="6"/>
  <c r="K915" i="6"/>
  <c r="K916" i="6"/>
  <c r="K917" i="6"/>
  <c r="K918" i="6"/>
  <c r="K919" i="6"/>
  <c r="K920" i="6"/>
  <c r="K921" i="6"/>
  <c r="K922" i="6"/>
  <c r="K923" i="6"/>
  <c r="K924" i="6"/>
  <c r="K925" i="6"/>
  <c r="K926" i="6"/>
  <c r="K927" i="6"/>
  <c r="K928" i="6"/>
  <c r="K929" i="6"/>
  <c r="K930" i="6"/>
  <c r="K931" i="6"/>
  <c r="K932" i="6"/>
  <c r="K933" i="6"/>
  <c r="K934" i="6"/>
  <c r="K935" i="6"/>
  <c r="K936" i="6"/>
  <c r="K937" i="6"/>
  <c r="K938" i="6"/>
  <c r="K939" i="6"/>
  <c r="K940" i="6"/>
  <c r="K941" i="6"/>
  <c r="K942" i="6"/>
  <c r="K943" i="6"/>
  <c r="K944" i="6"/>
  <c r="K945" i="6"/>
  <c r="K946" i="6"/>
  <c r="K947" i="6"/>
  <c r="K948" i="6"/>
  <c r="K949" i="6"/>
  <c r="K950" i="6"/>
  <c r="K951" i="6"/>
  <c r="K952" i="6"/>
  <c r="K953" i="6"/>
  <c r="K954" i="6"/>
  <c r="K955" i="6"/>
  <c r="K956" i="6"/>
  <c r="K957" i="6"/>
  <c r="K958" i="6"/>
  <c r="K959" i="6"/>
  <c r="K960" i="6"/>
  <c r="K961" i="6"/>
  <c r="K962" i="6"/>
  <c r="K963" i="6"/>
  <c r="K964" i="6"/>
  <c r="K965" i="6"/>
  <c r="K966" i="6"/>
  <c r="K967" i="6"/>
  <c r="K968" i="6"/>
  <c r="K969" i="6"/>
  <c r="K970" i="6"/>
  <c r="K971" i="6"/>
  <c r="K972" i="6"/>
  <c r="K973" i="6"/>
  <c r="K974" i="6"/>
  <c r="K975" i="6"/>
  <c r="K976" i="6"/>
  <c r="K977" i="6"/>
  <c r="K978" i="6"/>
  <c r="K979" i="6"/>
  <c r="K980" i="6"/>
  <c r="K981" i="6"/>
  <c r="K982" i="6"/>
  <c r="K983" i="6"/>
  <c r="K984" i="6"/>
  <c r="K985" i="6"/>
  <c r="K986" i="6"/>
  <c r="K987" i="6"/>
  <c r="K988" i="6"/>
  <c r="K989" i="6"/>
  <c r="K990" i="6"/>
  <c r="K991" i="6"/>
  <c r="K992" i="6"/>
  <c r="K993" i="6"/>
  <c r="K994" i="6"/>
  <c r="K995" i="6"/>
  <c r="K996" i="6"/>
  <c r="K997" i="6"/>
  <c r="K998" i="6"/>
  <c r="K999" i="6"/>
  <c r="K1000" i="6"/>
  <c r="K1001" i="6"/>
  <c r="K1002" i="6"/>
  <c r="K1003" i="6"/>
  <c r="K1004" i="6"/>
  <c r="K1005" i="6"/>
  <c r="K1006" i="6"/>
  <c r="K1007" i="6"/>
  <c r="K1008" i="6"/>
  <c r="K1009" i="6"/>
  <c r="K1010" i="6"/>
  <c r="K1011" i="6"/>
  <c r="K1012" i="6"/>
  <c r="K1013" i="6"/>
  <c r="K1014" i="6"/>
  <c r="K1015" i="6"/>
  <c r="K1016" i="6"/>
  <c r="K1017" i="6"/>
  <c r="K1018" i="6"/>
  <c r="K1019" i="6"/>
  <c r="K1020" i="6"/>
  <c r="K1021" i="6"/>
  <c r="K1022" i="6"/>
  <c r="K1023" i="6"/>
  <c r="K1024" i="6"/>
  <c r="K1025" i="6"/>
  <c r="K1026" i="6"/>
  <c r="K1027" i="6"/>
  <c r="K1028" i="6"/>
  <c r="K1029" i="6"/>
  <c r="K1030" i="6"/>
  <c r="K1031" i="6"/>
  <c r="K1032" i="6"/>
  <c r="K1033" i="6"/>
  <c r="K1034" i="6"/>
  <c r="K1035" i="6"/>
  <c r="K1036" i="6"/>
  <c r="K1037" i="6"/>
  <c r="K1038" i="6"/>
  <c r="K1039" i="6"/>
  <c r="K1040" i="6"/>
  <c r="K1041" i="6"/>
  <c r="K1042" i="6"/>
  <c r="K1043" i="6"/>
  <c r="K1044" i="6"/>
  <c r="K1045" i="6"/>
  <c r="K1046" i="6"/>
  <c r="K1047" i="6"/>
  <c r="K1048" i="6"/>
  <c r="K1049" i="6"/>
  <c r="K1050" i="6"/>
  <c r="K1051" i="6"/>
  <c r="K1052" i="6"/>
  <c r="K1053" i="6"/>
  <c r="K1054" i="6"/>
  <c r="K1055" i="6"/>
  <c r="K1056" i="6"/>
  <c r="K1057" i="6"/>
  <c r="K1058" i="6"/>
  <c r="K1059" i="6"/>
  <c r="K1060" i="6"/>
  <c r="K1061" i="6"/>
  <c r="K1062" i="6"/>
  <c r="K1063" i="6"/>
  <c r="K1064" i="6"/>
  <c r="K1065" i="6"/>
  <c r="K1066" i="6"/>
  <c r="K1067" i="6"/>
  <c r="K1068" i="6"/>
  <c r="K1069" i="6"/>
  <c r="K1070" i="6"/>
  <c r="K1071" i="6"/>
  <c r="K1072" i="6"/>
  <c r="K1073" i="6"/>
  <c r="K1074" i="6"/>
  <c r="K1075" i="6"/>
  <c r="K1076" i="6"/>
  <c r="K1077" i="6"/>
  <c r="K1078" i="6"/>
  <c r="K1079" i="6"/>
  <c r="K1080" i="6"/>
  <c r="K1081" i="6"/>
  <c r="K1082" i="6"/>
  <c r="K1083" i="6"/>
  <c r="K1084" i="6"/>
  <c r="K1085" i="6"/>
  <c r="K1086" i="6"/>
  <c r="K1087" i="6"/>
  <c r="K1088" i="6"/>
  <c r="K1089" i="6"/>
  <c r="K1090" i="6"/>
  <c r="K1091" i="6"/>
  <c r="K1092" i="6"/>
  <c r="K1093" i="6"/>
  <c r="K1094" i="6"/>
  <c r="K1095" i="6"/>
  <c r="K1096" i="6"/>
  <c r="K1097" i="6"/>
  <c r="K1098" i="6"/>
  <c r="K1099" i="6"/>
  <c r="K1100" i="6"/>
  <c r="K1101" i="6"/>
  <c r="K1102" i="6"/>
  <c r="K1103" i="6"/>
  <c r="K1104" i="6"/>
  <c r="K1105" i="6"/>
  <c r="K1106" i="6"/>
  <c r="K1107" i="6"/>
  <c r="K1108" i="6"/>
  <c r="K1109" i="6"/>
  <c r="K1110" i="6"/>
  <c r="K1111" i="6"/>
  <c r="K1112" i="6"/>
  <c r="K1113" i="6"/>
  <c r="K1114" i="6"/>
  <c r="K1115" i="6"/>
  <c r="K1116" i="6"/>
  <c r="K1117" i="6"/>
  <c r="K1118" i="6"/>
  <c r="K1119" i="6"/>
  <c r="K1120" i="6"/>
  <c r="K1121" i="6"/>
  <c r="K1122" i="6"/>
  <c r="K1123" i="6"/>
  <c r="K1124" i="6"/>
  <c r="K1125" i="6"/>
  <c r="K1126" i="6"/>
  <c r="K1127" i="6"/>
  <c r="K1128" i="6"/>
  <c r="K1129" i="6"/>
  <c r="K1130" i="6"/>
  <c r="K1131" i="6"/>
  <c r="K1132" i="6"/>
  <c r="K1133" i="6"/>
  <c r="K1134" i="6"/>
  <c r="K1135" i="6"/>
  <c r="K1136" i="6"/>
  <c r="K1137" i="6"/>
  <c r="K1138" i="6"/>
  <c r="K1139" i="6"/>
  <c r="K1140" i="6"/>
  <c r="K1141" i="6"/>
  <c r="K1142" i="6"/>
  <c r="K1143" i="6"/>
  <c r="K1144" i="6"/>
  <c r="K1145" i="6"/>
  <c r="K1146" i="6"/>
  <c r="K1147" i="6"/>
  <c r="K1148" i="6"/>
  <c r="K1149" i="6"/>
  <c r="K1150" i="6"/>
  <c r="K1151" i="6"/>
  <c r="K1152" i="6"/>
  <c r="K1153" i="6"/>
  <c r="K1154" i="6"/>
  <c r="K1155" i="6"/>
  <c r="K1156" i="6"/>
  <c r="K1157" i="6"/>
  <c r="K1158" i="6"/>
  <c r="K1159" i="6"/>
  <c r="K1160" i="6"/>
  <c r="K1161" i="6"/>
  <c r="K1162" i="6"/>
  <c r="K1163" i="6"/>
  <c r="K1164" i="6"/>
  <c r="K1165" i="6"/>
  <c r="K1166" i="6"/>
  <c r="K1167" i="6"/>
  <c r="K1168" i="6"/>
  <c r="K1169" i="6"/>
  <c r="K1170" i="6"/>
  <c r="K1171" i="6"/>
  <c r="K1172" i="6"/>
  <c r="K1173" i="6"/>
  <c r="K1174" i="6"/>
  <c r="K1175" i="6"/>
  <c r="K1176" i="6"/>
  <c r="K1177" i="6"/>
  <c r="K1178" i="6"/>
  <c r="K1179" i="6"/>
  <c r="K1180" i="6"/>
  <c r="K1181" i="6"/>
  <c r="K1182" i="6"/>
  <c r="K1183" i="6"/>
  <c r="K1184" i="6"/>
  <c r="K1185" i="6"/>
  <c r="K1186" i="6"/>
  <c r="K1187" i="6"/>
  <c r="K1188" i="6"/>
  <c r="K1189" i="6"/>
  <c r="K1190" i="6"/>
  <c r="K1191" i="6"/>
  <c r="K1192" i="6"/>
  <c r="K1193" i="6"/>
  <c r="K1194" i="6"/>
  <c r="K1195" i="6"/>
  <c r="K1196" i="6"/>
  <c r="K1197" i="6"/>
  <c r="K1198" i="6"/>
  <c r="K1199" i="6"/>
  <c r="K1200" i="6"/>
  <c r="K1201" i="6"/>
  <c r="K1202" i="6"/>
  <c r="K1203" i="6"/>
  <c r="K1204" i="6"/>
  <c r="K1205" i="6"/>
  <c r="K1206" i="6"/>
  <c r="K1207" i="6"/>
  <c r="K1208" i="6"/>
  <c r="K1209" i="6"/>
  <c r="K1210" i="6"/>
  <c r="K1211" i="6"/>
  <c r="K1212" i="6"/>
  <c r="K1213" i="6"/>
  <c r="K1214" i="6"/>
  <c r="K1215" i="6"/>
  <c r="K1216" i="6"/>
  <c r="K1217" i="6"/>
  <c r="K1218" i="6"/>
  <c r="K1219" i="6"/>
  <c r="K1220" i="6"/>
  <c r="K1221" i="6"/>
  <c r="K1222" i="6"/>
  <c r="K1223" i="6"/>
  <c r="K1224" i="6"/>
  <c r="K1225" i="6"/>
  <c r="K1226" i="6"/>
  <c r="K1227" i="6"/>
  <c r="K1228" i="6"/>
  <c r="K1229" i="6"/>
  <c r="K1230" i="6"/>
  <c r="K1231" i="6"/>
  <c r="K1232" i="6"/>
  <c r="K1233" i="6"/>
  <c r="K1234" i="6"/>
  <c r="K1235" i="6"/>
  <c r="K1236" i="6"/>
  <c r="K1237" i="6"/>
  <c r="K1238" i="6"/>
  <c r="K1239" i="6"/>
  <c r="K1240" i="6"/>
  <c r="K1241" i="6"/>
  <c r="K1242" i="6"/>
  <c r="K1243" i="6"/>
  <c r="K1244" i="6"/>
  <c r="K1245" i="6"/>
  <c r="K1246" i="6"/>
  <c r="K1247" i="6"/>
  <c r="K1248" i="6"/>
  <c r="K1249" i="6"/>
  <c r="K1250" i="6"/>
  <c r="K1251" i="6"/>
  <c r="K1252" i="6"/>
  <c r="K1253" i="6"/>
  <c r="K1254" i="6"/>
  <c r="K1255" i="6"/>
  <c r="K1256" i="6"/>
  <c r="K1257" i="6"/>
  <c r="K1258" i="6"/>
  <c r="K1259" i="6"/>
  <c r="K1260" i="6"/>
  <c r="K1261" i="6"/>
  <c r="K1262" i="6"/>
  <c r="K1263" i="6"/>
  <c r="K1264" i="6"/>
  <c r="K1265" i="6"/>
  <c r="K1266" i="6"/>
  <c r="K1267" i="6"/>
  <c r="K1268" i="6"/>
  <c r="K1269" i="6"/>
  <c r="K1270" i="6"/>
  <c r="K1271" i="6"/>
  <c r="K1272" i="6"/>
  <c r="K1273" i="6"/>
  <c r="K1274" i="6"/>
  <c r="K1275" i="6"/>
  <c r="K1276" i="6"/>
  <c r="K1277" i="6"/>
  <c r="K1278" i="6"/>
  <c r="K1279" i="6"/>
  <c r="K1280" i="6"/>
  <c r="K1281" i="6"/>
  <c r="K1282" i="6"/>
  <c r="K1283" i="6"/>
  <c r="K1284" i="6"/>
  <c r="K1285" i="6"/>
  <c r="K1286" i="6"/>
  <c r="K1287" i="6"/>
  <c r="K1288" i="6"/>
  <c r="K1289" i="6"/>
  <c r="K1290" i="6"/>
  <c r="K1291" i="6"/>
  <c r="K1292" i="6"/>
  <c r="K1293" i="6"/>
  <c r="K1294" i="6"/>
  <c r="K1295" i="6"/>
  <c r="K1296" i="6"/>
  <c r="K1297" i="6"/>
  <c r="K1298" i="6"/>
  <c r="K1299" i="6"/>
  <c r="K1300" i="6"/>
  <c r="K1301" i="6"/>
  <c r="K1302" i="6"/>
  <c r="K1303" i="6"/>
  <c r="K1304" i="6"/>
  <c r="K1305" i="6"/>
  <c r="K1306" i="6"/>
  <c r="K1307" i="6"/>
  <c r="K1308" i="6"/>
  <c r="K1309" i="6"/>
  <c r="K1310" i="6"/>
  <c r="K1311" i="6"/>
  <c r="K1312" i="6"/>
  <c r="K1313" i="6"/>
  <c r="K1314" i="6"/>
  <c r="K1315" i="6"/>
  <c r="K1316" i="6"/>
  <c r="K1317" i="6"/>
  <c r="K1318" i="6"/>
  <c r="K1319" i="6"/>
  <c r="K1320" i="6"/>
  <c r="K1321" i="6"/>
  <c r="K1322" i="6"/>
  <c r="K1323" i="6"/>
  <c r="K1324" i="6"/>
  <c r="K1325" i="6"/>
  <c r="K1326" i="6"/>
  <c r="K1327" i="6"/>
  <c r="K1328" i="6"/>
  <c r="K1329" i="6"/>
  <c r="K1330" i="6"/>
  <c r="K1331" i="6"/>
  <c r="K1332" i="6"/>
  <c r="K1333" i="6"/>
  <c r="K1334" i="6"/>
  <c r="K1335" i="6"/>
  <c r="K1336" i="6"/>
  <c r="K1337" i="6"/>
  <c r="K1338" i="6"/>
  <c r="K1339" i="6"/>
  <c r="K1340" i="6"/>
  <c r="K1341" i="6"/>
  <c r="K1342" i="6"/>
  <c r="K1343" i="6"/>
  <c r="K1344" i="6"/>
  <c r="K1345" i="6"/>
  <c r="K1346" i="6"/>
  <c r="K1347" i="6"/>
  <c r="K1348" i="6"/>
  <c r="K1349" i="6"/>
  <c r="K1350" i="6"/>
  <c r="K1351" i="6"/>
  <c r="K1352" i="6"/>
  <c r="K1353" i="6"/>
  <c r="K1354" i="6"/>
  <c r="K1355" i="6"/>
  <c r="K1356" i="6"/>
  <c r="K1357" i="6"/>
  <c r="K1358" i="6"/>
  <c r="K1359" i="6"/>
  <c r="K1360" i="6"/>
  <c r="K1361" i="6"/>
  <c r="K1362" i="6"/>
  <c r="K1363" i="6"/>
  <c r="K1364" i="6"/>
  <c r="K1365" i="6"/>
  <c r="K1366" i="6"/>
  <c r="K1367" i="6"/>
  <c r="K1368" i="6"/>
  <c r="K1369" i="6"/>
  <c r="K1370" i="6"/>
  <c r="K1371" i="6"/>
  <c r="K1372" i="6"/>
  <c r="K1373" i="6"/>
  <c r="K1374" i="6"/>
  <c r="K1375" i="6"/>
  <c r="K1376" i="6"/>
  <c r="K1377" i="6"/>
  <c r="K1378" i="6"/>
  <c r="K1379" i="6"/>
  <c r="K1380" i="6"/>
  <c r="K1381" i="6"/>
  <c r="K1382" i="6"/>
  <c r="K1383" i="6"/>
  <c r="K1384" i="6"/>
  <c r="K1385" i="6"/>
  <c r="K1386" i="6"/>
  <c r="K1387" i="6"/>
  <c r="K1388" i="6"/>
  <c r="K1389" i="6"/>
  <c r="K1390" i="6"/>
  <c r="K1391" i="6"/>
  <c r="K1392" i="6"/>
  <c r="K1393" i="6"/>
  <c r="K1394" i="6"/>
  <c r="K1395" i="6"/>
  <c r="K1396" i="6"/>
  <c r="K1397" i="6"/>
  <c r="K1398" i="6"/>
  <c r="K1399" i="6"/>
  <c r="K1400" i="6"/>
  <c r="K1401" i="6"/>
  <c r="K1402" i="6"/>
  <c r="K1403" i="6"/>
  <c r="K1404" i="6"/>
  <c r="K1405" i="6"/>
  <c r="K1406" i="6"/>
  <c r="K1407" i="6"/>
  <c r="K1408" i="6"/>
  <c r="K1409" i="6"/>
  <c r="K1410" i="6"/>
  <c r="K1411" i="6"/>
  <c r="K1412" i="6"/>
  <c r="K1413" i="6"/>
  <c r="K1414" i="6"/>
  <c r="K1415" i="6"/>
  <c r="K1416" i="6"/>
  <c r="K1417" i="6"/>
  <c r="K1418" i="6"/>
  <c r="K1419" i="6"/>
  <c r="K1420" i="6"/>
  <c r="K1421" i="6"/>
  <c r="K1422" i="6"/>
  <c r="K1423" i="6"/>
  <c r="K1424" i="6"/>
  <c r="K1425" i="6"/>
  <c r="K1426" i="6"/>
  <c r="K1427" i="6"/>
  <c r="K1428" i="6"/>
  <c r="K1429" i="6"/>
  <c r="K1430" i="6"/>
  <c r="K1431" i="6"/>
  <c r="K1432" i="6"/>
  <c r="K1433" i="6"/>
  <c r="K1434" i="6"/>
  <c r="K1435" i="6"/>
  <c r="K1436" i="6"/>
  <c r="K1437" i="6"/>
  <c r="K1438" i="6"/>
  <c r="K1439" i="6"/>
  <c r="K1440" i="6"/>
  <c r="K1441" i="6"/>
  <c r="K1442" i="6"/>
  <c r="K1443" i="6"/>
  <c r="K1444" i="6"/>
  <c r="K1445" i="6"/>
  <c r="K1446" i="6"/>
  <c r="K1447" i="6"/>
  <c r="K1448" i="6"/>
  <c r="K1449" i="6"/>
  <c r="K1450" i="6"/>
  <c r="K1451" i="6"/>
  <c r="K1452" i="6"/>
  <c r="K1453" i="6"/>
  <c r="K1454" i="6"/>
  <c r="K1455" i="6"/>
  <c r="K1456" i="6"/>
  <c r="K1457" i="6"/>
  <c r="K1458" i="6"/>
  <c r="K1459" i="6"/>
  <c r="K1460" i="6"/>
  <c r="K1461" i="6"/>
  <c r="K1462" i="6"/>
  <c r="K1463" i="6"/>
  <c r="K1464" i="6"/>
  <c r="K1465" i="6"/>
  <c r="K1466" i="6"/>
  <c r="K1467" i="6"/>
  <c r="K1468" i="6"/>
  <c r="K1469" i="6"/>
  <c r="K1470" i="6"/>
  <c r="K1471" i="6"/>
  <c r="K1472" i="6"/>
  <c r="K1473" i="6"/>
  <c r="K1474" i="6"/>
  <c r="K1475" i="6"/>
  <c r="K1476" i="6"/>
  <c r="K1477" i="6"/>
  <c r="K1478" i="6"/>
  <c r="K1479" i="6"/>
  <c r="K1480" i="6"/>
  <c r="K1481" i="6"/>
  <c r="K1482" i="6"/>
  <c r="K1483" i="6"/>
  <c r="K1484" i="6"/>
  <c r="K1485" i="6"/>
  <c r="K1486" i="6"/>
  <c r="K1487" i="6"/>
  <c r="K1488" i="6"/>
  <c r="K1489" i="6"/>
  <c r="K1490" i="6"/>
  <c r="K1491" i="6"/>
  <c r="K1492" i="6"/>
  <c r="K1493" i="6"/>
  <c r="K1494" i="6"/>
  <c r="K1495" i="6"/>
  <c r="K1496" i="6"/>
  <c r="K1497" i="6"/>
  <c r="K1498" i="6"/>
  <c r="K1499" i="6"/>
  <c r="K1500" i="6"/>
  <c r="K1501" i="6"/>
  <c r="K1502" i="6"/>
  <c r="K1503" i="6"/>
  <c r="K1504" i="6"/>
  <c r="K1505" i="6"/>
  <c r="K1506" i="6"/>
  <c r="K1507" i="6"/>
  <c r="K1508" i="6"/>
  <c r="K1509" i="6"/>
  <c r="K1510" i="6"/>
  <c r="K1511" i="6"/>
  <c r="K1512" i="6"/>
  <c r="K1513" i="6"/>
  <c r="K1514" i="6"/>
  <c r="K1515" i="6"/>
  <c r="K1516" i="6"/>
  <c r="K1517" i="6"/>
  <c r="K1518" i="6"/>
  <c r="K1519" i="6"/>
  <c r="K1520" i="6"/>
  <c r="K1521" i="6"/>
  <c r="K1522" i="6"/>
  <c r="K1523" i="6"/>
  <c r="K1524" i="6"/>
  <c r="K1525" i="6"/>
  <c r="K1526" i="6"/>
  <c r="K1527" i="6"/>
  <c r="K1528" i="6"/>
  <c r="K1529" i="6"/>
  <c r="K1530" i="6"/>
  <c r="K1531" i="6"/>
  <c r="K1532" i="6"/>
  <c r="K1533" i="6"/>
  <c r="K1534" i="6"/>
  <c r="K1535" i="6"/>
  <c r="K1536" i="6"/>
  <c r="K1537" i="6"/>
  <c r="K1538" i="6"/>
  <c r="K1539" i="6"/>
  <c r="K1540" i="6"/>
  <c r="K1541" i="6"/>
  <c r="K1542" i="6"/>
  <c r="K1543" i="6"/>
  <c r="K1544" i="6"/>
  <c r="K1545" i="6"/>
  <c r="K1546" i="6"/>
  <c r="K1547" i="6"/>
  <c r="K1548" i="6"/>
  <c r="K1549" i="6"/>
  <c r="K1550" i="6"/>
  <c r="K1551" i="6"/>
  <c r="K1552" i="6"/>
  <c r="K1553" i="6"/>
  <c r="K1554" i="6"/>
  <c r="K1555" i="6"/>
  <c r="K1556" i="6"/>
  <c r="K1557" i="6"/>
  <c r="K1558" i="6"/>
  <c r="K1559" i="6"/>
  <c r="K1560" i="6"/>
  <c r="K1561" i="6"/>
  <c r="K1562" i="6"/>
  <c r="K1563" i="6"/>
  <c r="K1564" i="6"/>
  <c r="K1565" i="6"/>
  <c r="K1566" i="6"/>
  <c r="K1567" i="6"/>
  <c r="K1568" i="6"/>
  <c r="K1569" i="6"/>
  <c r="K1570" i="6"/>
  <c r="K1571" i="6"/>
  <c r="K1572" i="6"/>
  <c r="K1573" i="6"/>
  <c r="K1574" i="6"/>
  <c r="K1575" i="6"/>
  <c r="K1576" i="6"/>
  <c r="K1577" i="6"/>
  <c r="K1578" i="6"/>
  <c r="K1579" i="6"/>
  <c r="K1580" i="6"/>
  <c r="K1581" i="6"/>
  <c r="K1582" i="6"/>
  <c r="K1583" i="6"/>
  <c r="K1584" i="6"/>
  <c r="K1585" i="6"/>
  <c r="K1586" i="6"/>
  <c r="K1587" i="6"/>
  <c r="K1588" i="6"/>
  <c r="K1589" i="6"/>
  <c r="K1590" i="6"/>
  <c r="K1591" i="6"/>
  <c r="K1592" i="6"/>
  <c r="K1593" i="6"/>
  <c r="K1594" i="6"/>
  <c r="K1595" i="6"/>
  <c r="K1596" i="6"/>
  <c r="K1597" i="6"/>
  <c r="K1598" i="6"/>
  <c r="K1599" i="6"/>
  <c r="K1600" i="6"/>
  <c r="K1601" i="6"/>
  <c r="K1602" i="6"/>
  <c r="K1603" i="6"/>
  <c r="K1604" i="6"/>
  <c r="K1605" i="6"/>
  <c r="K1606" i="6"/>
  <c r="K1607" i="6"/>
  <c r="K1608" i="6"/>
  <c r="K1609" i="6"/>
  <c r="K1610" i="6"/>
  <c r="K1611" i="6"/>
  <c r="K1612" i="6"/>
  <c r="K1613" i="6"/>
  <c r="K1614" i="6"/>
  <c r="K1615" i="6"/>
  <c r="K1616" i="6"/>
  <c r="K1617" i="6"/>
  <c r="K1618" i="6"/>
  <c r="K1619" i="6"/>
  <c r="K1620" i="6"/>
  <c r="K1621" i="6"/>
  <c r="K1622" i="6"/>
  <c r="K1623" i="6"/>
  <c r="K1624" i="6"/>
  <c r="K1625" i="6"/>
  <c r="K1626" i="6"/>
  <c r="K1627" i="6"/>
  <c r="K1628" i="6"/>
  <c r="K1629" i="6"/>
  <c r="K1630" i="6"/>
  <c r="K1631" i="6"/>
  <c r="K1632" i="6"/>
  <c r="K1633" i="6"/>
  <c r="K1634" i="6"/>
  <c r="K1635" i="6"/>
  <c r="K1636" i="6"/>
  <c r="K1637" i="6"/>
  <c r="K1638" i="6"/>
  <c r="K1639" i="6"/>
  <c r="K1640" i="6"/>
  <c r="K1641" i="6"/>
  <c r="K1642" i="6"/>
  <c r="K1643" i="6"/>
  <c r="K1644" i="6"/>
  <c r="K1645" i="6"/>
  <c r="K1646" i="6"/>
  <c r="K1647" i="6"/>
  <c r="K1648" i="6"/>
  <c r="K1649" i="6"/>
  <c r="K1650" i="6"/>
  <c r="K1651" i="6"/>
  <c r="K1652" i="6"/>
  <c r="K1653" i="6"/>
  <c r="K1654" i="6"/>
  <c r="K1655" i="6"/>
  <c r="K1656" i="6"/>
  <c r="K1657" i="6"/>
  <c r="K1658" i="6"/>
  <c r="K1659" i="6"/>
  <c r="K1660" i="6"/>
  <c r="K1661" i="6"/>
  <c r="K1662" i="6"/>
  <c r="K1663" i="6"/>
  <c r="K1664" i="6"/>
  <c r="K1665" i="6"/>
  <c r="K1666" i="6"/>
  <c r="K1667" i="6"/>
  <c r="K1668" i="6"/>
  <c r="K1669" i="6"/>
  <c r="K1670" i="6"/>
  <c r="K1671" i="6"/>
  <c r="K1672" i="6"/>
  <c r="K1673" i="6"/>
  <c r="K1674" i="6"/>
  <c r="K1675" i="6"/>
  <c r="K1676" i="6"/>
  <c r="K1677" i="6"/>
  <c r="K1678" i="6"/>
  <c r="K1679" i="6"/>
  <c r="K1680" i="6"/>
  <c r="K1681" i="6"/>
  <c r="K1682" i="6"/>
  <c r="K1683" i="6"/>
  <c r="K1684" i="6"/>
  <c r="K1685" i="6"/>
  <c r="K1686" i="6"/>
  <c r="K1687" i="6"/>
  <c r="K1688" i="6"/>
  <c r="K1689" i="6"/>
  <c r="K1690" i="6"/>
  <c r="K1691" i="6"/>
  <c r="K1692" i="6"/>
  <c r="K1693" i="6"/>
  <c r="K1694" i="6"/>
  <c r="K1695" i="6"/>
  <c r="K1696" i="6"/>
  <c r="K1697" i="6"/>
  <c r="K1698" i="6"/>
  <c r="K1699" i="6"/>
  <c r="K1700" i="6"/>
  <c r="K1701" i="6"/>
  <c r="K1702" i="6"/>
  <c r="K1703" i="6"/>
  <c r="K1704" i="6"/>
  <c r="K1705" i="6"/>
  <c r="K1706" i="6"/>
  <c r="K1707" i="6"/>
  <c r="K1708" i="6"/>
  <c r="K1709" i="6"/>
  <c r="K1710" i="6"/>
  <c r="K1711" i="6"/>
  <c r="K1712" i="6"/>
  <c r="K1713" i="6"/>
  <c r="K1714" i="6"/>
  <c r="K1715" i="6"/>
  <c r="K1716" i="6"/>
  <c r="K1717" i="6"/>
  <c r="K1718" i="6"/>
  <c r="K1719" i="6"/>
  <c r="K1720" i="6"/>
  <c r="K1721" i="6"/>
  <c r="K1722" i="6"/>
  <c r="K1723" i="6"/>
  <c r="K1724" i="6"/>
  <c r="K1725" i="6"/>
  <c r="K1726" i="6"/>
  <c r="K1727" i="6"/>
  <c r="K1728" i="6"/>
  <c r="K1729" i="6"/>
  <c r="K1730" i="6"/>
  <c r="K1731" i="6"/>
  <c r="K1732" i="6"/>
  <c r="K1733" i="6"/>
  <c r="K1734" i="6"/>
  <c r="K1735" i="6"/>
  <c r="K1736" i="6"/>
  <c r="K1737" i="6"/>
  <c r="K1738" i="6"/>
  <c r="K1739" i="6"/>
  <c r="K1740" i="6"/>
  <c r="K1741" i="6"/>
  <c r="K1742" i="6"/>
  <c r="K1743" i="6"/>
  <c r="K1744" i="6"/>
  <c r="K1745" i="6"/>
  <c r="K1746" i="6"/>
  <c r="K1747" i="6"/>
  <c r="K1748" i="6"/>
  <c r="K1749" i="6"/>
  <c r="K1750" i="6"/>
  <c r="K1751" i="6"/>
  <c r="K1752" i="6"/>
  <c r="K1753" i="6"/>
  <c r="K1754" i="6"/>
  <c r="K1755" i="6"/>
  <c r="K1756" i="6"/>
  <c r="K1757" i="6"/>
  <c r="K1758" i="6"/>
  <c r="K1759" i="6"/>
  <c r="K1760" i="6"/>
  <c r="K1761" i="6"/>
  <c r="K1762" i="6"/>
  <c r="K1763" i="6"/>
  <c r="K1764" i="6"/>
  <c r="K1765" i="6"/>
  <c r="K1766" i="6"/>
  <c r="K1767" i="6"/>
  <c r="K1768" i="6"/>
  <c r="K1769" i="6"/>
  <c r="K1770" i="6"/>
  <c r="K1771" i="6"/>
  <c r="K1772" i="6"/>
  <c r="K1773" i="6"/>
  <c r="K1774" i="6"/>
  <c r="K1775" i="6"/>
  <c r="K1776" i="6"/>
  <c r="K1777" i="6"/>
  <c r="K1778" i="6"/>
  <c r="K1779" i="6"/>
  <c r="K1780" i="6"/>
  <c r="K1781" i="6"/>
  <c r="K1782" i="6"/>
  <c r="K1783" i="6"/>
  <c r="K1784" i="6"/>
  <c r="K1785" i="6"/>
  <c r="K1786" i="6"/>
  <c r="K1787" i="6"/>
  <c r="K1788" i="6"/>
  <c r="K1789" i="6"/>
  <c r="K1790" i="6"/>
  <c r="K1791" i="6"/>
  <c r="K1792" i="6"/>
  <c r="K1793" i="6"/>
  <c r="K1794" i="6"/>
  <c r="K1795" i="6"/>
  <c r="K1796" i="6"/>
  <c r="K1797" i="6"/>
  <c r="K1798" i="6"/>
  <c r="K1799" i="6"/>
  <c r="K1800" i="6"/>
  <c r="K1801" i="6"/>
  <c r="K1802" i="6"/>
  <c r="K1803" i="6"/>
  <c r="K1804" i="6"/>
  <c r="K1805" i="6"/>
  <c r="K1806" i="6"/>
  <c r="K1807" i="6"/>
  <c r="K1808" i="6"/>
  <c r="K1809" i="6"/>
  <c r="K1810" i="6"/>
  <c r="K1811" i="6"/>
  <c r="K1812" i="6"/>
  <c r="K1813" i="6"/>
  <c r="K1814" i="6"/>
  <c r="K1815" i="6"/>
  <c r="K1816" i="6"/>
  <c r="K1817" i="6"/>
  <c r="K1818" i="6"/>
  <c r="K1819" i="6"/>
  <c r="K1820" i="6"/>
  <c r="K1821" i="6"/>
  <c r="K1822" i="6"/>
  <c r="K1823" i="6"/>
  <c r="K1824" i="6"/>
  <c r="K1825" i="6"/>
  <c r="K1826" i="6"/>
  <c r="K1827" i="6"/>
  <c r="K1828" i="6"/>
  <c r="K1829" i="6"/>
  <c r="K1830" i="6"/>
  <c r="K1831" i="6"/>
  <c r="K1832" i="6"/>
  <c r="K1833" i="6"/>
  <c r="K1834" i="6"/>
  <c r="K1835" i="6"/>
  <c r="K1836" i="6"/>
  <c r="K1837" i="6"/>
  <c r="K1838" i="6"/>
  <c r="K1839" i="6"/>
  <c r="K1840" i="6"/>
  <c r="K1841" i="6"/>
  <c r="K1842" i="6"/>
  <c r="K1843" i="6"/>
  <c r="K1844" i="6"/>
  <c r="K1845" i="6"/>
  <c r="K1846" i="6"/>
  <c r="K1847" i="6"/>
  <c r="K1848" i="6"/>
  <c r="K1849" i="6"/>
  <c r="K1850" i="6"/>
  <c r="K1851" i="6"/>
  <c r="K1852" i="6"/>
  <c r="K1853" i="6"/>
  <c r="K1854" i="6"/>
  <c r="K1855" i="6"/>
  <c r="K1856" i="6"/>
  <c r="K1857" i="6"/>
  <c r="K1858" i="6"/>
  <c r="K1859" i="6"/>
  <c r="K1860" i="6"/>
  <c r="K1861" i="6"/>
  <c r="K1862" i="6"/>
  <c r="K1863" i="6"/>
  <c r="K1864" i="6"/>
  <c r="K1865" i="6"/>
  <c r="K1866" i="6"/>
  <c r="K1867" i="6"/>
  <c r="K1868" i="6"/>
  <c r="K1869" i="6"/>
  <c r="K1870" i="6"/>
  <c r="K1871" i="6"/>
  <c r="K1872" i="6"/>
  <c r="K1873" i="6"/>
  <c r="K1874" i="6"/>
  <c r="K1875" i="6"/>
  <c r="K1876" i="6"/>
  <c r="K1877" i="6"/>
  <c r="K1878" i="6"/>
  <c r="K1879" i="6"/>
  <c r="K1880" i="6"/>
  <c r="K1881" i="6"/>
  <c r="K1882" i="6"/>
  <c r="K1883" i="6"/>
  <c r="K1884" i="6"/>
  <c r="K1885" i="6"/>
  <c r="K1886" i="6"/>
  <c r="K1887" i="6"/>
  <c r="K1888" i="6"/>
  <c r="K1889" i="6"/>
  <c r="K1890" i="6"/>
  <c r="K1891" i="6"/>
  <c r="K1892" i="6"/>
  <c r="K1893" i="6"/>
  <c r="K1894" i="6"/>
  <c r="K1895" i="6"/>
  <c r="K1896" i="6"/>
  <c r="K1897" i="6"/>
  <c r="K1898" i="6"/>
  <c r="K1899" i="6"/>
  <c r="K1900" i="6"/>
  <c r="K1901" i="6"/>
  <c r="K1902" i="6"/>
  <c r="K1903" i="6"/>
  <c r="K1904" i="6"/>
  <c r="K1905" i="6"/>
  <c r="K1906" i="6"/>
  <c r="K1907" i="6"/>
  <c r="K1908" i="6"/>
  <c r="K1909" i="6"/>
  <c r="K1910" i="6"/>
  <c r="K1911" i="6"/>
  <c r="K1912" i="6"/>
  <c r="K1913" i="6"/>
  <c r="K1914" i="6"/>
  <c r="K1915" i="6"/>
  <c r="K1916" i="6"/>
  <c r="K1917" i="6"/>
  <c r="K1918" i="6"/>
  <c r="K1919" i="6"/>
  <c r="K1920" i="6"/>
  <c r="K1921" i="6"/>
  <c r="K1922" i="6"/>
  <c r="K1923" i="6"/>
  <c r="K1924" i="6"/>
  <c r="K1925" i="6"/>
  <c r="K1926" i="6"/>
  <c r="K1927" i="6"/>
  <c r="K1928" i="6"/>
  <c r="K1929" i="6"/>
  <c r="K1930" i="6"/>
  <c r="K1931" i="6"/>
  <c r="K1932" i="6"/>
  <c r="K1933" i="6"/>
  <c r="K1934" i="6"/>
  <c r="K1935" i="6"/>
  <c r="K1936" i="6"/>
  <c r="K1937" i="6"/>
  <c r="K1938" i="6"/>
  <c r="K1939" i="6"/>
  <c r="K1940" i="6"/>
  <c r="K1941" i="6"/>
  <c r="K1942" i="6"/>
  <c r="K1943" i="6"/>
  <c r="K1944" i="6"/>
  <c r="K1945" i="6"/>
  <c r="K1946" i="6"/>
  <c r="K1947" i="6"/>
  <c r="K1948" i="6"/>
  <c r="K1949" i="6"/>
  <c r="K1950" i="6"/>
  <c r="K1951" i="6"/>
  <c r="K1952" i="6"/>
  <c r="K1953" i="6"/>
  <c r="K1954" i="6"/>
  <c r="K1955" i="6"/>
  <c r="K1956" i="6"/>
  <c r="K1957" i="6"/>
  <c r="K1958" i="6"/>
  <c r="K1959" i="6"/>
  <c r="K1960" i="6"/>
  <c r="K1961" i="6"/>
  <c r="K1962" i="6"/>
  <c r="K1963" i="6"/>
  <c r="K1964" i="6"/>
  <c r="K1965" i="6"/>
  <c r="K1966" i="6"/>
  <c r="K1967" i="6"/>
  <c r="K1968" i="6"/>
  <c r="K1969" i="6"/>
  <c r="K1970" i="6"/>
  <c r="K1971" i="6"/>
  <c r="K1972" i="6"/>
  <c r="K1973" i="6"/>
  <c r="K1974" i="6"/>
  <c r="K1975" i="6"/>
  <c r="K1976" i="6"/>
  <c r="K1977" i="6"/>
  <c r="K1978" i="6"/>
  <c r="K1979" i="6"/>
  <c r="K1980" i="6"/>
  <c r="K1981" i="6"/>
  <c r="K1982" i="6"/>
  <c r="K1983" i="6"/>
  <c r="K1984" i="6"/>
  <c r="K1985" i="6"/>
  <c r="K1986" i="6"/>
  <c r="K1987" i="6"/>
  <c r="K1988" i="6"/>
  <c r="K1989" i="6"/>
  <c r="K1990" i="6"/>
  <c r="K1991" i="6"/>
  <c r="K1992" i="6"/>
  <c r="K1993" i="6"/>
  <c r="K1994" i="6"/>
  <c r="K1995" i="6"/>
  <c r="K1996" i="6"/>
  <c r="K1997" i="6"/>
  <c r="K1998" i="6"/>
  <c r="K1999" i="6"/>
  <c r="K2000" i="6"/>
  <c r="K2001" i="6"/>
  <c r="K2002" i="6"/>
  <c r="K2003" i="6"/>
  <c r="K2004" i="6"/>
  <c r="K2005" i="6"/>
  <c r="K2006" i="6"/>
  <c r="K2007" i="6"/>
  <c r="K2008" i="6"/>
  <c r="K2009" i="6"/>
  <c r="K2010" i="6"/>
  <c r="K2011" i="6"/>
  <c r="K2012" i="6"/>
  <c r="K2013" i="6"/>
  <c r="K2014" i="6"/>
  <c r="K2015" i="6"/>
  <c r="K2016" i="6"/>
  <c r="K2017" i="6"/>
  <c r="K2018" i="6"/>
  <c r="K2019" i="6"/>
  <c r="K2020" i="6"/>
  <c r="K2021" i="6"/>
  <c r="K2022" i="6"/>
  <c r="K2023" i="6"/>
  <c r="K2024" i="6"/>
  <c r="K2025" i="6"/>
  <c r="K2026" i="6"/>
  <c r="K2027" i="6"/>
  <c r="K2028" i="6"/>
  <c r="K2029" i="6"/>
  <c r="K2030" i="6"/>
  <c r="K2031" i="6"/>
  <c r="K2032" i="6"/>
  <c r="K2033" i="6"/>
  <c r="K2034" i="6"/>
  <c r="K2035" i="6"/>
  <c r="K2036" i="6"/>
  <c r="K2037" i="6"/>
  <c r="K2038" i="6"/>
  <c r="K2039" i="6"/>
  <c r="K2040" i="6"/>
  <c r="K2041" i="6"/>
  <c r="K2042" i="6"/>
  <c r="K2043" i="6"/>
  <c r="K2044" i="6"/>
  <c r="K2045" i="6"/>
  <c r="K2046" i="6"/>
  <c r="K2047" i="6"/>
  <c r="K2048" i="6"/>
  <c r="K2049" i="6"/>
  <c r="K2050" i="6"/>
  <c r="K2051" i="6"/>
  <c r="K2052" i="6"/>
  <c r="K2053" i="6"/>
  <c r="K2054" i="6"/>
  <c r="K2055" i="6"/>
  <c r="K2056" i="6"/>
  <c r="K2057" i="6"/>
  <c r="K2058" i="6"/>
  <c r="K2059" i="6"/>
  <c r="K2060" i="6"/>
  <c r="K2061" i="6"/>
  <c r="K2062" i="6"/>
  <c r="K2063" i="6"/>
  <c r="K2064" i="6"/>
  <c r="K2065" i="6"/>
  <c r="K2066" i="6"/>
  <c r="K2067" i="6"/>
  <c r="K2068" i="6"/>
  <c r="K2069" i="6"/>
  <c r="K2070" i="6"/>
  <c r="K2071" i="6"/>
  <c r="K2072" i="6"/>
  <c r="K2073" i="6"/>
  <c r="K2074" i="6"/>
  <c r="K2075" i="6"/>
  <c r="K2076" i="6"/>
  <c r="K2077" i="6"/>
  <c r="K2078" i="6"/>
  <c r="K2079" i="6"/>
  <c r="K2080" i="6"/>
  <c r="K2081" i="6"/>
  <c r="K2082" i="6"/>
  <c r="K2083" i="6"/>
  <c r="K2084" i="6"/>
  <c r="K2085" i="6"/>
  <c r="K2086" i="6"/>
  <c r="K2087" i="6"/>
  <c r="K2088" i="6"/>
  <c r="K2089" i="6"/>
  <c r="K2090" i="6"/>
  <c r="K2091" i="6"/>
  <c r="K2092" i="6"/>
  <c r="K2093" i="6"/>
  <c r="K2094" i="6"/>
  <c r="K2095" i="6"/>
  <c r="K2096" i="6"/>
  <c r="K2097" i="6"/>
  <c r="K2098" i="6"/>
  <c r="K2099" i="6"/>
  <c r="K2100" i="6"/>
  <c r="K2101" i="6"/>
  <c r="K2102" i="6"/>
  <c r="K2103" i="6"/>
  <c r="K2104" i="6"/>
  <c r="K2105" i="6"/>
  <c r="K2106" i="6"/>
  <c r="K2107" i="6"/>
  <c r="K2108" i="6"/>
  <c r="K2109" i="6"/>
  <c r="K2110" i="6"/>
  <c r="K2111" i="6"/>
  <c r="K2112" i="6"/>
  <c r="K2113" i="6"/>
  <c r="K2114" i="6"/>
  <c r="K2115" i="6"/>
  <c r="K2116" i="6"/>
  <c r="K2117" i="6"/>
  <c r="K2118" i="6"/>
  <c r="K2119" i="6"/>
  <c r="K2120" i="6"/>
  <c r="K2121" i="6"/>
  <c r="K2122" i="6"/>
  <c r="K2123" i="6"/>
  <c r="K2124" i="6"/>
  <c r="K2125" i="6"/>
  <c r="K2126" i="6"/>
  <c r="K2127" i="6"/>
  <c r="K2128" i="6"/>
  <c r="K2129" i="6"/>
  <c r="K2130" i="6"/>
  <c r="K2131" i="6"/>
  <c r="K2132" i="6"/>
  <c r="K2133" i="6"/>
  <c r="K2134" i="6"/>
  <c r="K2135" i="6"/>
  <c r="K2136" i="6"/>
  <c r="K2137" i="6"/>
  <c r="K2138" i="6"/>
  <c r="K2139" i="6"/>
  <c r="K2140" i="6"/>
  <c r="K2141" i="6"/>
  <c r="K2142" i="6"/>
  <c r="K2143" i="6"/>
  <c r="K2144" i="6"/>
  <c r="K2145" i="6"/>
  <c r="K2146" i="6"/>
  <c r="K2147" i="6"/>
  <c r="K2148" i="6"/>
  <c r="K2149" i="6"/>
  <c r="K2150" i="6"/>
  <c r="K2151" i="6"/>
  <c r="K2152" i="6"/>
  <c r="K2153" i="6"/>
  <c r="K2154" i="6"/>
  <c r="K2155" i="6"/>
  <c r="K2156" i="6"/>
  <c r="K2157" i="6"/>
  <c r="K2158" i="6"/>
  <c r="K2159" i="6"/>
  <c r="K2160" i="6"/>
  <c r="K2161" i="6"/>
  <c r="K2162" i="6"/>
  <c r="K2163" i="6"/>
  <c r="K2164" i="6"/>
  <c r="K2165" i="6"/>
  <c r="K2166" i="6"/>
  <c r="K2167" i="6"/>
  <c r="K2168" i="6"/>
  <c r="K2169" i="6"/>
  <c r="K2170" i="6"/>
  <c r="K2171" i="6"/>
  <c r="K2172" i="6"/>
  <c r="K2173" i="6"/>
  <c r="K2174" i="6"/>
  <c r="K2175" i="6"/>
  <c r="K2176" i="6"/>
  <c r="K2177" i="6"/>
  <c r="K2178" i="6"/>
  <c r="K2179" i="6"/>
  <c r="K2180" i="6"/>
  <c r="K2181" i="6"/>
  <c r="K2182" i="6"/>
  <c r="K2183" i="6"/>
  <c r="K2184" i="6"/>
  <c r="K2185" i="6"/>
  <c r="K2186" i="6"/>
  <c r="K2187" i="6"/>
  <c r="K2188" i="6"/>
  <c r="K2189" i="6"/>
  <c r="K2190" i="6"/>
  <c r="K2191" i="6"/>
  <c r="K2192" i="6"/>
  <c r="K2193" i="6"/>
  <c r="K2194" i="6"/>
  <c r="K2195" i="6"/>
  <c r="K2196" i="6"/>
  <c r="K2197" i="6"/>
  <c r="K2198" i="6"/>
  <c r="K2199" i="6"/>
  <c r="K2200" i="6"/>
  <c r="K2201" i="6"/>
  <c r="K2202" i="6"/>
  <c r="K2203" i="6"/>
  <c r="K2204" i="6"/>
  <c r="K2205" i="6"/>
  <c r="K2206" i="6"/>
  <c r="K2207" i="6"/>
  <c r="K2208" i="6"/>
  <c r="K2209" i="6"/>
  <c r="K2210" i="6"/>
  <c r="K2211" i="6"/>
  <c r="K2212" i="6"/>
  <c r="K2213" i="6"/>
  <c r="K2214" i="6"/>
  <c r="K2215" i="6"/>
  <c r="K2216" i="6"/>
  <c r="K2217" i="6"/>
  <c r="K2218" i="6"/>
  <c r="K2219" i="6"/>
  <c r="K2220" i="6"/>
  <c r="K2221" i="6"/>
  <c r="K2222" i="6"/>
  <c r="K2223" i="6"/>
  <c r="K2224" i="6"/>
  <c r="K2225" i="6"/>
  <c r="K2226" i="6"/>
  <c r="K2227" i="6"/>
  <c r="K2228" i="6"/>
  <c r="K2229" i="6"/>
  <c r="K2230" i="6"/>
  <c r="K2231" i="6"/>
  <c r="K2232" i="6"/>
  <c r="K2233" i="6"/>
  <c r="K2234" i="6"/>
  <c r="K2235" i="6"/>
  <c r="K2236" i="6"/>
  <c r="K2237" i="6"/>
  <c r="K2238" i="6"/>
  <c r="K2239" i="6"/>
  <c r="K2240" i="6"/>
  <c r="K2241" i="6"/>
  <c r="K2242" i="6"/>
  <c r="K2243" i="6"/>
  <c r="K2244" i="6"/>
  <c r="K2245" i="6"/>
  <c r="K2246" i="6"/>
  <c r="K2247" i="6"/>
  <c r="K2248" i="6"/>
  <c r="K2249" i="6"/>
  <c r="K2250" i="6"/>
  <c r="K2251" i="6"/>
  <c r="K2252" i="6"/>
  <c r="K2253" i="6"/>
  <c r="K2254" i="6"/>
  <c r="K2255" i="6"/>
  <c r="K2256" i="6"/>
  <c r="K2257" i="6"/>
  <c r="K2258" i="6"/>
  <c r="K2259" i="6"/>
  <c r="K2260" i="6"/>
  <c r="K2261" i="6"/>
  <c r="K2262" i="6"/>
  <c r="K2263" i="6"/>
  <c r="K2264" i="6"/>
  <c r="K2265" i="6"/>
  <c r="K2266" i="6"/>
  <c r="K2267" i="6"/>
  <c r="K2268" i="6"/>
  <c r="K2269" i="6"/>
  <c r="K2270" i="6"/>
  <c r="K2271" i="6"/>
  <c r="K2272" i="6"/>
  <c r="K2273" i="6"/>
  <c r="K2274" i="6"/>
  <c r="K2275" i="6"/>
  <c r="K2276" i="6"/>
  <c r="K2277" i="6"/>
  <c r="K2278" i="6"/>
  <c r="K2279" i="6"/>
  <c r="K2280" i="6"/>
  <c r="K2281" i="6"/>
  <c r="K2282" i="6"/>
  <c r="K2283" i="6"/>
  <c r="K2284" i="6"/>
  <c r="K2285" i="6"/>
  <c r="K2286" i="6"/>
  <c r="K2287" i="6"/>
  <c r="K2288" i="6"/>
  <c r="K2289" i="6"/>
  <c r="K2290" i="6"/>
  <c r="K2291" i="6"/>
  <c r="K2292" i="6"/>
  <c r="K2293" i="6"/>
  <c r="K2294" i="6"/>
  <c r="K2295" i="6"/>
  <c r="K2296" i="6"/>
  <c r="K2297" i="6"/>
  <c r="K2298" i="6"/>
  <c r="K2299" i="6"/>
  <c r="K2300" i="6"/>
  <c r="K2301" i="6"/>
  <c r="K2302" i="6"/>
  <c r="K2303" i="6"/>
  <c r="K2304" i="6"/>
  <c r="K2305" i="6"/>
  <c r="K2306" i="6"/>
  <c r="K2307" i="6"/>
  <c r="K2308" i="6"/>
  <c r="K2309" i="6"/>
  <c r="K2310" i="6"/>
  <c r="K2311" i="6"/>
  <c r="K2312" i="6"/>
  <c r="K2313" i="6"/>
  <c r="K2314" i="6"/>
  <c r="K2315" i="6"/>
  <c r="K2316" i="6"/>
  <c r="K2317" i="6"/>
  <c r="K2318" i="6"/>
  <c r="K2319" i="6"/>
  <c r="K2320" i="6"/>
  <c r="K2321" i="6"/>
  <c r="K2322" i="6"/>
  <c r="K2323" i="6"/>
  <c r="K2324" i="6"/>
  <c r="K2325" i="6"/>
  <c r="K2326" i="6"/>
  <c r="K2327" i="6"/>
  <c r="K2328" i="6"/>
  <c r="K2329" i="6"/>
  <c r="K2330" i="6"/>
  <c r="K2331" i="6"/>
  <c r="K2332" i="6"/>
  <c r="K2333" i="6"/>
  <c r="K2334" i="6"/>
  <c r="K2335" i="6"/>
  <c r="K2336" i="6"/>
  <c r="K2337" i="6"/>
  <c r="K2338" i="6"/>
  <c r="K2339" i="6"/>
  <c r="K2340" i="6"/>
  <c r="K2341" i="6"/>
  <c r="K2342" i="6"/>
  <c r="K2343" i="6"/>
  <c r="K2344" i="6"/>
  <c r="K2345" i="6"/>
  <c r="K2346" i="6"/>
  <c r="K2347" i="6"/>
  <c r="K2348" i="6"/>
  <c r="K2349" i="6"/>
  <c r="K2350" i="6"/>
  <c r="K2351" i="6"/>
  <c r="K2352" i="6"/>
  <c r="K2353" i="6"/>
  <c r="K2354" i="6"/>
  <c r="K2355" i="6"/>
  <c r="K2356" i="6"/>
  <c r="K2357" i="6"/>
  <c r="K2358" i="6"/>
  <c r="K2359" i="6"/>
  <c r="K2360" i="6"/>
  <c r="K2361" i="6"/>
  <c r="K2362" i="6"/>
  <c r="K2363" i="6"/>
  <c r="K2364" i="6"/>
  <c r="K2365" i="6"/>
  <c r="K2366" i="6"/>
  <c r="K2367" i="6"/>
  <c r="K2368" i="6"/>
  <c r="K2369" i="6"/>
  <c r="K2370" i="6"/>
  <c r="K2371" i="6"/>
  <c r="K2372" i="6"/>
  <c r="K2373" i="6"/>
  <c r="K2374" i="6"/>
  <c r="K2375" i="6"/>
  <c r="K2376" i="6"/>
  <c r="K2377" i="6"/>
  <c r="K2378" i="6"/>
  <c r="K2379" i="6"/>
  <c r="K2380" i="6"/>
  <c r="K2381" i="6"/>
  <c r="K2382" i="6"/>
  <c r="K2383" i="6"/>
  <c r="K2384" i="6"/>
  <c r="K2385" i="6"/>
  <c r="K2386" i="6"/>
  <c r="K2387" i="6"/>
  <c r="K2388" i="6"/>
  <c r="K2389" i="6"/>
  <c r="K2390" i="6"/>
  <c r="K2391" i="6"/>
  <c r="K2392" i="6"/>
  <c r="K2393" i="6"/>
  <c r="K2394" i="6"/>
  <c r="K2395" i="6"/>
  <c r="K2396" i="6"/>
  <c r="K2397" i="6"/>
  <c r="K2398" i="6"/>
  <c r="K2399" i="6"/>
  <c r="K2400" i="6"/>
  <c r="K2401" i="6"/>
  <c r="K2402" i="6"/>
  <c r="K2403" i="6"/>
  <c r="K2404" i="6"/>
  <c r="K2405" i="6"/>
  <c r="K2406" i="6"/>
  <c r="K2407" i="6"/>
  <c r="K2408" i="6"/>
  <c r="K2409" i="6"/>
  <c r="K2410" i="6"/>
  <c r="K2411" i="6"/>
  <c r="K2412" i="6"/>
  <c r="K2413" i="6"/>
  <c r="K2414" i="6"/>
  <c r="K2415" i="6"/>
  <c r="K2416" i="6"/>
  <c r="K2417" i="6"/>
  <c r="K2418" i="6"/>
  <c r="K2419" i="6"/>
  <c r="K2420" i="6"/>
  <c r="K2421" i="6"/>
  <c r="K2422" i="6"/>
  <c r="K2423" i="6"/>
  <c r="K2424" i="6"/>
  <c r="K2425" i="6"/>
  <c r="K2426" i="6"/>
  <c r="K2427" i="6"/>
  <c r="K2428" i="6"/>
  <c r="K2429" i="6"/>
  <c r="K2430" i="6"/>
  <c r="K2431" i="6"/>
  <c r="K2432" i="6"/>
  <c r="K2433" i="6"/>
  <c r="K2434" i="6"/>
  <c r="K2435" i="6"/>
  <c r="K2436" i="6"/>
  <c r="K2437" i="6"/>
  <c r="K2438" i="6"/>
  <c r="K2439" i="6"/>
  <c r="K2440" i="6"/>
  <c r="K2441" i="6"/>
  <c r="K2442" i="6"/>
  <c r="K2443" i="6"/>
  <c r="K2444" i="6"/>
  <c r="K2445" i="6"/>
  <c r="K2446" i="6"/>
  <c r="K2447" i="6"/>
  <c r="K2448" i="6"/>
  <c r="K2449" i="6"/>
  <c r="K2450" i="6"/>
  <c r="K2451" i="6"/>
  <c r="K2452" i="6"/>
  <c r="K2453" i="6"/>
  <c r="K2454" i="6"/>
  <c r="K2455" i="6"/>
  <c r="K2456" i="6"/>
  <c r="K2457" i="6"/>
  <c r="K2458" i="6"/>
  <c r="K2459" i="6"/>
  <c r="K2460" i="6"/>
  <c r="K2461" i="6"/>
  <c r="K2462" i="6"/>
  <c r="K2463" i="6"/>
  <c r="K2464" i="6"/>
  <c r="K2465" i="6"/>
  <c r="K2466" i="6"/>
  <c r="K2467" i="6"/>
  <c r="K2468" i="6"/>
  <c r="K2469" i="6"/>
  <c r="K2470" i="6"/>
  <c r="K2471" i="6"/>
  <c r="K2472" i="6"/>
  <c r="K2473" i="6"/>
  <c r="K2474" i="6"/>
  <c r="K2475" i="6"/>
  <c r="K2476" i="6"/>
  <c r="K2477" i="6"/>
  <c r="K2478" i="6"/>
  <c r="K2479" i="6"/>
  <c r="K2480" i="6"/>
  <c r="K2481" i="6"/>
  <c r="K2482" i="6"/>
  <c r="K2483" i="6"/>
  <c r="K2484" i="6"/>
  <c r="K2485" i="6"/>
  <c r="K2486" i="6"/>
  <c r="K2487" i="6"/>
  <c r="K2488" i="6"/>
  <c r="K2489" i="6"/>
  <c r="K2490" i="6"/>
  <c r="K2491" i="6"/>
  <c r="K2492" i="6"/>
  <c r="K2493" i="6"/>
  <c r="K2494" i="6"/>
  <c r="K2495" i="6"/>
  <c r="K2496" i="6"/>
  <c r="K2497" i="6"/>
  <c r="K2498" i="6"/>
  <c r="K2499" i="6"/>
  <c r="K2500" i="6"/>
  <c r="K2501" i="6"/>
  <c r="K2502" i="6"/>
  <c r="K2503" i="6"/>
  <c r="K2504" i="6"/>
  <c r="K2505" i="6"/>
  <c r="K2506" i="6"/>
  <c r="K2507" i="6"/>
  <c r="K2508" i="6"/>
  <c r="K2509" i="6"/>
  <c r="K2510" i="6"/>
  <c r="K2511" i="6"/>
  <c r="K2512" i="6"/>
  <c r="K2513" i="6"/>
  <c r="K2514" i="6"/>
  <c r="K2515" i="6"/>
  <c r="K2516" i="6"/>
  <c r="K2517" i="6"/>
  <c r="K2518" i="6"/>
  <c r="K2519" i="6"/>
  <c r="K2520" i="6"/>
  <c r="K2521" i="6"/>
  <c r="K2522" i="6"/>
  <c r="K2523" i="6"/>
  <c r="K2524" i="6"/>
  <c r="K2525" i="6"/>
  <c r="K2526" i="6"/>
  <c r="K2527" i="6"/>
  <c r="K2528" i="6"/>
  <c r="K2529" i="6"/>
  <c r="K2530" i="6"/>
  <c r="K2531" i="6"/>
  <c r="K2532" i="6"/>
  <c r="K2533" i="6"/>
  <c r="K2534" i="6"/>
  <c r="K2535" i="6"/>
  <c r="K2536" i="6"/>
  <c r="K2537" i="6"/>
  <c r="K2538" i="6"/>
  <c r="K2539" i="6"/>
  <c r="K2540" i="6"/>
  <c r="K2541" i="6"/>
  <c r="K2542" i="6"/>
  <c r="K2543" i="6"/>
  <c r="K2544" i="6"/>
  <c r="K2545" i="6"/>
  <c r="K2546" i="6"/>
  <c r="K2547" i="6"/>
  <c r="K2548" i="6"/>
  <c r="K2549" i="6"/>
  <c r="K2550" i="6"/>
  <c r="K2551" i="6"/>
  <c r="K2552" i="6"/>
  <c r="K2553" i="6"/>
  <c r="K2554" i="6"/>
  <c r="K2555" i="6"/>
  <c r="K2556" i="6"/>
  <c r="K2557" i="6"/>
  <c r="K2558" i="6"/>
  <c r="K2559" i="6"/>
  <c r="K2560" i="6"/>
  <c r="K2561" i="6"/>
  <c r="K2562" i="6"/>
  <c r="K2563" i="6"/>
  <c r="K2564" i="6"/>
  <c r="K2565" i="6"/>
  <c r="K2566" i="6"/>
  <c r="K2567" i="6"/>
  <c r="K2568" i="6"/>
  <c r="K2569" i="6"/>
  <c r="K2570" i="6"/>
  <c r="K2571" i="6"/>
  <c r="K2572" i="6"/>
  <c r="K2573" i="6"/>
  <c r="K2574" i="6"/>
  <c r="K2575" i="6"/>
  <c r="K2576" i="6"/>
  <c r="K2577" i="6"/>
  <c r="K2578" i="6"/>
  <c r="K2579" i="6"/>
  <c r="K2580" i="6"/>
  <c r="K2581" i="6"/>
  <c r="K2582" i="6"/>
  <c r="K2583" i="6"/>
  <c r="K2584" i="6"/>
  <c r="K2585" i="6"/>
  <c r="K2586" i="6"/>
  <c r="K2587" i="6"/>
  <c r="K2588" i="6"/>
  <c r="K2589" i="6"/>
  <c r="K2590" i="6"/>
  <c r="K2591" i="6"/>
  <c r="K2592" i="6"/>
  <c r="K2593" i="6"/>
  <c r="K2594" i="6"/>
  <c r="K2595" i="6"/>
  <c r="K2596" i="6"/>
  <c r="K2597" i="6"/>
  <c r="K2598" i="6"/>
  <c r="K2599" i="6"/>
  <c r="K2600" i="6"/>
  <c r="K2601" i="6"/>
  <c r="K2602" i="6"/>
  <c r="K2603" i="6"/>
  <c r="K2604" i="6"/>
  <c r="K2605" i="6"/>
  <c r="K2606" i="6"/>
  <c r="K2607" i="6"/>
  <c r="K2608" i="6"/>
  <c r="K2609" i="6"/>
  <c r="K2610" i="6"/>
  <c r="K2611" i="6"/>
  <c r="K2612" i="6"/>
  <c r="K2613" i="6"/>
  <c r="K2614" i="6"/>
  <c r="K2615" i="6"/>
  <c r="K2616" i="6"/>
  <c r="K2617" i="6"/>
  <c r="K2618" i="6"/>
  <c r="K2619" i="6"/>
  <c r="K2620" i="6"/>
  <c r="K2621" i="6"/>
  <c r="K2622" i="6"/>
  <c r="K2623" i="6"/>
  <c r="K2624" i="6"/>
  <c r="K2625" i="6"/>
  <c r="K2626" i="6"/>
  <c r="K2627" i="6"/>
  <c r="K2628" i="6"/>
  <c r="K2629" i="6"/>
  <c r="K2630" i="6"/>
  <c r="K2631" i="6"/>
  <c r="K2632" i="6"/>
  <c r="K2633" i="6"/>
  <c r="K2634" i="6"/>
  <c r="K2635" i="6"/>
  <c r="K2636" i="6"/>
  <c r="K2637" i="6"/>
  <c r="K2638" i="6"/>
  <c r="K2639" i="6"/>
  <c r="K2640" i="6"/>
  <c r="K2641" i="6"/>
  <c r="K2642" i="6"/>
  <c r="K2643" i="6"/>
  <c r="K2644" i="6"/>
  <c r="K2645" i="6"/>
  <c r="K2646" i="6"/>
  <c r="K2647" i="6"/>
  <c r="K2648" i="6"/>
  <c r="K2649" i="6"/>
  <c r="K2650" i="6"/>
  <c r="K2651" i="6"/>
  <c r="K2652" i="6"/>
  <c r="K2653" i="6"/>
  <c r="K2654" i="6"/>
  <c r="K2655" i="6"/>
  <c r="K2656" i="6"/>
  <c r="K2657" i="6"/>
  <c r="K2658" i="6"/>
  <c r="K2659" i="6"/>
  <c r="K2660" i="6"/>
  <c r="K2661" i="6"/>
  <c r="K2662" i="6"/>
  <c r="K2663" i="6"/>
  <c r="K2664" i="6"/>
  <c r="K2665" i="6"/>
  <c r="K2666" i="6"/>
  <c r="K2667" i="6"/>
  <c r="K2668" i="6"/>
  <c r="K2669" i="6"/>
  <c r="K2670" i="6"/>
  <c r="K2671" i="6"/>
  <c r="K2672" i="6"/>
  <c r="K2673" i="6"/>
  <c r="K2674" i="6"/>
  <c r="K2675" i="6"/>
  <c r="K2676" i="6"/>
  <c r="K2677" i="6"/>
  <c r="K2678" i="6"/>
  <c r="K2679" i="6"/>
  <c r="K2680" i="6"/>
  <c r="K2681" i="6"/>
  <c r="K2682" i="6"/>
  <c r="K2683" i="6"/>
  <c r="K2684" i="6"/>
  <c r="K2685" i="6"/>
  <c r="K2686" i="6"/>
  <c r="K2687" i="6"/>
  <c r="K2688" i="6"/>
  <c r="K2689" i="6"/>
  <c r="K2690" i="6"/>
  <c r="K2691" i="6"/>
  <c r="K2692" i="6"/>
  <c r="K2693" i="6"/>
  <c r="K2694" i="6"/>
  <c r="K2695" i="6"/>
  <c r="K2696" i="6"/>
  <c r="K2697" i="6"/>
  <c r="K2698" i="6"/>
  <c r="K2699" i="6"/>
  <c r="K2700" i="6"/>
  <c r="K2701" i="6"/>
  <c r="K2702" i="6"/>
  <c r="K2703" i="6"/>
  <c r="K2704" i="6"/>
  <c r="K2705" i="6"/>
  <c r="K2706" i="6"/>
  <c r="K2707" i="6"/>
  <c r="K2708" i="6"/>
  <c r="K2709" i="6"/>
  <c r="K2710" i="6"/>
  <c r="K2711" i="6"/>
  <c r="K2712" i="6"/>
  <c r="K2713" i="6"/>
  <c r="K2714" i="6"/>
  <c r="K2715" i="6"/>
  <c r="K2716" i="6"/>
  <c r="K2717" i="6"/>
  <c r="K2718" i="6"/>
  <c r="K2719" i="6"/>
  <c r="K2720" i="6"/>
  <c r="K2721" i="6"/>
  <c r="K2722" i="6"/>
  <c r="K2723" i="6"/>
  <c r="K2724" i="6"/>
  <c r="K2725" i="6"/>
  <c r="K2726" i="6"/>
  <c r="K2727" i="6"/>
  <c r="K2728" i="6"/>
  <c r="K2729" i="6"/>
  <c r="K2730" i="6"/>
  <c r="K2731" i="6"/>
  <c r="K2732" i="6"/>
  <c r="K2733" i="6"/>
  <c r="K2734" i="6"/>
  <c r="K2735" i="6"/>
  <c r="K2736" i="6"/>
  <c r="K2737" i="6"/>
  <c r="K2738" i="6"/>
  <c r="K2739" i="6"/>
  <c r="K2740" i="6"/>
  <c r="K2741" i="6"/>
  <c r="K2742" i="6"/>
  <c r="K2743" i="6"/>
  <c r="K2744" i="6"/>
  <c r="K2745" i="6"/>
  <c r="K2746" i="6"/>
  <c r="K2747" i="6"/>
  <c r="K2748" i="6"/>
  <c r="K2749" i="6"/>
  <c r="K2750" i="6"/>
  <c r="K2751" i="6"/>
  <c r="K2752" i="6"/>
  <c r="K2753" i="6"/>
  <c r="K2754" i="6"/>
  <c r="K2755" i="6"/>
  <c r="K2756" i="6"/>
  <c r="K2757" i="6"/>
  <c r="K2758" i="6"/>
  <c r="K2759" i="6"/>
  <c r="K2760" i="6"/>
  <c r="K2761" i="6"/>
  <c r="K2762" i="6"/>
  <c r="K2763" i="6"/>
  <c r="K2764" i="6"/>
  <c r="K2765" i="6"/>
  <c r="K2766" i="6"/>
  <c r="K2767" i="6"/>
  <c r="K2768" i="6"/>
  <c r="K2769" i="6"/>
  <c r="K2770" i="6"/>
  <c r="K2771" i="6"/>
  <c r="K2772" i="6"/>
  <c r="K2773" i="6"/>
  <c r="K2774" i="6"/>
  <c r="K2775" i="6"/>
  <c r="K2776" i="6"/>
  <c r="K2777" i="6"/>
  <c r="K2778" i="6"/>
  <c r="K2779" i="6"/>
  <c r="K2780" i="6"/>
  <c r="K2781" i="6"/>
  <c r="K2782" i="6"/>
  <c r="K2783" i="6"/>
  <c r="K2784" i="6"/>
  <c r="K2785" i="6"/>
  <c r="K2786" i="6"/>
  <c r="K2787" i="6"/>
  <c r="K2788" i="6"/>
  <c r="K2789" i="6"/>
  <c r="K2790" i="6"/>
  <c r="K2791" i="6"/>
  <c r="K2792" i="6"/>
  <c r="K2793" i="6"/>
  <c r="K2794" i="6"/>
  <c r="K2795" i="6"/>
  <c r="K2796" i="6"/>
  <c r="K2797" i="6"/>
  <c r="K2798" i="6"/>
  <c r="K2799" i="6"/>
  <c r="K2800" i="6"/>
  <c r="K2801" i="6"/>
  <c r="K2802" i="6"/>
  <c r="K2803" i="6"/>
  <c r="K2804" i="6"/>
  <c r="K2805" i="6"/>
  <c r="K2806" i="6"/>
  <c r="K2807" i="6"/>
  <c r="K2808" i="6"/>
  <c r="K2809" i="6"/>
  <c r="K2810" i="6"/>
  <c r="K2811" i="6"/>
  <c r="K2812" i="6"/>
  <c r="K2813" i="6"/>
  <c r="K2814" i="6"/>
  <c r="K2815" i="6"/>
  <c r="K2816" i="6"/>
  <c r="K2817" i="6"/>
  <c r="K2818" i="6"/>
  <c r="K2819" i="6"/>
  <c r="K2820" i="6"/>
  <c r="K2821" i="6"/>
  <c r="K2822" i="6"/>
  <c r="K2823" i="6"/>
  <c r="K2824" i="6"/>
  <c r="K2825" i="6"/>
  <c r="K2826" i="6"/>
  <c r="K2827" i="6"/>
  <c r="K2828" i="6"/>
  <c r="K2829" i="6"/>
  <c r="K2830" i="6"/>
  <c r="K2831" i="6"/>
  <c r="K2832" i="6"/>
  <c r="K2833" i="6"/>
  <c r="K2834" i="6"/>
  <c r="K2835" i="6"/>
  <c r="K2836" i="6"/>
  <c r="K2837" i="6"/>
  <c r="K2838" i="6"/>
  <c r="K2839" i="6"/>
  <c r="K2840" i="6"/>
  <c r="K2841" i="6"/>
  <c r="K2842" i="6"/>
  <c r="K2843" i="6"/>
  <c r="K2844" i="6"/>
  <c r="K2845" i="6"/>
  <c r="K2846" i="6"/>
  <c r="K2847" i="6"/>
  <c r="K2848" i="6"/>
  <c r="K2849" i="6"/>
  <c r="K2850" i="6"/>
  <c r="K2851" i="6"/>
  <c r="K2852" i="6"/>
  <c r="K2853" i="6"/>
  <c r="K2854" i="6"/>
  <c r="K2855" i="6"/>
  <c r="K2856" i="6"/>
  <c r="K2857" i="6"/>
  <c r="K2858" i="6"/>
  <c r="K2859" i="6"/>
  <c r="K2860" i="6"/>
  <c r="K2861" i="6"/>
  <c r="K2862" i="6"/>
  <c r="K2863" i="6"/>
  <c r="K2864" i="6"/>
  <c r="K2865" i="6"/>
  <c r="K2866" i="6"/>
  <c r="K2867" i="6"/>
  <c r="K2868" i="6"/>
  <c r="K2869" i="6"/>
  <c r="K2870" i="6"/>
  <c r="K2871" i="6"/>
  <c r="K2872" i="6"/>
  <c r="K2873" i="6"/>
  <c r="K2874" i="6"/>
  <c r="K2875" i="6"/>
  <c r="K2876" i="6"/>
  <c r="K2877" i="6"/>
  <c r="K2878" i="6"/>
  <c r="K2879" i="6"/>
  <c r="K2880" i="6"/>
  <c r="K2881" i="6"/>
  <c r="K2882" i="6"/>
  <c r="K2883" i="6"/>
  <c r="K2884" i="6"/>
  <c r="K2885" i="6"/>
  <c r="K2886" i="6"/>
  <c r="K2887" i="6"/>
  <c r="K2888" i="6"/>
  <c r="K2889" i="6"/>
  <c r="K2890" i="6"/>
  <c r="K2891" i="6"/>
  <c r="K2892" i="6"/>
  <c r="K2893" i="6"/>
  <c r="K2894" i="6"/>
  <c r="K2895" i="6"/>
  <c r="K2896" i="6"/>
  <c r="K2897" i="6"/>
  <c r="K2898" i="6"/>
  <c r="K2899" i="6"/>
  <c r="K2900" i="6"/>
  <c r="K2901" i="6"/>
  <c r="K2902" i="6"/>
  <c r="K2903" i="6"/>
  <c r="K2904" i="6"/>
  <c r="K2905" i="6"/>
  <c r="K2906" i="6"/>
  <c r="K2907" i="6"/>
  <c r="K2908" i="6"/>
  <c r="K2909" i="6"/>
  <c r="K2910" i="6"/>
  <c r="K2911" i="6"/>
  <c r="K2912" i="6"/>
  <c r="K2913" i="6"/>
  <c r="K2914" i="6"/>
  <c r="K2915" i="6"/>
  <c r="K2916" i="6"/>
  <c r="K2917" i="6"/>
  <c r="K2918" i="6"/>
  <c r="K2919" i="6"/>
  <c r="K2920" i="6"/>
  <c r="K2921" i="6"/>
  <c r="K2922" i="6"/>
  <c r="K2923" i="6"/>
  <c r="K2924" i="6"/>
  <c r="K2925" i="6"/>
  <c r="K2926" i="6"/>
  <c r="K2927" i="6"/>
  <c r="K2928" i="6"/>
  <c r="K2929" i="6"/>
  <c r="K2930" i="6"/>
  <c r="K2931" i="6"/>
  <c r="K2932" i="6"/>
  <c r="K2933" i="6"/>
  <c r="K2934" i="6"/>
  <c r="K2935" i="6"/>
  <c r="K2936" i="6"/>
  <c r="K2937" i="6"/>
  <c r="K2938" i="6"/>
  <c r="K2939" i="6"/>
  <c r="K2940" i="6"/>
  <c r="K2941" i="6"/>
  <c r="K2942" i="6"/>
  <c r="K2943" i="6"/>
  <c r="K2944" i="6"/>
  <c r="K2945" i="6"/>
  <c r="K2946" i="6"/>
  <c r="K2947" i="6"/>
  <c r="K2948" i="6"/>
  <c r="K2949" i="6"/>
  <c r="K2950" i="6"/>
  <c r="K2951" i="6"/>
  <c r="K2952" i="6"/>
  <c r="K2953" i="6"/>
  <c r="K2954" i="6"/>
  <c r="K2955" i="6"/>
  <c r="K2956" i="6"/>
  <c r="K2957" i="6"/>
  <c r="K2958" i="6"/>
  <c r="K2959" i="6"/>
  <c r="K2960" i="6"/>
  <c r="K2961" i="6"/>
  <c r="K2962" i="6"/>
  <c r="K2963" i="6"/>
  <c r="K2964" i="6"/>
  <c r="K2965" i="6"/>
  <c r="K2966" i="6"/>
  <c r="K2967" i="6"/>
  <c r="K2968" i="6"/>
  <c r="K2969" i="6"/>
  <c r="K2970" i="6"/>
  <c r="K2971" i="6"/>
  <c r="K2972" i="6"/>
  <c r="K2973" i="6"/>
  <c r="K2974" i="6"/>
  <c r="K2975" i="6"/>
  <c r="K2976" i="6"/>
  <c r="K2977" i="6"/>
  <c r="K2978" i="6"/>
  <c r="K2979" i="6"/>
  <c r="K2980" i="6"/>
  <c r="K2981" i="6"/>
  <c r="K2982" i="6"/>
  <c r="K2983" i="6"/>
  <c r="K2984" i="6"/>
  <c r="K2985" i="6"/>
  <c r="K2986" i="6"/>
  <c r="K2987" i="6"/>
  <c r="K2988" i="6"/>
  <c r="K2989" i="6"/>
  <c r="K2990" i="6"/>
  <c r="K2991" i="6"/>
  <c r="K2992" i="6"/>
  <c r="K2993" i="6"/>
  <c r="K2994" i="6"/>
  <c r="K2995" i="6"/>
  <c r="K2996" i="6"/>
  <c r="K2997" i="6"/>
  <c r="K2998" i="6"/>
  <c r="K2999" i="6"/>
  <c r="K3000" i="6"/>
  <c r="K3001" i="6"/>
  <c r="K3002" i="6"/>
  <c r="K3003" i="6"/>
  <c r="K3004" i="6"/>
  <c r="K3005" i="6"/>
  <c r="K3006" i="6"/>
  <c r="K3007" i="6"/>
  <c r="K3008" i="6"/>
  <c r="K3009" i="6"/>
  <c r="K3010" i="6"/>
  <c r="K3011" i="6"/>
  <c r="K3012" i="6"/>
  <c r="K3013" i="6"/>
  <c r="K3014" i="6"/>
  <c r="K3015" i="6"/>
  <c r="K3016" i="6"/>
  <c r="K3017" i="6"/>
  <c r="K3018" i="6"/>
  <c r="K3019" i="6"/>
  <c r="K3020" i="6"/>
  <c r="K3021" i="6"/>
  <c r="K3022" i="6"/>
  <c r="K3023" i="6"/>
  <c r="K3024" i="6"/>
  <c r="K3025" i="6"/>
  <c r="K3026" i="6"/>
  <c r="K3027" i="6"/>
  <c r="K3028" i="6"/>
  <c r="K3029" i="6"/>
  <c r="K3030" i="6"/>
  <c r="K3031" i="6"/>
  <c r="K3032" i="6"/>
  <c r="K3033" i="6"/>
  <c r="K3034" i="6"/>
  <c r="K3035" i="6"/>
  <c r="K3036" i="6"/>
  <c r="K3037" i="6"/>
  <c r="K3038" i="6"/>
  <c r="K3039" i="6"/>
  <c r="K3040" i="6"/>
  <c r="K3041" i="6"/>
  <c r="K3042" i="6"/>
  <c r="K3043" i="6"/>
  <c r="K3044" i="6"/>
  <c r="K3045" i="6"/>
  <c r="K3046" i="6"/>
  <c r="K3047" i="6"/>
  <c r="K3048" i="6"/>
  <c r="K3049" i="6"/>
  <c r="K3050" i="6"/>
  <c r="K3051" i="6"/>
  <c r="K3052" i="6"/>
  <c r="K3053" i="6"/>
  <c r="K3054" i="6"/>
  <c r="K3055" i="6"/>
  <c r="K3056" i="6"/>
  <c r="K3057" i="6"/>
  <c r="K3058" i="6"/>
  <c r="K3059" i="6"/>
  <c r="K3060" i="6"/>
  <c r="K3061" i="6"/>
  <c r="K3062" i="6"/>
  <c r="K3063" i="6"/>
  <c r="K3064" i="6"/>
  <c r="K3065" i="6"/>
  <c r="K3066" i="6"/>
  <c r="K3067" i="6"/>
  <c r="K3068" i="6"/>
  <c r="K3069" i="6"/>
  <c r="K3070" i="6"/>
  <c r="K3071" i="6"/>
  <c r="K3072" i="6"/>
  <c r="K3073" i="6"/>
  <c r="K3074" i="6"/>
  <c r="K3075" i="6"/>
  <c r="K3076" i="6"/>
  <c r="K3077" i="6"/>
  <c r="K3078" i="6"/>
  <c r="K3079" i="6"/>
  <c r="K3080" i="6"/>
  <c r="K3081" i="6"/>
  <c r="K3082" i="6"/>
  <c r="K3083" i="6"/>
  <c r="K3084" i="6"/>
  <c r="K3085" i="6"/>
  <c r="K3086" i="6"/>
  <c r="K3087" i="6"/>
  <c r="K3088" i="6"/>
  <c r="K3089" i="6"/>
  <c r="K3090" i="6"/>
  <c r="K3091" i="6"/>
  <c r="K3092" i="6"/>
  <c r="K3093" i="6"/>
  <c r="K3094" i="6"/>
  <c r="K3095" i="6"/>
  <c r="K3096" i="6"/>
  <c r="K3097" i="6"/>
  <c r="K3098" i="6"/>
  <c r="K3099" i="6"/>
  <c r="K3100" i="6"/>
  <c r="K3101" i="6"/>
  <c r="K3102" i="6"/>
  <c r="K3103" i="6"/>
  <c r="K3104" i="6"/>
  <c r="K3105" i="6"/>
  <c r="K3106" i="6"/>
  <c r="K3107" i="6"/>
  <c r="K3108" i="6"/>
  <c r="K3109" i="6"/>
  <c r="K3110" i="6"/>
  <c r="K3111" i="6"/>
  <c r="K3112" i="6"/>
  <c r="K3113" i="6"/>
  <c r="K3114" i="6"/>
  <c r="K3115" i="6"/>
  <c r="K3116" i="6"/>
  <c r="K3117" i="6"/>
  <c r="K3118" i="6"/>
  <c r="K3119" i="6"/>
  <c r="K3120" i="6"/>
  <c r="K3121" i="6"/>
  <c r="K3122" i="6"/>
  <c r="K3123" i="6"/>
  <c r="K3124" i="6"/>
  <c r="K3125" i="6"/>
  <c r="K3126" i="6"/>
  <c r="K3127" i="6"/>
  <c r="K3128" i="6"/>
  <c r="K3129" i="6"/>
  <c r="K3130" i="6"/>
  <c r="K3131" i="6"/>
  <c r="K3132" i="6"/>
  <c r="K3133" i="6"/>
  <c r="K3134" i="6"/>
  <c r="K3135" i="6"/>
  <c r="K3136" i="6"/>
  <c r="K3137" i="6"/>
  <c r="K3138" i="6"/>
  <c r="K3139" i="6"/>
  <c r="K3140" i="6"/>
  <c r="K3141" i="6"/>
  <c r="K3142" i="6"/>
  <c r="K3143" i="6"/>
  <c r="K3144" i="6"/>
  <c r="K3145" i="6"/>
  <c r="K3146" i="6"/>
  <c r="K3147" i="6"/>
  <c r="K3148" i="6"/>
  <c r="K3149" i="6"/>
  <c r="K3150" i="6"/>
  <c r="K3151" i="6"/>
  <c r="K3152" i="6"/>
  <c r="K3153" i="6"/>
  <c r="K3154" i="6"/>
  <c r="K3155" i="6"/>
  <c r="K3156" i="6"/>
  <c r="K3157" i="6"/>
  <c r="K3158" i="6"/>
  <c r="K3159" i="6"/>
  <c r="K3160" i="6"/>
  <c r="K3161" i="6"/>
  <c r="K3162" i="6"/>
  <c r="G281" i="5"/>
  <c r="H281" i="5"/>
  <c r="L281" i="5"/>
  <c r="O281" i="5"/>
  <c r="P281" i="5"/>
  <c r="Q281" i="5"/>
  <c r="R281" i="5" s="1"/>
  <c r="S281" i="5" s="1"/>
  <c r="G280" i="5"/>
  <c r="H280" i="5"/>
  <c r="L280" i="5"/>
  <c r="O280" i="5"/>
  <c r="P280" i="5"/>
  <c r="Q280" i="5"/>
  <c r="R280" i="5" s="1"/>
  <c r="S280" i="5" s="1"/>
  <c r="DB20" i="22" a="1"/>
  <c r="DB21" i="22" a="1"/>
  <c r="DB22" i="22" a="1"/>
  <c r="DB23" i="22" a="1"/>
  <c r="G279" i="5"/>
  <c r="H279" i="5"/>
  <c r="L279" i="5" s="1"/>
  <c r="O279" i="5"/>
  <c r="P279" i="5"/>
  <c r="Q279" i="5"/>
  <c r="R279" i="5" s="1"/>
  <c r="DB17" i="22" a="1"/>
  <c r="DB18" i="22" a="1"/>
  <c r="DB19" i="22" a="1"/>
  <c r="G278" i="5"/>
  <c r="H278" i="5"/>
  <c r="L278" i="5" s="1"/>
  <c r="O278" i="5"/>
  <c r="P278" i="5"/>
  <c r="Q278" i="5"/>
  <c r="R278" i="5" s="1"/>
  <c r="G277" i="5"/>
  <c r="H277" i="5"/>
  <c r="L277" i="5" s="1"/>
  <c r="O277" i="5"/>
  <c r="P277" i="5"/>
  <c r="Q277" i="5"/>
  <c r="R277" i="5" s="1"/>
  <c r="G276" i="5"/>
  <c r="H276" i="5"/>
  <c r="L276" i="5" s="1"/>
  <c r="O276" i="5"/>
  <c r="P276" i="5"/>
  <c r="Q276" i="5"/>
  <c r="R276" i="5" s="1"/>
  <c r="G275" i="5"/>
  <c r="H275" i="5"/>
  <c r="L275" i="5" s="1"/>
  <c r="O275" i="5"/>
  <c r="P275" i="5"/>
  <c r="Q275" i="5"/>
  <c r="R275" i="5" s="1"/>
  <c r="G274" i="5"/>
  <c r="H274" i="5"/>
  <c r="L274" i="5" s="1"/>
  <c r="O274" i="5"/>
  <c r="P274" i="5"/>
  <c r="Q274" i="5"/>
  <c r="R274" i="5" s="1"/>
  <c r="G273" i="5"/>
  <c r="H273" i="5"/>
  <c r="O273" i="5"/>
  <c r="P273" i="5"/>
  <c r="Q273" i="5"/>
  <c r="R273" i="5" s="1"/>
  <c r="G272" i="5"/>
  <c r="H272" i="5"/>
  <c r="O272" i="5"/>
  <c r="P272" i="5"/>
  <c r="Q272" i="5"/>
  <c r="R272" i="5" s="1"/>
  <c r="G271" i="5"/>
  <c r="H271" i="5"/>
  <c r="O271" i="5"/>
  <c r="P271" i="5"/>
  <c r="Q271" i="5"/>
  <c r="R271" i="5" s="1"/>
  <c r="G270" i="5"/>
  <c r="H270" i="5"/>
  <c r="O270" i="5"/>
  <c r="P270" i="5"/>
  <c r="Q270" i="5"/>
  <c r="R270" i="5" s="1"/>
  <c r="G267" i="5"/>
  <c r="G268" i="5"/>
  <c r="G269" i="5"/>
  <c r="H267" i="5"/>
  <c r="H268" i="5"/>
  <c r="H269" i="5"/>
  <c r="O267" i="5"/>
  <c r="O268" i="5"/>
  <c r="O269" i="5"/>
  <c r="P267" i="5"/>
  <c r="P268" i="5"/>
  <c r="P269" i="5"/>
  <c r="Q267" i="5"/>
  <c r="R267" i="5" s="1"/>
  <c r="Q268" i="5"/>
  <c r="R268" i="5" s="1"/>
  <c r="Q269" i="5"/>
  <c r="R269" i="5" s="1"/>
  <c r="U18" i="21"/>
  <c r="M18" i="21"/>
  <c r="G266" i="5"/>
  <c r="H266" i="5"/>
  <c r="O266" i="5"/>
  <c r="P266" i="5"/>
  <c r="Q266" i="5"/>
  <c r="R266" i="5" s="1"/>
  <c r="G265" i="5"/>
  <c r="H265" i="5"/>
  <c r="O265" i="5"/>
  <c r="P265" i="5"/>
  <c r="Q265" i="5"/>
  <c r="R265" i="5" s="1"/>
  <c r="G264" i="5"/>
  <c r="H264" i="5"/>
  <c r="O264" i="5"/>
  <c r="P264" i="5"/>
  <c r="Q264" i="5"/>
  <c r="R264" i="5" s="1"/>
  <c r="G263" i="5"/>
  <c r="H263" i="5"/>
  <c r="O263" i="5"/>
  <c r="P263" i="5"/>
  <c r="Q263" i="5"/>
  <c r="R263" i="5" s="1"/>
  <c r="G262" i="5"/>
  <c r="H262" i="5"/>
  <c r="O262" i="5"/>
  <c r="P262" i="5"/>
  <c r="Q262" i="5"/>
  <c r="R262" i="5" s="1"/>
  <c r="G261" i="5"/>
  <c r="H261" i="5"/>
  <c r="O261" i="5"/>
  <c r="P261" i="5"/>
  <c r="Q261" i="5"/>
  <c r="R261" i="5" s="1"/>
  <c r="G260" i="5"/>
  <c r="H260" i="5"/>
  <c r="O260" i="5"/>
  <c r="P260" i="5"/>
  <c r="Q260" i="5"/>
  <c r="R260" i="5" s="1"/>
  <c r="G259" i="5"/>
  <c r="H259" i="5"/>
  <c r="O259" i="5"/>
  <c r="P259" i="5"/>
  <c r="Q259" i="5"/>
  <c r="R259" i="5" s="1"/>
  <c r="G258" i="5"/>
  <c r="H258" i="5"/>
  <c r="O258" i="5"/>
  <c r="P258" i="5"/>
  <c r="Q258" i="5"/>
  <c r="R258" i="5" s="1"/>
  <c r="G257" i="5"/>
  <c r="H257" i="5"/>
  <c r="O257" i="5"/>
  <c r="P257" i="5"/>
  <c r="Q257" i="5"/>
  <c r="R257" i="5" s="1"/>
  <c r="G256" i="5"/>
  <c r="H256" i="5"/>
  <c r="O256" i="5"/>
  <c r="P256" i="5"/>
  <c r="Q256" i="5"/>
  <c r="R256" i="5" s="1"/>
  <c r="G255" i="5"/>
  <c r="H255" i="5"/>
  <c r="O255" i="5"/>
  <c r="P255" i="5"/>
  <c r="Q255" i="5"/>
  <c r="R255" i="5" s="1"/>
  <c r="G254" i="5"/>
  <c r="H254" i="5"/>
  <c r="O254" i="5"/>
  <c r="P254" i="5"/>
  <c r="J80" i="6" s="1"/>
  <c r="Q254" i="5"/>
  <c r="R254" i="5" s="1"/>
  <c r="G253" i="5"/>
  <c r="H253" i="5"/>
  <c r="O253" i="5"/>
  <c r="P253" i="5"/>
  <c r="Q253" i="5"/>
  <c r="R253" i="5" s="1"/>
  <c r="G252" i="5"/>
  <c r="H252" i="5"/>
  <c r="O252" i="5"/>
  <c r="P252" i="5"/>
  <c r="Q252" i="5"/>
  <c r="R252" i="5" s="1"/>
  <c r="G251" i="5"/>
  <c r="H251" i="5"/>
  <c r="O251" i="5"/>
  <c r="P251" i="5"/>
  <c r="Q251" i="5"/>
  <c r="R251" i="5" s="1"/>
  <c r="G250" i="5"/>
  <c r="H250" i="5"/>
  <c r="O250" i="5"/>
  <c r="P250" i="5"/>
  <c r="Q250" i="5"/>
  <c r="R250" i="5" s="1"/>
  <c r="G249" i="5"/>
  <c r="H249" i="5"/>
  <c r="O249" i="5"/>
  <c r="P249" i="5"/>
  <c r="Q249" i="5"/>
  <c r="R249" i="5" s="1"/>
  <c r="G248" i="5"/>
  <c r="H248" i="5"/>
  <c r="O248" i="5"/>
  <c r="P248" i="5"/>
  <c r="Q248" i="5"/>
  <c r="R248" i="5" s="1"/>
  <c r="J5" i="6" l="1"/>
  <c r="J6" i="6"/>
  <c r="J8" i="6"/>
  <c r="J14" i="6"/>
  <c r="J16" i="6"/>
  <c r="J18" i="6"/>
  <c r="J20" i="6"/>
  <c r="J22" i="6"/>
  <c r="J19" i="6"/>
  <c r="J25" i="6"/>
  <c r="J15" i="6"/>
  <c r="J21" i="6"/>
  <c r="J17" i="6"/>
  <c r="J23" i="6"/>
  <c r="J13" i="6"/>
  <c r="J7" i="6"/>
  <c r="J59" i="6"/>
  <c r="J64" i="6"/>
  <c r="J66" i="6"/>
  <c r="J81" i="6"/>
  <c r="J82" i="6"/>
  <c r="J84" i="6"/>
  <c r="J54" i="6"/>
  <c r="J88" i="6"/>
  <c r="J90" i="6"/>
  <c r="J92" i="6"/>
  <c r="J94" i="6"/>
  <c r="J65" i="6"/>
  <c r="J58" i="6"/>
  <c r="J60" i="6"/>
  <c r="J67" i="6"/>
  <c r="J24" i="6"/>
  <c r="J86" i="6"/>
  <c r="J91" i="6"/>
  <c r="J97" i="6"/>
  <c r="J95" i="6"/>
  <c r="J93" i="6"/>
  <c r="J89" i="6"/>
  <c r="J87" i="6"/>
  <c r="J85" i="6"/>
  <c r="J83" i="6"/>
  <c r="J164" i="6"/>
  <c r="J39" i="6"/>
  <c r="J181" i="6"/>
  <c r="J168" i="6"/>
  <c r="J178" i="6"/>
  <c r="J177" i="6"/>
  <c r="J179" i="6"/>
  <c r="J182" i="6"/>
  <c r="J184" i="6"/>
  <c r="J169" i="6"/>
  <c r="J167" i="6"/>
  <c r="J155" i="6"/>
  <c r="J96" i="6"/>
  <c r="J117" i="6"/>
  <c r="J119" i="6"/>
  <c r="J123" i="6"/>
  <c r="J153" i="6"/>
  <c r="J127" i="6"/>
  <c r="J125" i="6"/>
  <c r="J116" i="6"/>
  <c r="J107" i="6"/>
  <c r="J126" i="6"/>
  <c r="J128" i="6"/>
  <c r="J140" i="6"/>
  <c r="J141" i="6"/>
  <c r="J142" i="6"/>
  <c r="J154" i="6"/>
  <c r="J156" i="6"/>
  <c r="J201" i="6"/>
  <c r="J193" i="6"/>
  <c r="J195" i="6"/>
  <c r="J197" i="6"/>
  <c r="J199" i="6"/>
  <c r="J192" i="6"/>
  <c r="J194" i="6"/>
  <c r="J196" i="6"/>
  <c r="J198" i="6"/>
  <c r="J200" i="6"/>
  <c r="J202" i="6"/>
  <c r="J204" i="6"/>
  <c r="J206" i="6"/>
  <c r="J183" i="6"/>
  <c r="J186" i="6"/>
  <c r="J188" i="6"/>
  <c r="J185" i="6"/>
  <c r="J190" i="6"/>
  <c r="J187" i="6"/>
  <c r="J189" i="6"/>
  <c r="J191" i="6"/>
  <c r="J203" i="6"/>
  <c r="J205" i="6"/>
  <c r="J207" i="6"/>
  <c r="J209" i="6"/>
  <c r="J262" i="6"/>
  <c r="J264" i="6"/>
  <c r="J266" i="6"/>
  <c r="J268" i="6"/>
  <c r="J270" i="6"/>
  <c r="J272" i="6"/>
  <c r="J274" i="6"/>
  <c r="J276" i="6"/>
  <c r="J278" i="6"/>
  <c r="J208" i="6"/>
  <c r="J256" i="6"/>
  <c r="J258" i="6"/>
  <c r="J260" i="6"/>
  <c r="J257" i="6"/>
  <c r="J259" i="6"/>
  <c r="J261" i="6"/>
  <c r="J263" i="6"/>
  <c r="J265" i="6"/>
  <c r="J267" i="6"/>
  <c r="J269" i="6"/>
  <c r="J271" i="6"/>
  <c r="J273" i="6"/>
  <c r="J275" i="6"/>
  <c r="J277" i="6"/>
  <c r="J279" i="6"/>
  <c r="J281" i="6"/>
  <c r="J77" i="6"/>
  <c r="J45" i="6"/>
  <c r="J139" i="6"/>
  <c r="J159" i="6"/>
  <c r="J102" i="6"/>
  <c r="J172" i="6"/>
  <c r="J143" i="6"/>
  <c r="J220" i="6"/>
  <c r="J234" i="6"/>
  <c r="J73" i="6"/>
  <c r="J68" i="6"/>
  <c r="J61" i="6"/>
  <c r="J4" i="6"/>
  <c r="J112" i="6"/>
  <c r="J48" i="6"/>
  <c r="J217" i="6"/>
  <c r="J158" i="6"/>
  <c r="J230" i="6"/>
  <c r="J41" i="6"/>
  <c r="J132" i="6"/>
  <c r="J47" i="6"/>
  <c r="J162" i="6"/>
  <c r="J247" i="6"/>
  <c r="J103" i="6"/>
  <c r="J313" i="6"/>
  <c r="J357" i="6"/>
  <c r="J311" i="6"/>
  <c r="J38" i="6"/>
  <c r="J147" i="6"/>
  <c r="J212" i="6"/>
  <c r="J145" i="6"/>
  <c r="J70" i="6"/>
  <c r="J317" i="6"/>
  <c r="J368" i="6"/>
  <c r="J389" i="6"/>
  <c r="J387" i="6"/>
  <c r="J385" i="6"/>
  <c r="J383" i="6"/>
  <c r="J340" i="6"/>
  <c r="J371" i="6"/>
  <c r="J369" i="6"/>
  <c r="J363" i="6"/>
  <c r="J339" i="6"/>
  <c r="J337" i="6"/>
  <c r="J280" i="6"/>
  <c r="J364" i="6"/>
  <c r="J366" i="6"/>
  <c r="J370" i="6"/>
  <c r="J372" i="6"/>
  <c r="J382" i="6"/>
  <c r="J384" i="6"/>
  <c r="J386" i="6"/>
  <c r="J388" i="6"/>
  <c r="J393" i="6"/>
  <c r="J391" i="6"/>
  <c r="J365" i="6"/>
  <c r="J390" i="6"/>
  <c r="J333" i="6"/>
  <c r="J338" i="6"/>
  <c r="J422" i="6"/>
  <c r="J412" i="6"/>
  <c r="J410" i="6"/>
  <c r="J408" i="6"/>
  <c r="J418" i="6"/>
  <c r="J420" i="6"/>
  <c r="J424" i="6"/>
  <c r="J406" i="6"/>
  <c r="J404" i="6"/>
  <c r="J403" i="6"/>
  <c r="J416" i="6"/>
  <c r="J414" i="6"/>
  <c r="J392" i="6"/>
  <c r="J405" i="6"/>
  <c r="J407" i="6"/>
  <c r="J409" i="6"/>
  <c r="J411" i="6"/>
  <c r="J413" i="6"/>
  <c r="J415" i="6"/>
  <c r="J417" i="6"/>
  <c r="J419" i="6"/>
  <c r="J421" i="6"/>
  <c r="J423" i="6"/>
  <c r="J425" i="6"/>
  <c r="J427" i="6"/>
  <c r="S279" i="5"/>
  <c r="S278" i="5"/>
  <c r="S277" i="5"/>
  <c r="S276" i="5"/>
  <c r="S275" i="5"/>
  <c r="S274" i="5"/>
  <c r="S273" i="5"/>
  <c r="S272" i="5"/>
  <c r="S271" i="5"/>
  <c r="S270" i="5"/>
  <c r="S267" i="5"/>
  <c r="S268" i="5"/>
  <c r="S269" i="5"/>
  <c r="S266" i="5"/>
  <c r="S265" i="5"/>
  <c r="S264" i="5"/>
  <c r="S263" i="5"/>
  <c r="S262" i="5"/>
  <c r="S261" i="5"/>
  <c r="S260" i="5"/>
  <c r="S259" i="5"/>
  <c r="S258" i="5"/>
  <c r="S257" i="5"/>
  <c r="S256" i="5"/>
  <c r="S255" i="5"/>
  <c r="S254" i="5"/>
  <c r="S253" i="5"/>
  <c r="S252" i="5"/>
  <c r="S251" i="5"/>
  <c r="S250" i="5"/>
  <c r="S249" i="5"/>
  <c r="S248" i="5"/>
  <c r="G247" i="5"/>
  <c r="H247" i="5"/>
  <c r="O247" i="5"/>
  <c r="P247" i="5"/>
  <c r="Q247" i="5"/>
  <c r="R247" i="5" s="1"/>
  <c r="J426" i="6" l="1"/>
  <c r="J459" i="6"/>
  <c r="J461" i="6"/>
  <c r="J463" i="6"/>
  <c r="J464" i="6"/>
  <c r="J466" i="6"/>
  <c r="J468" i="6"/>
  <c r="J470" i="6"/>
  <c r="J472" i="6"/>
  <c r="J474" i="6"/>
  <c r="J476" i="6"/>
  <c r="J478" i="6"/>
  <c r="J480" i="6"/>
  <c r="J460" i="6"/>
  <c r="J462" i="6"/>
  <c r="J465" i="6"/>
  <c r="J467" i="6"/>
  <c r="J469" i="6"/>
  <c r="J471" i="6"/>
  <c r="J473" i="6"/>
  <c r="J475" i="6"/>
  <c r="J477" i="6"/>
  <c r="J479" i="6"/>
  <c r="J481" i="6"/>
  <c r="J483" i="6"/>
  <c r="S247" i="5"/>
  <c r="G4" i="23"/>
  <c r="G5" i="23"/>
  <c r="G6" i="23"/>
  <c r="G7" i="23"/>
  <c r="G8" i="23"/>
  <c r="G11" i="23"/>
  <c r="G12" i="23"/>
  <c r="G13" i="23"/>
  <c r="G15" i="23"/>
  <c r="G16" i="23"/>
  <c r="G17" i="23"/>
  <c r="G233" i="5"/>
  <c r="H233" i="5"/>
  <c r="O233" i="5"/>
  <c r="P233" i="5"/>
  <c r="Q233" i="5"/>
  <c r="R233" i="5" s="1"/>
  <c r="G234" i="5"/>
  <c r="H234" i="5"/>
  <c r="O234" i="5"/>
  <c r="P234" i="5"/>
  <c r="Q234" i="5"/>
  <c r="R234" i="5" s="1"/>
  <c r="G235" i="5"/>
  <c r="H235" i="5"/>
  <c r="O235" i="5"/>
  <c r="P235" i="5"/>
  <c r="Q235" i="5"/>
  <c r="R235" i="5" s="1"/>
  <c r="G236" i="5"/>
  <c r="H236" i="5"/>
  <c r="O236" i="5"/>
  <c r="P236" i="5"/>
  <c r="Q236" i="5"/>
  <c r="R236" i="5" s="1"/>
  <c r="G237" i="5"/>
  <c r="H237" i="5"/>
  <c r="O237" i="5"/>
  <c r="P237" i="5"/>
  <c r="Q237" i="5"/>
  <c r="R237" i="5" s="1"/>
  <c r="G238" i="5"/>
  <c r="H238" i="5"/>
  <c r="O238" i="5"/>
  <c r="P238" i="5"/>
  <c r="J512" i="6" s="1"/>
  <c r="Q238" i="5"/>
  <c r="R238" i="5" s="1"/>
  <c r="G239" i="5"/>
  <c r="H239" i="5"/>
  <c r="O239" i="5"/>
  <c r="P239" i="5"/>
  <c r="Q239" i="5"/>
  <c r="R239" i="5" s="1"/>
  <c r="G240" i="5"/>
  <c r="H240" i="5"/>
  <c r="O240" i="5"/>
  <c r="P240" i="5"/>
  <c r="Q240" i="5"/>
  <c r="R240" i="5" s="1"/>
  <c r="G241" i="5"/>
  <c r="H241" i="5"/>
  <c r="O241" i="5"/>
  <c r="P241" i="5"/>
  <c r="Q241" i="5"/>
  <c r="R241" i="5" s="1"/>
  <c r="G242" i="5"/>
  <c r="H242" i="5"/>
  <c r="O242" i="5"/>
  <c r="P242" i="5"/>
  <c r="Q242" i="5"/>
  <c r="R242" i="5" s="1"/>
  <c r="G243" i="5"/>
  <c r="H243" i="5"/>
  <c r="O243" i="5"/>
  <c r="P243" i="5"/>
  <c r="Q243" i="5"/>
  <c r="R243" i="5" s="1"/>
  <c r="G244" i="5"/>
  <c r="H244" i="5"/>
  <c r="O244" i="5"/>
  <c r="P244" i="5"/>
  <c r="Q244" i="5"/>
  <c r="R244" i="5" s="1"/>
  <c r="G245" i="5"/>
  <c r="H245" i="5"/>
  <c r="O245" i="5"/>
  <c r="P245" i="5"/>
  <c r="Q245" i="5"/>
  <c r="R245" i="5" s="1"/>
  <c r="G246" i="5"/>
  <c r="H246" i="5"/>
  <c r="O246" i="5"/>
  <c r="P246" i="5"/>
  <c r="Q246" i="5"/>
  <c r="R246" i="5" s="1"/>
  <c r="F5" i="23"/>
  <c r="F6" i="23"/>
  <c r="F10" i="23"/>
  <c r="F11" i="23"/>
  <c r="F12" i="23"/>
  <c r="F13" i="23"/>
  <c r="F15" i="23"/>
  <c r="F16" i="23"/>
  <c r="F17" i="23"/>
  <c r="D5" i="23"/>
  <c r="D6" i="23"/>
  <c r="D10" i="23"/>
  <c r="D11" i="23"/>
  <c r="D12" i="23"/>
  <c r="D13" i="23"/>
  <c r="D15" i="23"/>
  <c r="D16" i="23"/>
  <c r="D17" i="23"/>
  <c r="J451" i="6" l="1"/>
  <c r="J152" i="6"/>
  <c r="J683" i="6"/>
  <c r="J521" i="6"/>
  <c r="J309" i="6"/>
  <c r="J319" i="6"/>
  <c r="J505" i="6"/>
  <c r="J359" i="6"/>
  <c r="J691" i="6"/>
  <c r="J285" i="6"/>
  <c r="J255" i="6"/>
  <c r="J292" i="6"/>
  <c r="J28" i="6"/>
  <c r="J447" i="6"/>
  <c r="J49" i="6"/>
  <c r="J253" i="6"/>
  <c r="J237" i="6"/>
  <c r="J151" i="6"/>
  <c r="J114" i="6"/>
  <c r="J494" i="6"/>
  <c r="J76" i="6"/>
  <c r="J561" i="6"/>
  <c r="J510" i="6"/>
  <c r="J529" i="6"/>
  <c r="J318" i="6"/>
  <c r="J213" i="6"/>
  <c r="J335" i="6"/>
  <c r="J489" i="6"/>
  <c r="J431" i="6"/>
  <c r="J381" i="6"/>
  <c r="J305" i="6"/>
  <c r="J428" i="6"/>
  <c r="J55" i="6"/>
  <c r="J129" i="6"/>
  <c r="J108" i="6"/>
  <c r="J131" i="6"/>
  <c r="J160" i="6"/>
  <c r="J149" i="6"/>
  <c r="J161" i="6"/>
  <c r="J171" i="6"/>
  <c r="J294" i="6"/>
  <c r="J10" i="6"/>
  <c r="J310" i="6"/>
  <c r="J343" i="6"/>
  <c r="J560" i="6"/>
  <c r="J562" i="6"/>
  <c r="J30" i="6"/>
  <c r="J36" i="6"/>
  <c r="J56" i="6"/>
  <c r="J321" i="6"/>
  <c r="J174" i="6"/>
  <c r="J229" i="6"/>
  <c r="J559" i="6"/>
  <c r="J453" i="6"/>
  <c r="J446" i="6"/>
  <c r="J334" i="6"/>
  <c r="J299" i="6"/>
  <c r="J104" i="6"/>
  <c r="J170" i="6"/>
  <c r="J236" i="6"/>
  <c r="J50" i="6"/>
  <c r="J293" i="6"/>
  <c r="J518" i="6"/>
  <c r="J135" i="6"/>
  <c r="J449" i="6"/>
  <c r="J29" i="6"/>
  <c r="J251" i="6"/>
  <c r="J444" i="6"/>
  <c r="J496" i="6"/>
  <c r="J503" i="6"/>
  <c r="J530" i="6"/>
  <c r="J331" i="6"/>
  <c r="J509" i="6"/>
  <c r="J513" i="6"/>
  <c r="J315" i="6"/>
  <c r="J323" i="6"/>
  <c r="J301" i="6"/>
  <c r="J401" i="6"/>
  <c r="J375" i="6"/>
  <c r="J354" i="6"/>
  <c r="J218" i="6"/>
  <c r="J284" i="6"/>
  <c r="J355" i="6"/>
  <c r="J350" i="6"/>
  <c r="J300" i="6"/>
  <c r="J344" i="6"/>
  <c r="J430" i="6"/>
  <c r="J488" i="6"/>
  <c r="J528" i="6"/>
  <c r="J325" i="6"/>
  <c r="J506" i="6"/>
  <c r="J535" i="6"/>
  <c r="J547" i="6"/>
  <c r="J533" i="6"/>
  <c r="J532" i="6"/>
  <c r="J482" i="6"/>
  <c r="J551" i="6"/>
  <c r="J545" i="6"/>
  <c r="J543" i="6"/>
  <c r="J537" i="6"/>
  <c r="J534" i="6"/>
  <c r="J549" i="6"/>
  <c r="J538" i="6"/>
  <c r="J540" i="6"/>
  <c r="J542" i="6"/>
  <c r="J544" i="6"/>
  <c r="J546" i="6"/>
  <c r="J548" i="6"/>
  <c r="J550" i="6"/>
  <c r="J552" i="6"/>
  <c r="J554" i="6"/>
  <c r="J556" i="6"/>
  <c r="J541" i="6"/>
  <c r="J539" i="6"/>
  <c r="J553" i="6"/>
  <c r="J536" i="6"/>
  <c r="S233" i="5"/>
  <c r="S234" i="5"/>
  <c r="S235" i="5"/>
  <c r="S236" i="5"/>
  <c r="S237" i="5"/>
  <c r="S238" i="5"/>
  <c r="S239" i="5"/>
  <c r="S240" i="5"/>
  <c r="S241" i="5"/>
  <c r="S242" i="5"/>
  <c r="S243" i="5"/>
  <c r="S244" i="5"/>
  <c r="S245" i="5"/>
  <c r="S246" i="5"/>
  <c r="E17" i="23"/>
  <c r="H17" i="23" s="1"/>
  <c r="E16" i="23"/>
  <c r="H16" i="23" s="1"/>
  <c r="BV5" i="22" l="1"/>
  <c r="L272" i="5" l="1"/>
  <c r="L273" i="5"/>
  <c r="L271" i="5"/>
  <c r="L270" i="5"/>
  <c r="L267" i="5"/>
  <c r="L268" i="5"/>
  <c r="L269" i="5"/>
  <c r="L265" i="5"/>
  <c r="L260" i="5"/>
  <c r="L258" i="5"/>
  <c r="L253" i="5"/>
  <c r="DB28" i="22" a="1"/>
  <c r="L264" i="5"/>
  <c r="L262" i="5"/>
  <c r="L259" i="5"/>
  <c r="L257" i="5"/>
  <c r="L256" i="5"/>
  <c r="L255" i="5"/>
  <c r="L249" i="5"/>
  <c r="DB26" i="22" a="1"/>
  <c r="L266" i="5"/>
  <c r="DB25" i="22" a="1"/>
  <c r="L263" i="5"/>
  <c r="L261" i="5"/>
  <c r="L254" i="5"/>
  <c r="L252" i="5"/>
  <c r="L251" i="5"/>
  <c r="L250" i="5"/>
  <c r="L248" i="5"/>
  <c r="DB24" i="22" a="1"/>
  <c r="DB27" i="22" a="1"/>
  <c r="L247" i="5"/>
  <c r="L243" i="5"/>
  <c r="L242" i="5"/>
  <c r="L241" i="5"/>
  <c r="L240" i="5"/>
  <c r="L239" i="5"/>
  <c r="L238" i="5"/>
  <c r="L237" i="5"/>
  <c r="L236" i="5"/>
  <c r="L235" i="5"/>
  <c r="L234" i="5"/>
  <c r="L233" i="5"/>
  <c r="L246" i="5"/>
  <c r="L245" i="5"/>
  <c r="L244" i="5"/>
  <c r="CU8" i="22"/>
  <c r="G232" i="5" l="1"/>
  <c r="H232" i="5"/>
  <c r="O232" i="5"/>
  <c r="P232" i="5"/>
  <c r="Q232" i="5"/>
  <c r="R232" i="5" s="1"/>
  <c r="J555" i="6" l="1"/>
  <c r="J592" i="6"/>
  <c r="J593" i="6"/>
  <c r="J595" i="6"/>
  <c r="J597" i="6"/>
  <c r="J599" i="6"/>
  <c r="J601" i="6"/>
  <c r="J603" i="6"/>
  <c r="J605" i="6"/>
  <c r="J607" i="6"/>
  <c r="J609" i="6"/>
  <c r="J611" i="6"/>
  <c r="J613" i="6"/>
  <c r="J615" i="6"/>
  <c r="J617" i="6"/>
  <c r="J594" i="6"/>
  <c r="J596" i="6"/>
  <c r="J598" i="6"/>
  <c r="J600" i="6"/>
  <c r="J602" i="6"/>
  <c r="J604" i="6"/>
  <c r="J606" i="6"/>
  <c r="J608" i="6"/>
  <c r="J610" i="6"/>
  <c r="J612" i="6"/>
  <c r="J614" i="6"/>
  <c r="S232" i="5"/>
  <c r="G231" i="5"/>
  <c r="H231" i="5"/>
  <c r="O231" i="5"/>
  <c r="P231" i="5"/>
  <c r="Q231" i="5"/>
  <c r="R231" i="5" s="1"/>
  <c r="G230" i="5"/>
  <c r="H230" i="5"/>
  <c r="O230" i="5"/>
  <c r="P230" i="5"/>
  <c r="Q230" i="5"/>
  <c r="R230" i="5" s="1"/>
  <c r="G229" i="5"/>
  <c r="H229" i="5"/>
  <c r="O229" i="5"/>
  <c r="P229" i="5"/>
  <c r="Q229" i="5"/>
  <c r="R229" i="5" s="1"/>
  <c r="G228" i="5"/>
  <c r="H228" i="5"/>
  <c r="O228" i="5"/>
  <c r="P228" i="5"/>
  <c r="Q228" i="5"/>
  <c r="R228" i="5" s="1"/>
  <c r="G227" i="5"/>
  <c r="H227" i="5"/>
  <c r="O227" i="5"/>
  <c r="P227" i="5"/>
  <c r="J12" i="6" s="1"/>
  <c r="Q227" i="5"/>
  <c r="R227" i="5" s="1"/>
  <c r="G226" i="5"/>
  <c r="H226" i="5"/>
  <c r="O226" i="5"/>
  <c r="P226" i="5"/>
  <c r="Q226" i="5"/>
  <c r="R226" i="5" s="1"/>
  <c r="J150" i="6" l="1"/>
  <c r="J228" i="6"/>
  <c r="J497" i="6"/>
  <c r="J573" i="6"/>
  <c r="J32" i="6"/>
  <c r="J52" i="6"/>
  <c r="J109" i="6"/>
  <c r="J242" i="6"/>
  <c r="J376" i="6"/>
  <c r="J454" i="6"/>
  <c r="J35" i="6"/>
  <c r="J2" i="6"/>
  <c r="J9" i="6"/>
  <c r="J26" i="6"/>
  <c r="J71" i="6"/>
  <c r="J98" i="6"/>
  <c r="J110" i="6"/>
  <c r="J165" i="6"/>
  <c r="J286" i="6"/>
  <c r="J377" i="6"/>
  <c r="J434" i="6"/>
  <c r="J43" i="6"/>
  <c r="J211" i="6"/>
  <c r="J231" i="6"/>
  <c r="J250" i="6"/>
  <c r="J287" i="6"/>
  <c r="J304" i="6"/>
  <c r="J327" i="6"/>
  <c r="J44" i="6"/>
  <c r="J138" i="6"/>
  <c r="S231" i="5"/>
  <c r="S230" i="5"/>
  <c r="S229" i="5"/>
  <c r="S228" i="5"/>
  <c r="S227" i="5"/>
  <c r="S226" i="5"/>
  <c r="G225" i="5"/>
  <c r="H225" i="5"/>
  <c r="O225" i="5"/>
  <c r="P225" i="5"/>
  <c r="Q225" i="5"/>
  <c r="R225" i="5" s="1"/>
  <c r="G224" i="5"/>
  <c r="H224" i="5"/>
  <c r="O224" i="5"/>
  <c r="P224" i="5"/>
  <c r="J714" i="6" s="1"/>
  <c r="Q224" i="5"/>
  <c r="R224" i="5" s="1"/>
  <c r="J656" i="6" l="1"/>
  <c r="J658" i="6"/>
  <c r="J660" i="6"/>
  <c r="J662" i="6"/>
  <c r="J664" i="6"/>
  <c r="J666" i="6"/>
  <c r="J668" i="6"/>
  <c r="J670" i="6"/>
  <c r="J672" i="6"/>
  <c r="J676" i="6"/>
  <c r="J682" i="6"/>
  <c r="J685" i="6"/>
  <c r="J616" i="6"/>
  <c r="J655" i="6"/>
  <c r="J657" i="6"/>
  <c r="J659" i="6"/>
  <c r="J661" i="6"/>
  <c r="J663" i="6"/>
  <c r="J665" i="6"/>
  <c r="J667" i="6"/>
  <c r="J669" i="6"/>
  <c r="J671" i="6"/>
  <c r="J673" i="6"/>
  <c r="J678" i="6"/>
  <c r="J679" i="6"/>
  <c r="S225" i="5"/>
  <c r="S224" i="5"/>
  <c r="G223" i="5"/>
  <c r="H223" i="5"/>
  <c r="O223" i="5"/>
  <c r="P223" i="5"/>
  <c r="J288" i="6" s="1"/>
  <c r="Q223" i="5"/>
  <c r="R223" i="5" s="1"/>
  <c r="G222" i="5"/>
  <c r="H222" i="5"/>
  <c r="O222" i="5"/>
  <c r="P222" i="5"/>
  <c r="Q222" i="5"/>
  <c r="R222" i="5" s="1"/>
  <c r="G221" i="5"/>
  <c r="H221" i="5"/>
  <c r="O221" i="5"/>
  <c r="P221" i="5"/>
  <c r="Q221" i="5"/>
  <c r="R221" i="5" s="1"/>
  <c r="G220" i="5"/>
  <c r="H220" i="5"/>
  <c r="O220" i="5"/>
  <c r="P220" i="5"/>
  <c r="Q220" i="5"/>
  <c r="R220" i="5" s="1"/>
  <c r="G219" i="5"/>
  <c r="H219" i="5"/>
  <c r="O219" i="5"/>
  <c r="P219" i="5"/>
  <c r="Q219" i="5"/>
  <c r="R219" i="5" s="1"/>
  <c r="J504" i="6" l="1"/>
  <c r="J620" i="6"/>
  <c r="J693" i="6"/>
  <c r="J399" i="6"/>
  <c r="J514" i="6"/>
  <c r="J695" i="6"/>
  <c r="J356" i="6"/>
  <c r="J437" i="6"/>
  <c r="J144" i="6"/>
  <c r="J176" i="6"/>
  <c r="J233" i="6"/>
  <c r="J238" i="6"/>
  <c r="J137" i="6"/>
  <c r="J227" i="6"/>
  <c r="J240" i="6"/>
  <c r="S223" i="5"/>
  <c r="S222" i="5"/>
  <c r="S221" i="5"/>
  <c r="S220" i="5"/>
  <c r="S219" i="5"/>
  <c r="O6" i="5"/>
  <c r="G218" i="5" l="1"/>
  <c r="H218" i="5"/>
  <c r="O218" i="5"/>
  <c r="P218" i="5"/>
  <c r="Q218" i="5"/>
  <c r="R218" i="5" s="1"/>
  <c r="G217" i="5"/>
  <c r="H217" i="5"/>
  <c r="O217" i="5"/>
  <c r="P217" i="5"/>
  <c r="Q217" i="5"/>
  <c r="R217" i="5" s="1"/>
  <c r="G215" i="5"/>
  <c r="G216" i="5"/>
  <c r="H215" i="5"/>
  <c r="H216" i="5"/>
  <c r="O215" i="5"/>
  <c r="O216" i="5"/>
  <c r="P215" i="5"/>
  <c r="P216" i="5"/>
  <c r="Q215" i="5"/>
  <c r="R215" i="5" s="1"/>
  <c r="Q216" i="5"/>
  <c r="R216" i="5" s="1"/>
  <c r="G211" i="5"/>
  <c r="G212" i="5"/>
  <c r="G213" i="5"/>
  <c r="G214" i="5"/>
  <c r="H211" i="5"/>
  <c r="H212" i="5"/>
  <c r="H213" i="5"/>
  <c r="H214" i="5"/>
  <c r="O211" i="5"/>
  <c r="O212" i="5"/>
  <c r="O213" i="5"/>
  <c r="O214" i="5"/>
  <c r="P211" i="5"/>
  <c r="P212" i="5"/>
  <c r="J458" i="6" s="1"/>
  <c r="P213" i="5"/>
  <c r="P214" i="5"/>
  <c r="Q211" i="5"/>
  <c r="R211" i="5" s="1"/>
  <c r="Q212" i="5"/>
  <c r="R212" i="5" s="1"/>
  <c r="Q213" i="5"/>
  <c r="R213" i="5" s="1"/>
  <c r="Q214" i="5"/>
  <c r="R214" i="5" s="1"/>
  <c r="J726" i="6" l="1"/>
  <c r="J736" i="6"/>
  <c r="J328" i="6"/>
  <c r="J353" i="6"/>
  <c r="J500" i="6"/>
  <c r="J634" i="6"/>
  <c r="J636" i="6"/>
  <c r="J520" i="6"/>
  <c r="J436" i="6"/>
  <c r="J517" i="6"/>
  <c r="J3" i="6"/>
  <c r="J53" i="6"/>
  <c r="J75" i="6"/>
  <c r="J100" i="6"/>
  <c r="J121" i="6"/>
  <c r="J111" i="6"/>
  <c r="J776" i="6"/>
  <c r="J735" i="6"/>
  <c r="J239" i="6"/>
  <c r="J283" i="6"/>
  <c r="S218" i="5"/>
  <c r="S217" i="5"/>
  <c r="S215" i="5"/>
  <c r="S216" i="5"/>
  <c r="S211" i="5"/>
  <c r="S212" i="5"/>
  <c r="S213" i="5"/>
  <c r="S214" i="5"/>
  <c r="F32" i="25"/>
  <c r="D32" i="25"/>
  <c r="B24" i="25" s="1"/>
  <c r="D7" i="25"/>
  <c r="D8" i="25"/>
  <c r="D9" i="25"/>
  <c r="D10" i="25"/>
  <c r="D11" i="25"/>
  <c r="D12" i="25"/>
  <c r="D13" i="25"/>
  <c r="D14" i="25"/>
  <c r="D15" i="25"/>
  <c r="D16" i="25"/>
  <c r="D17" i="25"/>
  <c r="D18" i="25"/>
  <c r="D19" i="25"/>
  <c r="D20" i="25"/>
  <c r="D21" i="25"/>
  <c r="D22" i="25"/>
  <c r="D23" i="25"/>
  <c r="D24" i="25"/>
  <c r="D25" i="25"/>
  <c r="D26" i="25"/>
  <c r="D27" i="25"/>
  <c r="D28" i="25"/>
  <c r="D29" i="25"/>
  <c r="D30" i="25"/>
  <c r="D31" i="25"/>
  <c r="D6" i="25"/>
  <c r="G210" i="5"/>
  <c r="H210" i="5"/>
  <c r="O210" i="5"/>
  <c r="P210" i="5"/>
  <c r="Q210" i="5"/>
  <c r="R210" i="5" s="1"/>
  <c r="G209" i="5"/>
  <c r="H209" i="5"/>
  <c r="O209" i="5"/>
  <c r="P209" i="5"/>
  <c r="Q209" i="5"/>
  <c r="R209" i="5" s="1"/>
  <c r="J684" i="6" l="1"/>
  <c r="J764" i="6"/>
  <c r="J766" i="6"/>
  <c r="J779" i="6"/>
  <c r="J794" i="6"/>
  <c r="J796" i="6"/>
  <c r="J798" i="6"/>
  <c r="J800" i="6"/>
  <c r="J802" i="6"/>
  <c r="J804" i="6"/>
  <c r="J806" i="6"/>
  <c r="J808" i="6"/>
  <c r="J795" i="6"/>
  <c r="J765" i="6"/>
  <c r="J767" i="6"/>
  <c r="J778" i="6"/>
  <c r="J780" i="6"/>
  <c r="J793" i="6"/>
  <c r="J797" i="6"/>
  <c r="J763" i="6"/>
  <c r="J799" i="6"/>
  <c r="J801" i="6"/>
  <c r="J803" i="6"/>
  <c r="J805" i="6"/>
  <c r="J756" i="6"/>
  <c r="J810" i="6"/>
  <c r="J812" i="6"/>
  <c r="J814" i="6"/>
  <c r="J816" i="6"/>
  <c r="J818" i="6"/>
  <c r="J820" i="6"/>
  <c r="J822" i="6"/>
  <c r="J826" i="6"/>
  <c r="J828" i="6"/>
  <c r="J830" i="6"/>
  <c r="J832" i="6"/>
  <c r="J824" i="6"/>
  <c r="J807" i="6"/>
  <c r="J809" i="6"/>
  <c r="J811" i="6"/>
  <c r="J813" i="6"/>
  <c r="J815" i="6"/>
  <c r="J817" i="6"/>
  <c r="J819" i="6"/>
  <c r="J821" i="6"/>
  <c r="J823" i="6"/>
  <c r="J825" i="6"/>
  <c r="J827" i="6"/>
  <c r="J829" i="6"/>
  <c r="J831" i="6"/>
  <c r="S210" i="5"/>
  <c r="S209" i="5"/>
  <c r="G208" i="5"/>
  <c r="H208" i="5"/>
  <c r="O208" i="5"/>
  <c r="P208" i="5"/>
  <c r="Q208" i="5"/>
  <c r="R208" i="5" s="1"/>
  <c r="G207" i="5"/>
  <c r="H207" i="5"/>
  <c r="O207" i="5"/>
  <c r="P207" i="5"/>
  <c r="Q207" i="5"/>
  <c r="R207" i="5" s="1"/>
  <c r="G206" i="5"/>
  <c r="H206" i="5"/>
  <c r="O206" i="5"/>
  <c r="P206" i="5"/>
  <c r="Q206" i="5"/>
  <c r="R206" i="5" s="1"/>
  <c r="J770" i="6" l="1"/>
  <c r="J839" i="6"/>
  <c r="J752" i="6"/>
  <c r="J654" i="6"/>
  <c r="J635" i="6"/>
  <c r="J456" i="6"/>
  <c r="J578" i="6"/>
  <c r="S208" i="5"/>
  <c r="S207" i="5"/>
  <c r="S206" i="5"/>
  <c r="G205" i="5"/>
  <c r="H205" i="5"/>
  <c r="O205" i="5"/>
  <c r="P205" i="5"/>
  <c r="Q205" i="5"/>
  <c r="R205" i="5" s="1"/>
  <c r="G204" i="5"/>
  <c r="H204" i="5"/>
  <c r="O204" i="5"/>
  <c r="P204" i="5"/>
  <c r="Q204" i="5"/>
  <c r="R204" i="5" s="1"/>
  <c r="J715" i="6" l="1"/>
  <c r="J719" i="6"/>
  <c r="J739" i="6"/>
  <c r="J760" i="6"/>
  <c r="J653" i="6"/>
  <c r="J702" i="6"/>
  <c r="J282" i="6"/>
  <c r="J290" i="6"/>
  <c r="J306" i="6"/>
  <c r="J341" i="6"/>
  <c r="J289" i="6"/>
  <c r="J329" i="6"/>
  <c r="J348" i="6"/>
  <c r="S205" i="5"/>
  <c r="S204" i="5"/>
  <c r="G202" i="5"/>
  <c r="H202" i="5"/>
  <c r="O202" i="5"/>
  <c r="P202" i="5"/>
  <c r="Q202" i="5"/>
  <c r="R202" i="5" s="1"/>
  <c r="S202" i="5" l="1"/>
  <c r="G203" i="5"/>
  <c r="H203" i="5"/>
  <c r="O203" i="5"/>
  <c r="P203" i="5"/>
  <c r="Q203" i="5"/>
  <c r="R203" i="5" s="1"/>
  <c r="J133" i="6" l="1"/>
  <c r="J134" i="6"/>
  <c r="J175" i="6"/>
  <c r="J224" i="6"/>
  <c r="J235" i="6"/>
  <c r="J302" i="6"/>
  <c r="J351" i="6"/>
  <c r="J450" i="6"/>
  <c r="J557" i="6"/>
  <c r="J619" i="6"/>
  <c r="J623" i="6"/>
  <c r="J696" i="6"/>
  <c r="J697" i="6"/>
  <c r="J120" i="6"/>
  <c r="J221" i="6"/>
  <c r="J225" i="6"/>
  <c r="J336" i="6"/>
  <c r="J440" i="6"/>
  <c r="J487" i="6"/>
  <c r="J491" i="6"/>
  <c r="J501" i="6"/>
  <c r="J567" i="6"/>
  <c r="J581" i="6"/>
  <c r="J622" i="6"/>
  <c r="J624" i="6"/>
  <c r="J629" i="6"/>
  <c r="J648" i="6"/>
  <c r="J708" i="6"/>
  <c r="S203" i="5"/>
  <c r="G196" i="5"/>
  <c r="G197" i="5"/>
  <c r="G198" i="5"/>
  <c r="G199" i="5"/>
  <c r="G200" i="5"/>
  <c r="G201" i="5"/>
  <c r="H196" i="5"/>
  <c r="H197" i="5"/>
  <c r="H198" i="5"/>
  <c r="H199" i="5"/>
  <c r="H200" i="5"/>
  <c r="H201" i="5"/>
  <c r="O196" i="5"/>
  <c r="O197" i="5"/>
  <c r="O198" i="5"/>
  <c r="O199" i="5"/>
  <c r="O200" i="5"/>
  <c r="O201" i="5"/>
  <c r="P196" i="5"/>
  <c r="P197" i="5"/>
  <c r="P198" i="5"/>
  <c r="P199" i="5"/>
  <c r="P200" i="5"/>
  <c r="P201" i="5"/>
  <c r="Q196" i="5"/>
  <c r="Q197" i="5"/>
  <c r="Q198" i="5"/>
  <c r="Q199" i="5"/>
  <c r="R199" i="5" s="1"/>
  <c r="Q200" i="5"/>
  <c r="R200" i="5" s="1"/>
  <c r="Q201" i="5"/>
  <c r="R201" i="5" s="1"/>
  <c r="G195" i="5"/>
  <c r="H195" i="5"/>
  <c r="O195" i="5"/>
  <c r="P195" i="5"/>
  <c r="Q195" i="5"/>
  <c r="J688" i="6" l="1"/>
  <c r="J457" i="6"/>
  <c r="J886" i="6"/>
  <c r="J926" i="6"/>
  <c r="J840" i="6"/>
  <c r="J844" i="6"/>
  <c r="J775" i="6"/>
  <c r="J46" i="6"/>
  <c r="J105" i="6"/>
  <c r="J297" i="6"/>
  <c r="J219" i="6"/>
  <c r="J516" i="6"/>
  <c r="J565" i="6"/>
  <c r="J569" i="6"/>
  <c r="J640" i="6"/>
  <c r="J642" i="6"/>
  <c r="J717" i="6"/>
  <c r="J729" i="6"/>
  <c r="J62" i="6"/>
  <c r="J78" i="6"/>
  <c r="J79" i="6"/>
  <c r="J638" i="6"/>
  <c r="J122" i="6"/>
  <c r="J124" i="6"/>
  <c r="J157" i="6"/>
  <c r="J101" i="6"/>
  <c r="J243" i="6"/>
  <c r="J298" i="6"/>
  <c r="J322" i="6"/>
  <c r="J34" i="6"/>
  <c r="J74" i="6"/>
  <c r="J246" i="6"/>
  <c r="J568" i="6"/>
  <c r="J637" i="6"/>
  <c r="J639" i="6"/>
  <c r="J641" i="6"/>
  <c r="J486" i="6"/>
  <c r="J490" i="6"/>
  <c r="J352" i="6"/>
  <c r="J360" i="6"/>
  <c r="J398" i="6"/>
  <c r="J361" i="6"/>
  <c r="J380" i="6"/>
  <c r="S199" i="5"/>
  <c r="S200" i="5"/>
  <c r="S201" i="5"/>
  <c r="R197" i="5"/>
  <c r="R195" i="5"/>
  <c r="R198" i="5"/>
  <c r="R196" i="5"/>
  <c r="H142" i="5"/>
  <c r="S196" i="5" l="1"/>
  <c r="S195" i="5"/>
  <c r="S198" i="5"/>
  <c r="S197" i="5"/>
  <c r="Q2" i="5"/>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R172" i="5" s="1"/>
  <c r="Q173" i="5"/>
  <c r="Q174" i="5"/>
  <c r="Q175" i="5"/>
  <c r="R175" i="5" s="1"/>
  <c r="Q176" i="5"/>
  <c r="R176" i="5" s="1"/>
  <c r="Q177" i="5"/>
  <c r="R177" i="5" s="1"/>
  <c r="Q178" i="5"/>
  <c r="Q179" i="5"/>
  <c r="Q180" i="5"/>
  <c r="Q181" i="5"/>
  <c r="Q182" i="5"/>
  <c r="Q183" i="5"/>
  <c r="Q184" i="5"/>
  <c r="Q185" i="5"/>
  <c r="Q186" i="5"/>
  <c r="Q187" i="5"/>
  <c r="Q188" i="5"/>
  <c r="Q189" i="5"/>
  <c r="Q190" i="5"/>
  <c r="Q191" i="5"/>
  <c r="Q192" i="5"/>
  <c r="Q193" i="5"/>
  <c r="Q194" i="5"/>
  <c r="S172" i="5" l="1"/>
  <c r="S175" i="5"/>
  <c r="S176" i="5"/>
  <c r="S177" i="5"/>
  <c r="R192" i="5"/>
  <c r="R184" i="5"/>
  <c r="R193" i="5"/>
  <c r="R189" i="5"/>
  <c r="R185" i="5"/>
  <c r="R181" i="5"/>
  <c r="R188" i="5"/>
  <c r="R180" i="5"/>
  <c r="R191" i="5"/>
  <c r="R187" i="5"/>
  <c r="R183" i="5"/>
  <c r="R179" i="5"/>
  <c r="R194" i="5"/>
  <c r="R190" i="5"/>
  <c r="R186" i="5"/>
  <c r="R182" i="5"/>
  <c r="R178" i="5"/>
  <c r="R174" i="5"/>
  <c r="R171" i="5"/>
  <c r="R170" i="5"/>
  <c r="R173" i="5"/>
  <c r="R169" i="5"/>
  <c r="R167" i="5"/>
  <c r="R159" i="5"/>
  <c r="R151" i="5"/>
  <c r="R143" i="5"/>
  <c r="R135" i="5"/>
  <c r="R127" i="5"/>
  <c r="R119" i="5"/>
  <c r="R111" i="5"/>
  <c r="R103" i="5"/>
  <c r="R95" i="5"/>
  <c r="R87" i="5"/>
  <c r="R76" i="5"/>
  <c r="R68" i="5"/>
  <c r="R60" i="5"/>
  <c r="R52" i="5"/>
  <c r="R162" i="5"/>
  <c r="R154" i="5"/>
  <c r="R146" i="5"/>
  <c r="R138" i="5"/>
  <c r="R130" i="5"/>
  <c r="R122" i="5"/>
  <c r="R110" i="5"/>
  <c r="R102" i="5"/>
  <c r="R98" i="5"/>
  <c r="R90" i="5"/>
  <c r="R82" i="5"/>
  <c r="R75" i="5"/>
  <c r="R67" i="5"/>
  <c r="R59" i="5"/>
  <c r="R51" i="5"/>
  <c r="R168" i="5"/>
  <c r="R164" i="5"/>
  <c r="R160" i="5"/>
  <c r="R156" i="5"/>
  <c r="R152" i="5"/>
  <c r="R148" i="5"/>
  <c r="R144" i="5"/>
  <c r="R140" i="5"/>
  <c r="R136" i="5"/>
  <c r="R132" i="5"/>
  <c r="R128" i="5"/>
  <c r="R124" i="5"/>
  <c r="R120" i="5"/>
  <c r="R116" i="5"/>
  <c r="R112" i="5"/>
  <c r="R108" i="5"/>
  <c r="R104" i="5"/>
  <c r="R100" i="5"/>
  <c r="R96" i="5"/>
  <c r="R92" i="5"/>
  <c r="R88" i="5"/>
  <c r="R84" i="5"/>
  <c r="R80" i="5"/>
  <c r="R77" i="5"/>
  <c r="R73" i="5"/>
  <c r="R69" i="5"/>
  <c r="R65" i="5"/>
  <c r="R61" i="5"/>
  <c r="R57" i="5"/>
  <c r="R53" i="5"/>
  <c r="R49" i="5"/>
  <c r="R45" i="5"/>
  <c r="R41" i="5"/>
  <c r="R37" i="5"/>
  <c r="R33" i="5"/>
  <c r="R29" i="5"/>
  <c r="R25" i="5"/>
  <c r="R21" i="5"/>
  <c r="R17" i="5"/>
  <c r="R13" i="5"/>
  <c r="R9" i="5"/>
  <c r="R5" i="5"/>
  <c r="R44" i="5"/>
  <c r="R40" i="5"/>
  <c r="R36" i="5"/>
  <c r="R32" i="5"/>
  <c r="R28" i="5"/>
  <c r="R24" i="5"/>
  <c r="R20" i="5"/>
  <c r="R16" i="5"/>
  <c r="R12" i="5"/>
  <c r="R8" i="5"/>
  <c r="R4" i="5"/>
  <c r="R47" i="5"/>
  <c r="R43" i="5"/>
  <c r="R39" i="5"/>
  <c r="R35" i="5"/>
  <c r="R31" i="5"/>
  <c r="R27" i="5"/>
  <c r="R23" i="5"/>
  <c r="R19" i="5"/>
  <c r="R15" i="5"/>
  <c r="R11" i="5"/>
  <c r="R7" i="5"/>
  <c r="R3" i="5"/>
  <c r="R163" i="5"/>
  <c r="R155" i="5"/>
  <c r="R147" i="5"/>
  <c r="R139" i="5"/>
  <c r="R131" i="5"/>
  <c r="R123" i="5"/>
  <c r="R115" i="5"/>
  <c r="R107" i="5"/>
  <c r="R99" i="5"/>
  <c r="R91" i="5"/>
  <c r="R83" i="5"/>
  <c r="R79" i="5"/>
  <c r="R72" i="5"/>
  <c r="R64" i="5"/>
  <c r="R56" i="5"/>
  <c r="R48" i="5"/>
  <c r="R166" i="5"/>
  <c r="R158" i="5"/>
  <c r="R150" i="5"/>
  <c r="R142" i="5"/>
  <c r="R134" i="5"/>
  <c r="R126" i="5"/>
  <c r="R118" i="5"/>
  <c r="R114" i="5"/>
  <c r="R106" i="5"/>
  <c r="R94" i="5"/>
  <c r="R86" i="5"/>
  <c r="R71" i="5"/>
  <c r="R63" i="5"/>
  <c r="R55" i="5"/>
  <c r="R165" i="5"/>
  <c r="R161" i="5"/>
  <c r="R157" i="5"/>
  <c r="R153" i="5"/>
  <c r="R149" i="5"/>
  <c r="R145" i="5"/>
  <c r="R141" i="5"/>
  <c r="R137" i="5"/>
  <c r="R133" i="5"/>
  <c r="R129" i="5"/>
  <c r="R125" i="5"/>
  <c r="R121" i="5"/>
  <c r="R117" i="5"/>
  <c r="R113" i="5"/>
  <c r="R109" i="5"/>
  <c r="R105" i="5"/>
  <c r="R101" i="5"/>
  <c r="R97" i="5"/>
  <c r="R93" i="5"/>
  <c r="R89" i="5"/>
  <c r="R85" i="5"/>
  <c r="R81" i="5"/>
  <c r="R78" i="5"/>
  <c r="R74" i="5"/>
  <c r="R70" i="5"/>
  <c r="R66" i="5"/>
  <c r="R62" i="5"/>
  <c r="R58" i="5"/>
  <c r="R54" i="5"/>
  <c r="R50" i="5"/>
  <c r="R46" i="5"/>
  <c r="R42" i="5"/>
  <c r="R38" i="5"/>
  <c r="R34" i="5"/>
  <c r="R30" i="5"/>
  <c r="R26" i="5"/>
  <c r="R22" i="5"/>
  <c r="R18" i="5"/>
  <c r="R14" i="5"/>
  <c r="R10" i="5"/>
  <c r="R6" i="5"/>
  <c r="R2" i="5"/>
  <c r="G194" i="5"/>
  <c r="H194" i="5"/>
  <c r="O194" i="5"/>
  <c r="P194" i="5"/>
  <c r="G193" i="5"/>
  <c r="H193" i="5"/>
  <c r="O193" i="5"/>
  <c r="P193" i="5"/>
  <c r="G192" i="5"/>
  <c r="H192" i="5"/>
  <c r="O192" i="5"/>
  <c r="P192" i="5"/>
  <c r="J981" i="6" l="1"/>
  <c r="J997" i="6"/>
  <c r="J759" i="6"/>
  <c r="J848" i="6"/>
  <c r="J889" i="6"/>
  <c r="J651" i="6"/>
  <c r="J734" i="6"/>
  <c r="J785" i="6"/>
  <c r="J787" i="6"/>
  <c r="J871" i="6"/>
  <c r="J899" i="6"/>
  <c r="J971" i="6"/>
  <c r="J1010" i="6"/>
  <c r="J433" i="6"/>
  <c r="J511" i="6"/>
  <c r="J591" i="6"/>
  <c r="J698" i="6"/>
  <c r="J851" i="6"/>
  <c r="J872" i="6"/>
  <c r="J915" i="6"/>
  <c r="J940" i="6"/>
  <c r="J960" i="6"/>
  <c r="J987" i="6"/>
  <c r="J1008" i="6"/>
  <c r="R282" i="5"/>
  <c r="S192" i="5"/>
  <c r="S186" i="5"/>
  <c r="E15" i="23"/>
  <c r="H15" i="23" s="1"/>
  <c r="E9" i="23"/>
  <c r="G10" i="23"/>
  <c r="E3" i="23"/>
  <c r="G3" i="23"/>
  <c r="G14" i="23"/>
  <c r="G9" i="23"/>
  <c r="E10" i="23"/>
  <c r="E8" i="23"/>
  <c r="DB31" i="22"/>
  <c r="S182" i="5"/>
  <c r="S190" i="5"/>
  <c r="S179" i="5"/>
  <c r="S187" i="5"/>
  <c r="S180" i="5"/>
  <c r="S181" i="5"/>
  <c r="S189" i="5"/>
  <c r="S184" i="5"/>
  <c r="S178" i="5"/>
  <c r="S194" i="5"/>
  <c r="S183" i="5"/>
  <c r="S191" i="5"/>
  <c r="S188" i="5"/>
  <c r="S185" i="5"/>
  <c r="S193" i="5"/>
  <c r="E13" i="23"/>
  <c r="H13" i="23" s="1"/>
  <c r="D3" i="23"/>
  <c r="E14" i="23"/>
  <c r="D14" i="23"/>
  <c r="E6" i="23"/>
  <c r="H6" i="23" s="1"/>
  <c r="F3" i="23"/>
  <c r="E7" i="23"/>
  <c r="D7" i="23"/>
  <c r="D8" i="23"/>
  <c r="E12" i="23"/>
  <c r="H12" i="23" s="1"/>
  <c r="F7" i="23"/>
  <c r="D4" i="23"/>
  <c r="F8" i="23"/>
  <c r="F4" i="23"/>
  <c r="E5" i="23"/>
  <c r="H5" i="23" s="1"/>
  <c r="F14" i="23"/>
  <c r="E4" i="23"/>
  <c r="E11" i="23"/>
  <c r="H11" i="23" s="1"/>
  <c r="F9" i="23"/>
  <c r="D9" i="23"/>
  <c r="S170" i="5"/>
  <c r="S171" i="5"/>
  <c r="S173" i="5"/>
  <c r="S174" i="5"/>
  <c r="S43" i="5"/>
  <c r="S169" i="5"/>
  <c r="DB32" i="22"/>
  <c r="DJ14" i="22"/>
  <c r="DJ23" i="22"/>
  <c r="DJ16" i="22"/>
  <c r="DJ20" i="22"/>
  <c r="DJ22" i="22"/>
  <c r="DJ21" i="22"/>
  <c r="DJ15" i="22"/>
  <c r="DJ19" i="22"/>
  <c r="DJ13" i="22"/>
  <c r="S14" i="5"/>
  <c r="S30" i="5"/>
  <c r="S46" i="5"/>
  <c r="S62" i="5"/>
  <c r="S78" i="5"/>
  <c r="S93" i="5"/>
  <c r="S101" i="5"/>
  <c r="S117" i="5"/>
  <c r="S133" i="5"/>
  <c r="S149" i="5"/>
  <c r="S165" i="5"/>
  <c r="S126" i="5"/>
  <c r="S2" i="5"/>
  <c r="S10" i="5"/>
  <c r="S18" i="5"/>
  <c r="S26" i="5"/>
  <c r="S34" i="5"/>
  <c r="S42" i="5"/>
  <c r="S50" i="5"/>
  <c r="S58" i="5"/>
  <c r="S66" i="5"/>
  <c r="S74" i="5"/>
  <c r="S81" i="5"/>
  <c r="S89" i="5"/>
  <c r="S97" i="5"/>
  <c r="S105" i="5"/>
  <c r="S113" i="5"/>
  <c r="S121" i="5"/>
  <c r="S129" i="5"/>
  <c r="S137" i="5"/>
  <c r="S145" i="5"/>
  <c r="S153" i="5"/>
  <c r="S161" i="5"/>
  <c r="S55" i="5"/>
  <c r="S71" i="5"/>
  <c r="S86" i="5"/>
  <c r="S106" i="5"/>
  <c r="S118" i="5"/>
  <c r="S134" i="5"/>
  <c r="S150" i="5"/>
  <c r="S166" i="5"/>
  <c r="S56" i="5"/>
  <c r="S72" i="5"/>
  <c r="S83" i="5"/>
  <c r="S99" i="5"/>
  <c r="S115" i="5"/>
  <c r="S131" i="5"/>
  <c r="S147" i="5"/>
  <c r="S163" i="5"/>
  <c r="S7" i="5"/>
  <c r="S15" i="5"/>
  <c r="S23" i="5"/>
  <c r="S31" i="5"/>
  <c r="S39" i="5"/>
  <c r="S47" i="5"/>
  <c r="S8" i="5"/>
  <c r="S16" i="5"/>
  <c r="S24" i="5"/>
  <c r="S32" i="5"/>
  <c r="S40" i="5"/>
  <c r="S5" i="5"/>
  <c r="S13" i="5"/>
  <c r="S21" i="5"/>
  <c r="S29" i="5"/>
  <c r="S37" i="5"/>
  <c r="S45" i="5"/>
  <c r="S53" i="5"/>
  <c r="S61" i="5"/>
  <c r="S69" i="5"/>
  <c r="S77" i="5"/>
  <c r="S84" i="5"/>
  <c r="S92" i="5"/>
  <c r="S100" i="5"/>
  <c r="S108" i="5"/>
  <c r="S116" i="5"/>
  <c r="S124" i="5"/>
  <c r="S132" i="5"/>
  <c r="S140" i="5"/>
  <c r="S148" i="5"/>
  <c r="S156" i="5"/>
  <c r="S164" i="5"/>
  <c r="S51" i="5"/>
  <c r="S67" i="5"/>
  <c r="S82" i="5"/>
  <c r="S98" i="5"/>
  <c r="S110" i="5"/>
  <c r="S130" i="5"/>
  <c r="S146" i="5"/>
  <c r="S162" i="5"/>
  <c r="S60" i="5"/>
  <c r="S76" i="5"/>
  <c r="S95" i="5"/>
  <c r="S111" i="5"/>
  <c r="S127" i="5"/>
  <c r="S143" i="5"/>
  <c r="S159" i="5"/>
  <c r="S6" i="5"/>
  <c r="S22" i="5"/>
  <c r="S38" i="5"/>
  <c r="S54" i="5"/>
  <c r="S70" i="5"/>
  <c r="S85" i="5"/>
  <c r="S109" i="5"/>
  <c r="S125" i="5"/>
  <c r="S141" i="5"/>
  <c r="S157" i="5"/>
  <c r="S63" i="5"/>
  <c r="S94" i="5"/>
  <c r="S114" i="5"/>
  <c r="S142" i="5"/>
  <c r="S158" i="5"/>
  <c r="S48" i="5"/>
  <c r="S64" i="5"/>
  <c r="S79" i="5"/>
  <c r="S91" i="5"/>
  <c r="S107" i="5"/>
  <c r="S123" i="5"/>
  <c r="S139" i="5"/>
  <c r="S155" i="5"/>
  <c r="S3" i="5"/>
  <c r="S11" i="5"/>
  <c r="S19" i="5"/>
  <c r="S27" i="5"/>
  <c r="S35" i="5"/>
  <c r="S4" i="5"/>
  <c r="S12" i="5"/>
  <c r="S20" i="5"/>
  <c r="S28" i="5"/>
  <c r="S36" i="5"/>
  <c r="S44" i="5"/>
  <c r="S9" i="5"/>
  <c r="S17" i="5"/>
  <c r="S25" i="5"/>
  <c r="S33" i="5"/>
  <c r="S41" i="5"/>
  <c r="S49" i="5"/>
  <c r="S57" i="5"/>
  <c r="S65" i="5"/>
  <c r="S73" i="5"/>
  <c r="S80" i="5"/>
  <c r="S88" i="5"/>
  <c r="S96" i="5"/>
  <c r="S104" i="5"/>
  <c r="S112" i="5"/>
  <c r="S120" i="5"/>
  <c r="S128" i="5"/>
  <c r="S136" i="5"/>
  <c r="S144" i="5"/>
  <c r="S152" i="5"/>
  <c r="S160" i="5"/>
  <c r="S168" i="5"/>
  <c r="S59" i="5"/>
  <c r="S75" i="5"/>
  <c r="S90" i="5"/>
  <c r="S102" i="5"/>
  <c r="S122" i="5"/>
  <c r="S138" i="5"/>
  <c r="S154" i="5"/>
  <c r="S52" i="5"/>
  <c r="S68" i="5"/>
  <c r="S87" i="5"/>
  <c r="S103" i="5"/>
  <c r="S119" i="5"/>
  <c r="S135" i="5"/>
  <c r="S151" i="5"/>
  <c r="S167" i="5"/>
  <c r="G191" i="5"/>
  <c r="H191" i="5"/>
  <c r="O191" i="5"/>
  <c r="P191" i="5"/>
  <c r="G190" i="5"/>
  <c r="H190" i="5"/>
  <c r="O190" i="5"/>
  <c r="P190" i="5"/>
  <c r="G189" i="5"/>
  <c r="H189" i="5"/>
  <c r="O189" i="5"/>
  <c r="P189" i="5"/>
  <c r="G188" i="5"/>
  <c r="H188" i="5"/>
  <c r="O188" i="5"/>
  <c r="P188" i="5"/>
  <c r="G187" i="5"/>
  <c r="H187" i="5"/>
  <c r="O187" i="5"/>
  <c r="P187" i="5"/>
  <c r="J928" i="6" s="1"/>
  <c r="G186" i="5"/>
  <c r="H186" i="5"/>
  <c r="O186" i="5"/>
  <c r="P186" i="5"/>
  <c r="G185" i="5"/>
  <c r="H185" i="5"/>
  <c r="O185" i="5"/>
  <c r="P185" i="5"/>
  <c r="G184" i="5"/>
  <c r="H184" i="5"/>
  <c r="O184" i="5"/>
  <c r="P184" i="5"/>
  <c r="G183" i="5"/>
  <c r="H183" i="5"/>
  <c r="O183" i="5"/>
  <c r="P183" i="5"/>
  <c r="J432" i="6" l="1"/>
  <c r="J397" i="6"/>
  <c r="J429" i="6"/>
  <c r="J443" i="6"/>
  <c r="J564" i="6"/>
  <c r="J643" i="6"/>
  <c r="J675" i="6"/>
  <c r="J888" i="6"/>
  <c r="J955" i="6"/>
  <c r="J975" i="6"/>
  <c r="J939" i="6"/>
  <c r="J843" i="6"/>
  <c r="J887" i="6"/>
  <c r="J1023" i="6"/>
  <c r="J1037" i="6"/>
  <c r="J303" i="6"/>
  <c r="J296" i="6"/>
  <c r="S282" i="5"/>
  <c r="S284" i="5" s="1"/>
  <c r="H10" i="23"/>
  <c r="G18" i="23"/>
  <c r="H9" i="23"/>
  <c r="H14" i="23"/>
  <c r="H3" i="23"/>
  <c r="H4" i="23"/>
  <c r="H8" i="23"/>
  <c r="H7" i="23"/>
  <c r="E18" i="23"/>
  <c r="D18" i="23"/>
  <c r="F18" i="23"/>
  <c r="DB30" i="22"/>
  <c r="DJ17" i="22"/>
  <c r="G182" i="5"/>
  <c r="H182" i="5"/>
  <c r="O182" i="5"/>
  <c r="P182" i="5"/>
  <c r="P181" i="5"/>
  <c r="O181" i="5"/>
  <c r="H181" i="5"/>
  <c r="G181" i="5"/>
  <c r="G180" i="5"/>
  <c r="H180" i="5"/>
  <c r="O180" i="5"/>
  <c r="P180" i="5"/>
  <c r="G179" i="5"/>
  <c r="H179" i="5"/>
  <c r="O179" i="5"/>
  <c r="P179" i="5"/>
  <c r="G178" i="5"/>
  <c r="H178" i="5"/>
  <c r="O178" i="5"/>
  <c r="P178" i="5"/>
  <c r="J442" i="6" l="1"/>
  <c r="J493" i="6"/>
  <c r="J1036" i="6"/>
  <c r="J1060" i="6"/>
  <c r="J1109" i="6"/>
  <c r="J979" i="6"/>
  <c r="J1034" i="6"/>
  <c r="J1052" i="6"/>
  <c r="J993" i="6"/>
  <c r="J973" i="6"/>
  <c r="J37" i="6"/>
  <c r="J69" i="6"/>
  <c r="J118" i="6"/>
  <c r="J163" i="6"/>
  <c r="J232" i="6"/>
  <c r="J291" i="6"/>
  <c r="J441" i="6"/>
  <c r="J485" i="6"/>
  <c r="J527" i="6"/>
  <c r="H18" i="23"/>
  <c r="G177" i="5"/>
  <c r="H177" i="5"/>
  <c r="O177" i="5"/>
  <c r="P177" i="5"/>
  <c r="G176" i="5"/>
  <c r="H176" i="5"/>
  <c r="O176" i="5"/>
  <c r="P176" i="5"/>
  <c r="J31" i="6" l="1"/>
  <c r="J51" i="6"/>
  <c r="J57" i="6"/>
  <c r="J72" i="6"/>
  <c r="J373" i="6"/>
  <c r="J115" i="6"/>
  <c r="J136" i="6"/>
  <c r="J522" i="6"/>
  <c r="J439" i="6"/>
  <c r="J558" i="6"/>
  <c r="J342" i="6"/>
  <c r="J241" i="6"/>
  <c r="J566" i="6"/>
  <c r="J248" i="6"/>
  <c r="J452" i="6"/>
  <c r="J254" i="6"/>
  <c r="J307" i="6"/>
  <c r="J589" i="6"/>
  <c r="J330" i="6"/>
  <c r="J484" i="6"/>
  <c r="J498" i="6"/>
  <c r="J515" i="6"/>
  <c r="J347" i="6"/>
  <c r="J579" i="6"/>
  <c r="J677" i="6"/>
  <c r="J700" i="6"/>
  <c r="J732" i="6"/>
  <c r="J27" i="6"/>
  <c r="J33" i="6"/>
  <c r="J40" i="6"/>
  <c r="J42" i="6"/>
  <c r="J148" i="6"/>
  <c r="J173" i="6"/>
  <c r="J214" i="6"/>
  <c r="J222" i="6"/>
  <c r="J314" i="6"/>
  <c r="J631" i="6"/>
  <c r="J394" i="6"/>
  <c r="J402" i="6"/>
  <c r="J706" i="6"/>
  <c r="J723" i="6"/>
  <c r="J744" i="6"/>
  <c r="J782" i="6"/>
  <c r="J705" i="6"/>
  <c r="J210" i="6"/>
  <c r="J781" i="6"/>
  <c r="J215" i="6"/>
  <c r="J244" i="6"/>
  <c r="J249" i="6"/>
  <c r="J312" i="6"/>
  <c r="J63" i="6"/>
  <c r="J113" i="6"/>
  <c r="J146" i="6"/>
  <c r="J332" i="6"/>
  <c r="J226" i="6"/>
  <c r="J345" i="6"/>
  <c r="J367" i="6"/>
  <c r="J245" i="6"/>
  <c r="J396" i="6"/>
  <c r="J445" i="6"/>
  <c r="J362" i="6"/>
  <c r="J448" i="6"/>
  <c r="J519" i="6"/>
  <c r="J435" i="6"/>
  <c r="J495" i="6"/>
  <c r="J499" i="6"/>
  <c r="J563" i="6"/>
  <c r="J584" i="6"/>
  <c r="J618" i="6"/>
  <c r="J320" i="6"/>
  <c r="J650" i="6"/>
  <c r="J686" i="6"/>
  <c r="J571" i="6"/>
  <c r="J712" i="6"/>
  <c r="J455" i="6"/>
  <c r="J733" i="6"/>
  <c r="J106" i="6"/>
  <c r="J747" i="6"/>
  <c r="J166" i="6"/>
  <c r="J784" i="6"/>
  <c r="G175" i="5"/>
  <c r="H175" i="5"/>
  <c r="O175" i="5"/>
  <c r="P175" i="5"/>
  <c r="G174" i="5"/>
  <c r="H174" i="5"/>
  <c r="O174" i="5"/>
  <c r="P174" i="5"/>
  <c r="J316" i="6" s="1"/>
  <c r="G173" i="5"/>
  <c r="H173" i="5"/>
  <c r="O173" i="5"/>
  <c r="P173" i="5"/>
  <c r="J11" i="6" l="1"/>
  <c r="J216" i="6"/>
  <c r="J974" i="6"/>
  <c r="J1000" i="6"/>
  <c r="J1015" i="6"/>
  <c r="J1070" i="6"/>
  <c r="J1077" i="6"/>
  <c r="J1021" i="6"/>
  <c r="J1038" i="6"/>
  <c r="P2" i="5"/>
  <c r="P3" i="5"/>
  <c r="P4" i="5"/>
  <c r="P5" i="5"/>
  <c r="P6" i="5"/>
  <c r="P7" i="5"/>
  <c r="P8" i="5"/>
  <c r="P9" i="5"/>
  <c r="P10" i="5"/>
  <c r="P11" i="5"/>
  <c r="P12" i="5"/>
  <c r="P13" i="5"/>
  <c r="J2854" i="6" s="1"/>
  <c r="P14" i="5"/>
  <c r="P15" i="5"/>
  <c r="P16" i="5"/>
  <c r="P17" i="5"/>
  <c r="P18" i="5"/>
  <c r="P19" i="5"/>
  <c r="P20" i="5"/>
  <c r="P21" i="5"/>
  <c r="P22" i="5"/>
  <c r="J3048" i="6" s="1"/>
  <c r="P23" i="5"/>
  <c r="P24" i="5"/>
  <c r="P25" i="5"/>
  <c r="J3047" i="6" s="1"/>
  <c r="P26" i="5"/>
  <c r="P27" i="5"/>
  <c r="P28" i="5"/>
  <c r="P29" i="5"/>
  <c r="P30" i="5"/>
  <c r="P31" i="5"/>
  <c r="P32" i="5"/>
  <c r="P33" i="5"/>
  <c r="P34" i="5"/>
  <c r="P35" i="5"/>
  <c r="P36" i="5"/>
  <c r="J2978" i="6" s="1"/>
  <c r="P37" i="5"/>
  <c r="P38" i="5"/>
  <c r="J2901" i="6" s="1"/>
  <c r="P39" i="5"/>
  <c r="P40" i="5"/>
  <c r="J2834" i="6" s="1"/>
  <c r="P41" i="5"/>
  <c r="P42" i="5"/>
  <c r="P43" i="5"/>
  <c r="P44" i="5"/>
  <c r="P45" i="5"/>
  <c r="P46" i="5"/>
  <c r="P47" i="5"/>
  <c r="P48" i="5"/>
  <c r="P49" i="5"/>
  <c r="P50" i="5"/>
  <c r="J2043" i="6" s="1"/>
  <c r="P51" i="5"/>
  <c r="P52" i="5"/>
  <c r="P53" i="5"/>
  <c r="P54" i="5"/>
  <c r="P55" i="5"/>
  <c r="P56" i="5"/>
  <c r="P57" i="5"/>
  <c r="P58" i="5"/>
  <c r="P59" i="5"/>
  <c r="P60" i="5"/>
  <c r="P61" i="5"/>
  <c r="P62" i="5"/>
  <c r="P63" i="5"/>
  <c r="J2271" i="6" s="1"/>
  <c r="P64" i="5"/>
  <c r="P65" i="5"/>
  <c r="P66" i="5"/>
  <c r="P67" i="5"/>
  <c r="P68" i="5"/>
  <c r="P69" i="5"/>
  <c r="P70" i="5"/>
  <c r="P71" i="5"/>
  <c r="P72" i="5"/>
  <c r="P73" i="5"/>
  <c r="P74" i="5"/>
  <c r="J1797" i="6" s="1"/>
  <c r="P75" i="5"/>
  <c r="P76" i="5"/>
  <c r="P77" i="5"/>
  <c r="P78" i="5"/>
  <c r="P79" i="5"/>
  <c r="P80" i="5"/>
  <c r="P81" i="5"/>
  <c r="P82" i="5"/>
  <c r="P83" i="5"/>
  <c r="J1895" i="6" s="1"/>
  <c r="P84" i="5"/>
  <c r="P85" i="5"/>
  <c r="P86" i="5"/>
  <c r="P87" i="5"/>
  <c r="P88" i="5"/>
  <c r="P89" i="5"/>
  <c r="P90" i="5"/>
  <c r="P91" i="5"/>
  <c r="P92" i="5"/>
  <c r="P93" i="5"/>
  <c r="P94" i="5"/>
  <c r="P95" i="5"/>
  <c r="P96" i="5"/>
  <c r="P97" i="5"/>
  <c r="P98" i="5"/>
  <c r="J1969" i="6" s="1"/>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J1588" i="6" s="1"/>
  <c r="P130" i="5"/>
  <c r="P131" i="5"/>
  <c r="J1012" i="6" s="1"/>
  <c r="P132" i="5"/>
  <c r="P133" i="5"/>
  <c r="P134" i="5"/>
  <c r="P135" i="5"/>
  <c r="P136" i="5"/>
  <c r="P137" i="5"/>
  <c r="P138" i="5"/>
  <c r="P139" i="5"/>
  <c r="P140" i="5"/>
  <c r="P141" i="5"/>
  <c r="P142" i="5"/>
  <c r="P143" i="5"/>
  <c r="P144" i="5"/>
  <c r="P145" i="5"/>
  <c r="P146" i="5"/>
  <c r="P147" i="5"/>
  <c r="P148" i="5"/>
  <c r="P149" i="5"/>
  <c r="P150" i="5"/>
  <c r="P151" i="5"/>
  <c r="P152" i="5"/>
  <c r="P153" i="5"/>
  <c r="P154" i="5"/>
  <c r="P155" i="5"/>
  <c r="P156" i="5"/>
  <c r="J1448" i="6" s="1"/>
  <c r="P157" i="5"/>
  <c r="P158" i="5"/>
  <c r="P159" i="5"/>
  <c r="P160" i="5"/>
  <c r="P161" i="5"/>
  <c r="P162" i="5"/>
  <c r="P163" i="5"/>
  <c r="P164" i="5"/>
  <c r="P165" i="5"/>
  <c r="P166" i="5"/>
  <c r="P167" i="5"/>
  <c r="P168" i="5"/>
  <c r="P169" i="5"/>
  <c r="P170" i="5"/>
  <c r="P171" i="5"/>
  <c r="P172" i="5"/>
  <c r="J2769" i="6" l="1"/>
  <c r="J2719" i="6"/>
  <c r="J3029" i="6"/>
  <c r="J2861" i="6"/>
  <c r="J2592" i="6"/>
  <c r="J3087" i="6"/>
  <c r="J3078" i="6"/>
  <c r="J2739" i="6"/>
  <c r="J2906" i="6"/>
  <c r="J3034" i="6"/>
  <c r="J3101" i="6"/>
  <c r="J2833" i="6"/>
  <c r="J3020" i="6"/>
  <c r="J2966" i="6"/>
  <c r="J2987" i="6"/>
  <c r="J2694" i="6"/>
  <c r="J2886" i="6"/>
  <c r="J2653" i="6"/>
  <c r="J2556" i="6"/>
  <c r="J3065" i="6"/>
  <c r="J3064" i="6"/>
  <c r="J2940" i="6"/>
  <c r="J2804" i="6"/>
  <c r="J2526" i="6"/>
  <c r="J2770" i="6"/>
  <c r="J2757" i="6"/>
  <c r="J2520" i="6"/>
  <c r="J2534" i="6"/>
  <c r="J2571" i="6"/>
  <c r="J2980" i="6"/>
  <c r="J2977" i="6"/>
  <c r="J2660" i="6"/>
  <c r="J2692" i="6"/>
  <c r="J2572" i="6"/>
  <c r="J2655" i="6"/>
  <c r="J2599" i="6"/>
  <c r="J2913" i="6"/>
  <c r="J2900" i="6"/>
  <c r="J2862" i="6"/>
  <c r="J2734" i="6"/>
  <c r="J2559" i="6"/>
  <c r="J2723" i="6"/>
  <c r="J2711" i="6"/>
  <c r="J3013" i="6"/>
  <c r="J2844" i="6"/>
  <c r="J2633" i="6"/>
  <c r="J2764" i="6"/>
  <c r="J2917" i="6"/>
  <c r="J2830" i="6"/>
  <c r="J2593" i="6"/>
  <c r="J2748" i="6"/>
  <c r="J2936" i="6"/>
  <c r="J2582" i="6"/>
  <c r="J2746" i="6"/>
  <c r="J2908" i="6"/>
  <c r="J2535" i="6"/>
  <c r="J2984" i="6"/>
  <c r="J2858" i="6"/>
  <c r="J2943" i="6"/>
  <c r="J2944" i="6"/>
  <c r="J2888" i="6"/>
  <c r="J2740" i="6"/>
  <c r="J2826" i="6"/>
  <c r="J2617" i="6"/>
  <c r="J2889" i="6"/>
  <c r="J2688" i="6"/>
  <c r="J2995" i="6"/>
  <c r="J2631" i="6"/>
  <c r="J2701" i="6"/>
  <c r="J2965" i="6"/>
  <c r="J2635" i="6"/>
  <c r="J2543" i="6"/>
  <c r="J2517" i="6"/>
  <c r="J2806" i="6"/>
  <c r="J2805" i="6"/>
  <c r="J2527" i="6"/>
  <c r="J2568" i="6"/>
  <c r="J3054" i="6"/>
  <c r="J3014" i="6"/>
  <c r="J3018" i="6"/>
  <c r="J3030" i="6"/>
  <c r="J3066" i="6"/>
  <c r="J3055" i="6"/>
  <c r="J3081" i="6"/>
  <c r="J3156" i="6"/>
  <c r="J3131" i="6"/>
  <c r="J3108" i="6"/>
  <c r="J2953" i="6"/>
  <c r="J2774" i="6"/>
  <c r="J2743" i="6"/>
  <c r="J2518" i="6"/>
  <c r="J2811" i="6"/>
  <c r="J2865" i="6"/>
  <c r="J2695" i="6"/>
  <c r="J2406" i="6"/>
  <c r="J2501" i="6"/>
  <c r="J2771" i="6"/>
  <c r="J2646" i="6"/>
  <c r="J2558" i="6"/>
  <c r="J2832" i="6"/>
  <c r="J2799" i="6"/>
  <c r="J2461" i="6"/>
  <c r="J2922" i="6"/>
  <c r="J2368" i="6"/>
  <c r="J2672" i="6"/>
  <c r="J3012" i="6"/>
  <c r="J3137" i="6"/>
  <c r="J3150" i="6"/>
  <c r="J2952" i="6"/>
  <c r="J2973" i="6"/>
  <c r="J3140" i="6"/>
  <c r="J3104" i="6"/>
  <c r="J3041" i="6"/>
  <c r="J3086" i="6"/>
  <c r="J3158" i="6"/>
  <c r="J3045" i="6"/>
  <c r="J3102" i="6"/>
  <c r="J3148" i="6"/>
  <c r="J3017" i="6"/>
  <c r="J3073" i="6"/>
  <c r="J3161" i="6"/>
  <c r="J3144" i="6"/>
  <c r="J3136" i="6"/>
  <c r="J3160" i="6"/>
  <c r="J3142" i="6"/>
  <c r="J3141" i="6"/>
  <c r="J3139" i="6"/>
  <c r="J3143" i="6"/>
  <c r="J3123" i="6"/>
  <c r="J3107" i="6"/>
  <c r="J3125" i="6"/>
  <c r="J2962" i="6"/>
  <c r="J2958" i="6"/>
  <c r="J2399" i="6"/>
  <c r="J2961" i="6"/>
  <c r="J2960" i="6"/>
  <c r="J2959" i="6"/>
  <c r="J3114" i="6"/>
  <c r="J2626" i="6"/>
  <c r="J3132" i="6"/>
  <c r="J3135" i="6"/>
  <c r="J3115" i="6"/>
  <c r="J2391" i="6"/>
  <c r="J2789" i="6"/>
  <c r="J2514" i="6"/>
  <c r="J2522" i="6"/>
  <c r="J2503" i="6"/>
  <c r="J2735" i="6"/>
  <c r="J2512" i="6"/>
  <c r="J2505" i="6"/>
  <c r="J2781" i="6"/>
  <c r="J2785" i="6"/>
  <c r="J2573" i="6"/>
  <c r="J2787" i="6"/>
  <c r="J2790" i="6"/>
  <c r="J2768" i="6"/>
  <c r="J2691" i="6"/>
  <c r="J2750" i="6"/>
  <c r="J2469" i="6"/>
  <c r="J2778" i="6"/>
  <c r="J2780" i="6"/>
  <c r="J2384" i="6"/>
  <c r="J2303" i="6"/>
  <c r="J2782" i="6"/>
  <c r="J2784" i="6"/>
  <c r="J2786" i="6"/>
  <c r="J2566" i="6"/>
  <c r="J2345" i="6"/>
  <c r="J2389" i="6"/>
  <c r="J2720" i="6"/>
  <c r="J2300" i="6"/>
  <c r="J2693" i="6"/>
  <c r="J2576" i="6"/>
  <c r="J3146" i="6"/>
  <c r="J2598" i="6"/>
  <c r="J2596" i="6"/>
  <c r="J2594" i="6"/>
  <c r="J2347" i="6"/>
  <c r="J2585" i="6"/>
  <c r="J2595" i="6"/>
  <c r="J2547" i="6"/>
  <c r="J2783" i="6"/>
  <c r="J2550" i="6"/>
  <c r="J2479" i="6"/>
  <c r="J2454" i="6"/>
  <c r="J2716" i="6"/>
  <c r="J3157" i="6"/>
  <c r="J2733" i="6"/>
  <c r="J2466" i="6"/>
  <c r="J2597" i="6"/>
  <c r="J2339" i="6"/>
  <c r="J2338" i="6"/>
  <c r="J2337" i="6"/>
  <c r="J2286" i="6"/>
  <c r="J3145" i="6"/>
  <c r="J3162" i="6"/>
  <c r="J2788" i="6"/>
  <c r="J3037" i="6"/>
  <c r="J2931" i="6"/>
  <c r="J2947" i="6"/>
  <c r="J3042" i="6"/>
  <c r="J2935" i="6"/>
  <c r="J3006" i="6"/>
  <c r="J2321" i="6"/>
  <c r="J2601" i="6"/>
  <c r="J2500" i="6"/>
  <c r="J2642" i="6"/>
  <c r="J2075" i="6"/>
  <c r="J2629" i="6"/>
  <c r="J1968" i="6"/>
  <c r="J2855" i="6"/>
  <c r="J1977" i="6"/>
  <c r="J2144" i="6"/>
  <c r="J2231" i="6"/>
  <c r="J2220" i="6"/>
  <c r="J2529" i="6"/>
  <c r="J2494" i="6"/>
  <c r="J2379" i="6"/>
  <c r="J2158" i="6"/>
  <c r="J2986" i="6"/>
  <c r="J2996" i="6"/>
  <c r="J2998" i="6"/>
  <c r="J3000" i="6"/>
  <c r="J3002" i="6"/>
  <c r="J3004" i="6"/>
  <c r="J2397" i="6"/>
  <c r="J3005" i="6"/>
  <c r="J2967" i="6"/>
  <c r="J2929" i="6"/>
  <c r="J3003" i="6"/>
  <c r="J2925" i="6"/>
  <c r="J2997" i="6"/>
  <c r="J2999" i="6"/>
  <c r="J3001" i="6"/>
  <c r="J2725" i="6"/>
  <c r="J2706" i="6"/>
  <c r="J1754" i="6"/>
  <c r="J2979" i="6"/>
  <c r="J2704" i="6"/>
  <c r="J2654" i="6"/>
  <c r="J2319" i="6"/>
  <c r="J1770" i="6"/>
  <c r="J1906" i="6"/>
  <c r="J2907" i="6"/>
  <c r="J2591" i="6"/>
  <c r="J2639" i="6"/>
  <c r="J1958" i="6"/>
  <c r="J2307" i="6"/>
  <c r="J2636" i="6"/>
  <c r="J1907" i="6"/>
  <c r="J2887" i="6"/>
  <c r="J1973" i="6"/>
  <c r="J1784" i="6"/>
  <c r="J2201" i="6"/>
  <c r="J2507" i="6"/>
  <c r="J2876" i="6"/>
  <c r="J2964" i="6"/>
  <c r="J2200" i="6"/>
  <c r="J2590" i="6"/>
  <c r="J2495" i="6"/>
  <c r="J2485" i="6"/>
  <c r="J2484" i="6"/>
  <c r="J2482" i="6"/>
  <c r="J2478" i="6"/>
  <c r="J2477" i="6"/>
  <c r="J1945" i="6"/>
  <c r="J2475" i="6"/>
  <c r="J2860" i="6"/>
  <c r="J2471" i="6"/>
  <c r="J1809" i="6"/>
  <c r="J2463" i="6"/>
  <c r="J2627" i="6"/>
  <c r="J2954" i="6"/>
  <c r="J1931" i="6"/>
  <c r="J1815" i="6"/>
  <c r="J2853" i="6"/>
  <c r="J2192" i="6"/>
  <c r="J2911" i="6"/>
  <c r="J2846" i="6"/>
  <c r="J2301" i="6"/>
  <c r="J2588" i="6"/>
  <c r="J2615" i="6"/>
  <c r="J2614" i="6"/>
  <c r="J2767" i="6"/>
  <c r="J2791" i="6"/>
  <c r="J2574" i="6"/>
  <c r="J1872" i="6"/>
  <c r="J1871" i="6"/>
  <c r="J2741" i="6"/>
  <c r="J2905" i="6"/>
  <c r="J2946" i="6"/>
  <c r="J2410" i="6"/>
  <c r="J2843" i="6"/>
  <c r="J2405" i="6"/>
  <c r="J2831" i="6"/>
  <c r="J2793" i="6"/>
  <c r="J2829" i="6"/>
  <c r="J2816" i="6"/>
  <c r="J1856" i="6"/>
  <c r="J1838" i="6"/>
  <c r="J3118" i="6"/>
  <c r="J2879" i="6"/>
  <c r="J2747" i="6"/>
  <c r="J1834" i="6"/>
  <c r="J3112" i="6"/>
  <c r="J2808" i="6"/>
  <c r="J2801" i="6"/>
  <c r="J2934" i="6"/>
  <c r="J2807" i="6"/>
  <c r="J1992" i="6"/>
  <c r="J2269" i="6"/>
  <c r="J2266" i="6"/>
  <c r="J2842" i="6"/>
  <c r="J1934" i="6"/>
  <c r="J2699" i="6"/>
  <c r="J2254" i="6"/>
  <c r="J2813" i="6"/>
  <c r="J2749" i="6"/>
  <c r="J1773" i="6"/>
  <c r="J1771" i="6"/>
  <c r="J2246" i="6"/>
  <c r="J2772" i="6"/>
  <c r="J1769" i="6"/>
  <c r="J2229" i="6"/>
  <c r="J1759" i="6"/>
  <c r="J1757" i="6"/>
  <c r="J2773" i="6"/>
  <c r="J2223" i="6"/>
  <c r="J1996" i="6"/>
  <c r="J2756" i="6"/>
  <c r="J2565" i="6"/>
  <c r="J2690" i="6"/>
  <c r="J2736" i="6"/>
  <c r="J3095" i="6"/>
  <c r="J3093" i="6"/>
  <c r="J2284" i="6"/>
  <c r="J2921" i="6"/>
  <c r="J2564" i="6"/>
  <c r="J2562" i="6"/>
  <c r="J2278" i="6"/>
  <c r="J2938" i="6"/>
  <c r="J2939" i="6"/>
  <c r="J2945" i="6"/>
  <c r="J2730" i="6"/>
  <c r="J2270" i="6"/>
  <c r="J2268" i="6"/>
  <c r="J2968" i="6"/>
  <c r="J2726" i="6"/>
  <c r="J2975" i="6"/>
  <c r="J2557" i="6"/>
  <c r="J3077" i="6"/>
  <c r="J2982" i="6"/>
  <c r="J2983" i="6"/>
  <c r="J2718" i="6"/>
  <c r="J2698" i="6"/>
  <c r="J2989" i="6"/>
  <c r="J2994" i="6"/>
  <c r="J2540" i="6"/>
  <c r="J2697" i="6"/>
  <c r="J2539" i="6"/>
  <c r="J2683" i="6"/>
  <c r="J2673" i="6"/>
  <c r="J2687" i="6"/>
  <c r="J2661" i="6"/>
  <c r="J3051" i="6"/>
  <c r="J2652" i="6"/>
  <c r="J2643" i="6"/>
  <c r="J3019" i="6"/>
  <c r="J3028" i="6"/>
  <c r="J3043" i="6"/>
  <c r="J2638" i="6"/>
  <c r="J3031" i="6"/>
  <c r="J2628" i="6"/>
  <c r="J3040" i="6"/>
  <c r="J2499" i="6"/>
  <c r="J3044" i="6"/>
  <c r="J3049" i="6"/>
  <c r="J3050" i="6"/>
  <c r="J2620" i="6"/>
  <c r="J3036" i="6"/>
  <c r="J2619" i="6"/>
  <c r="J3035" i="6"/>
  <c r="J2616" i="6"/>
  <c r="J3032" i="6"/>
  <c r="J3074" i="6"/>
  <c r="J2496" i="6"/>
  <c r="J2491" i="6"/>
  <c r="J2587" i="6"/>
  <c r="J3092" i="6"/>
  <c r="J3094" i="6"/>
  <c r="J2580" i="6"/>
  <c r="J2081" i="6"/>
  <c r="J3111" i="6"/>
  <c r="J3119" i="6"/>
  <c r="J2490" i="6"/>
  <c r="J2031" i="6"/>
  <c r="J2578" i="6"/>
  <c r="J2896" i="6"/>
  <c r="J2586" i="6"/>
  <c r="J2555" i="6"/>
  <c r="J2551" i="6"/>
  <c r="J2541" i="6"/>
  <c r="J3011" i="6"/>
  <c r="J2057" i="6"/>
  <c r="J2408" i="6"/>
  <c r="J1864" i="6"/>
  <c r="J2779" i="6"/>
  <c r="J2649" i="6"/>
  <c r="J2510" i="6"/>
  <c r="J2912" i="6"/>
  <c r="J2924" i="6"/>
  <c r="J2792" i="6"/>
  <c r="J2956" i="6"/>
  <c r="J2470" i="6"/>
  <c r="J2259" i="6"/>
  <c r="J2810" i="6"/>
  <c r="J2721" i="6"/>
  <c r="J2814" i="6"/>
  <c r="J3022" i="6"/>
  <c r="J2487" i="6"/>
  <c r="J2625" i="6"/>
  <c r="J2677" i="6"/>
  <c r="J3010" i="6"/>
  <c r="J3023" i="6"/>
  <c r="J2838" i="6"/>
  <c r="J2985" i="6"/>
  <c r="J2608" i="6"/>
  <c r="J2867" i="6"/>
  <c r="J2744" i="6"/>
  <c r="J2486" i="6"/>
  <c r="J2533" i="6"/>
  <c r="J2306" i="6"/>
  <c r="J2700" i="6"/>
  <c r="J2552" i="6"/>
  <c r="J3110" i="6"/>
  <c r="J3117" i="6"/>
  <c r="J3057" i="6"/>
  <c r="J3062" i="6"/>
  <c r="J3120" i="6"/>
  <c r="J3124" i="6"/>
  <c r="J3127" i="6"/>
  <c r="J3091" i="6"/>
  <c r="J3063" i="6"/>
  <c r="J3116" i="6"/>
  <c r="J3159" i="6"/>
  <c r="J3109" i="6"/>
  <c r="J3121" i="6"/>
  <c r="J3122" i="6"/>
  <c r="J3113" i="6"/>
  <c r="J3133" i="6"/>
  <c r="J3138" i="6"/>
  <c r="J3147" i="6"/>
  <c r="J3149" i="6"/>
  <c r="J3151" i="6"/>
  <c r="J3155" i="6"/>
  <c r="J3105" i="6"/>
  <c r="J1128" i="6"/>
  <c r="J2160" i="6"/>
  <c r="J2150" i="6"/>
  <c r="J1327" i="6"/>
  <c r="J1319" i="6"/>
  <c r="J1158" i="6"/>
  <c r="J2118" i="6"/>
  <c r="J1318" i="6"/>
  <c r="J2088" i="6"/>
  <c r="J1177" i="6"/>
  <c r="J1178" i="6"/>
  <c r="J2087" i="6"/>
  <c r="J2086" i="6"/>
  <c r="J2077" i="6"/>
  <c r="J1192" i="6"/>
  <c r="J1194" i="6"/>
  <c r="J1292" i="6"/>
  <c r="J1204" i="6"/>
  <c r="J1291" i="6"/>
  <c r="J1219" i="6"/>
  <c r="J2061" i="6"/>
  <c r="J1263" i="6"/>
  <c r="J1230" i="6"/>
  <c r="J2048" i="6"/>
  <c r="J2047" i="6"/>
  <c r="J1706" i="6"/>
  <c r="J2035" i="6"/>
  <c r="J1245" i="6"/>
  <c r="J1250" i="6"/>
  <c r="J2032" i="6"/>
  <c r="J1249" i="6"/>
  <c r="J1248" i="6"/>
  <c r="J1234" i="6"/>
  <c r="J1258" i="6"/>
  <c r="J1259" i="6"/>
  <c r="J2030" i="6"/>
  <c r="J1262" i="6"/>
  <c r="J1264" i="6"/>
  <c r="J2027" i="6"/>
  <c r="J1233" i="6"/>
  <c r="J1231" i="6"/>
  <c r="J1278" i="6"/>
  <c r="J1279" i="6"/>
  <c r="J1280" i="6"/>
  <c r="J1281" i="6"/>
  <c r="J1282" i="6"/>
  <c r="J1214" i="6"/>
  <c r="J2013" i="6"/>
  <c r="J1295" i="6"/>
  <c r="J1296" i="6"/>
  <c r="J1205" i="6"/>
  <c r="J1980" i="6"/>
  <c r="J1979" i="6"/>
  <c r="J1193" i="6"/>
  <c r="J1186" i="6"/>
  <c r="J1320" i="6"/>
  <c r="J1185" i="6"/>
  <c r="J1961" i="6"/>
  <c r="J1328" i="6"/>
  <c r="J1960" i="6"/>
  <c r="J1184" i="6"/>
  <c r="J1953" i="6"/>
  <c r="J1951" i="6"/>
  <c r="J1345" i="6"/>
  <c r="J1346" i="6"/>
  <c r="J1350" i="6"/>
  <c r="J1942" i="6"/>
  <c r="J1938" i="6"/>
  <c r="J1937" i="6"/>
  <c r="J1159" i="6"/>
  <c r="J1364" i="6"/>
  <c r="J1157" i="6"/>
  <c r="J1154" i="6"/>
  <c r="J1153" i="6"/>
  <c r="J1152" i="6"/>
  <c r="J1380" i="6"/>
  <c r="J1381" i="6"/>
  <c r="J1882" i="6"/>
  <c r="J1881" i="6"/>
  <c r="J1393" i="6"/>
  <c r="J1400" i="6"/>
  <c r="J1401" i="6"/>
  <c r="J1133" i="6"/>
  <c r="J1132" i="6"/>
  <c r="J1869" i="6"/>
  <c r="J1120" i="6"/>
  <c r="J1412" i="6"/>
  <c r="J1851" i="6"/>
  <c r="J1420" i="6"/>
  <c r="J1422" i="6"/>
  <c r="J1424" i="6"/>
  <c r="J1425" i="6"/>
  <c r="J1111" i="6"/>
  <c r="J1110" i="6"/>
  <c r="J1836" i="6"/>
  <c r="J1827" i="6"/>
  <c r="J1821" i="6"/>
  <c r="J1097" i="6"/>
  <c r="J1446" i="6"/>
  <c r="J1447" i="6"/>
  <c r="J1096" i="6"/>
  <c r="J1092" i="6"/>
  <c r="J1816" i="6"/>
  <c r="J1801" i="6"/>
  <c r="J1461" i="6"/>
  <c r="J1462" i="6"/>
  <c r="J1781" i="6"/>
  <c r="J1469" i="6"/>
  <c r="J1768" i="6"/>
  <c r="J1712" i="6"/>
  <c r="J1486" i="6"/>
  <c r="J1488" i="6"/>
  <c r="J1710" i="6"/>
  <c r="J1708" i="6"/>
  <c r="J1064" i="6"/>
  <c r="J1062" i="6"/>
  <c r="J1499" i="6"/>
  <c r="J1705" i="6"/>
  <c r="J1676" i="6"/>
  <c r="J1675" i="6"/>
  <c r="J1671" i="6"/>
  <c r="J1518" i="6"/>
  <c r="J1519" i="6"/>
  <c r="J1520" i="6"/>
  <c r="J1528" i="6"/>
  <c r="J1529" i="6"/>
  <c r="J1533" i="6"/>
  <c r="J1534" i="6"/>
  <c r="J1561" i="6"/>
  <c r="J1571" i="6"/>
  <c r="J1572" i="6"/>
  <c r="J1592" i="6"/>
  <c r="J932" i="6"/>
  <c r="J1599" i="6"/>
  <c r="J931" i="6"/>
  <c r="J930" i="6"/>
  <c r="J929" i="6"/>
  <c r="J1619" i="6"/>
  <c r="J1662" i="6"/>
  <c r="J1663" i="6"/>
  <c r="J1668" i="6"/>
  <c r="J1678" i="6"/>
  <c r="J1703" i="6"/>
  <c r="J1707" i="6"/>
  <c r="J1772" i="6"/>
  <c r="J1780" i="6"/>
  <c r="J1788" i="6"/>
  <c r="J1789" i="6"/>
  <c r="J1802" i="6"/>
  <c r="J1806" i="6"/>
  <c r="J1807" i="6"/>
  <c r="J1817" i="6"/>
  <c r="J1822" i="6"/>
  <c r="J1828" i="6"/>
  <c r="J1835" i="6"/>
  <c r="J1849" i="6"/>
  <c r="J1850" i="6"/>
  <c r="J1857" i="6"/>
  <c r="J1858" i="6"/>
  <c r="J1867" i="6"/>
  <c r="J1868" i="6"/>
  <c r="J1883" i="6"/>
  <c r="J1893" i="6"/>
  <c r="J1901" i="6"/>
  <c r="J1902" i="6"/>
  <c r="J1914" i="6"/>
  <c r="J1915" i="6"/>
  <c r="J1929" i="6"/>
  <c r="J1930" i="6"/>
  <c r="J1952" i="6"/>
  <c r="J1954" i="6"/>
  <c r="J1962" i="6"/>
  <c r="J2014" i="6"/>
  <c r="J1899" i="6"/>
  <c r="J2019" i="6"/>
  <c r="J2028" i="6"/>
  <c r="J2029" i="6"/>
  <c r="J2033" i="6"/>
  <c r="J2034" i="6"/>
  <c r="J2059" i="6"/>
  <c r="J2076" i="6"/>
  <c r="J2117" i="6"/>
  <c r="J2119" i="6"/>
  <c r="J2125" i="6"/>
  <c r="J2126" i="6"/>
  <c r="J2147" i="6"/>
  <c r="J2148" i="6"/>
  <c r="J2159" i="6"/>
  <c r="J2193" i="6"/>
  <c r="J2203" i="6"/>
  <c r="J2204" i="6"/>
  <c r="J2214" i="6"/>
  <c r="J2235" i="6"/>
  <c r="J2250" i="6"/>
  <c r="J2251" i="6"/>
  <c r="J2277" i="6"/>
  <c r="J2281" i="6"/>
  <c r="J2283" i="6"/>
  <c r="J2296" i="6"/>
  <c r="J2314" i="6"/>
  <c r="J2316" i="6"/>
  <c r="J2317" i="6"/>
  <c r="J2329" i="6"/>
  <c r="J2336" i="6"/>
  <c r="J2358" i="6"/>
  <c r="J2388" i="6"/>
  <c r="J2393" i="6"/>
  <c r="J2412" i="6"/>
  <c r="J2414" i="6"/>
  <c r="J2415" i="6"/>
  <c r="J2417" i="6"/>
  <c r="J2419" i="6"/>
  <c r="J2421" i="6"/>
  <c r="J2423" i="6"/>
  <c r="J2425" i="6"/>
  <c r="J2427" i="6"/>
  <c r="J2429" i="6"/>
  <c r="J2431" i="6"/>
  <c r="J2433" i="6"/>
  <c r="J2435" i="6"/>
  <c r="J2436" i="6"/>
  <c r="J2439" i="6"/>
  <c r="J2440" i="6"/>
  <c r="J2443" i="6"/>
  <c r="J2445" i="6"/>
  <c r="J2447" i="6"/>
  <c r="J2449" i="6"/>
  <c r="J2018" i="6"/>
  <c r="J1362" i="6"/>
  <c r="J1635" i="6"/>
  <c r="J1634" i="6"/>
  <c r="J1620" i="6"/>
  <c r="J1618" i="6"/>
  <c r="J1617" i="6"/>
  <c r="J1600" i="6"/>
  <c r="J1593" i="6"/>
  <c r="J1582" i="6"/>
  <c r="J1581" i="6"/>
  <c r="J1580" i="6"/>
  <c r="J1560" i="6"/>
  <c r="J1559" i="6"/>
  <c r="J1558" i="6"/>
  <c r="J1546" i="6"/>
  <c r="J1544" i="6"/>
  <c r="J1543" i="6"/>
  <c r="J2448" i="6"/>
  <c r="J2446" i="6"/>
  <c r="J2444" i="6"/>
  <c r="J2442" i="6"/>
  <c r="J2441" i="6"/>
  <c r="J2438" i="6"/>
  <c r="J2437" i="6"/>
  <c r="J2434" i="6"/>
  <c r="J1505" i="6"/>
  <c r="J1504" i="6"/>
  <c r="J2432" i="6"/>
  <c r="J2430" i="6"/>
  <c r="J2428" i="6"/>
  <c r="J2426" i="6"/>
  <c r="J1498" i="6"/>
  <c r="J2424" i="6"/>
  <c r="J2422" i="6"/>
  <c r="J2420" i="6"/>
  <c r="J1487" i="6"/>
  <c r="J2418" i="6"/>
  <c r="J2416" i="6"/>
  <c r="J2411" i="6"/>
  <c r="J2394" i="6"/>
  <c r="J1470" i="6"/>
  <c r="J2387" i="6"/>
  <c r="J2381" i="6"/>
  <c r="J2380" i="6"/>
  <c r="J1452" i="6"/>
  <c r="J933" i="6"/>
  <c r="J2367" i="6"/>
  <c r="J1451" i="6"/>
  <c r="J2366" i="6"/>
  <c r="J2359" i="6"/>
  <c r="J2351" i="6"/>
  <c r="J2350" i="6"/>
  <c r="J1435" i="6"/>
  <c r="J1433" i="6"/>
  <c r="J1421" i="6"/>
  <c r="J1411" i="6"/>
  <c r="J2328" i="6"/>
  <c r="J2327" i="6"/>
  <c r="J1394" i="6"/>
  <c r="J2297" i="6"/>
  <c r="J1388" i="6"/>
  <c r="J1387" i="6"/>
  <c r="J2282" i="6"/>
  <c r="J2280" i="6"/>
  <c r="J1378" i="6"/>
  <c r="J1375" i="6"/>
  <c r="J1365" i="6"/>
  <c r="J1363" i="6"/>
  <c r="J2257" i="6"/>
  <c r="J2256" i="6"/>
  <c r="J2241" i="6"/>
  <c r="J1063" i="6"/>
  <c r="J2240" i="6"/>
  <c r="J2236" i="6"/>
  <c r="J2234" i="6"/>
  <c r="J1349" i="6"/>
  <c r="J1091" i="6"/>
  <c r="J2215" i="6"/>
  <c r="J1337" i="6"/>
  <c r="J2187" i="6"/>
  <c r="J2186" i="6"/>
  <c r="J1119" i="6"/>
  <c r="J1121" i="6"/>
  <c r="J2185" i="6"/>
  <c r="J2184" i="6"/>
  <c r="J1127" i="6"/>
  <c r="J2950" i="6"/>
  <c r="J2753" i="6"/>
  <c r="J3060" i="6"/>
  <c r="J2679" i="6"/>
  <c r="J3058" i="6"/>
  <c r="J3052" i="6"/>
  <c r="J2920" i="6"/>
  <c r="J3053" i="6"/>
  <c r="J2754" i="6"/>
  <c r="J2752" i="6"/>
  <c r="J2681" i="6"/>
  <c r="J2686" i="6"/>
  <c r="J2840" i="6"/>
  <c r="J3059" i="6"/>
  <c r="J3068" i="6"/>
  <c r="J3070" i="6"/>
  <c r="J3075" i="6"/>
  <c r="J2759" i="6"/>
  <c r="J2760" i="6"/>
  <c r="J2728" i="6"/>
  <c r="J2820" i="6"/>
  <c r="J2972" i="6"/>
  <c r="J2974" i="6"/>
  <c r="J2715" i="6"/>
  <c r="J3008" i="6"/>
  <c r="J2657" i="6"/>
  <c r="J2658" i="6"/>
  <c r="J2903" i="6"/>
  <c r="J2729" i="6"/>
  <c r="J2976" i="6"/>
  <c r="J2825" i="6"/>
  <c r="J2992" i="6"/>
  <c r="J2684" i="6"/>
  <c r="J3097" i="6"/>
  <c r="J2990" i="6"/>
  <c r="J2727" i="6"/>
  <c r="J2823" i="6"/>
  <c r="J2971" i="6"/>
  <c r="J3098" i="6"/>
  <c r="J2970" i="6"/>
  <c r="J3128" i="6"/>
  <c r="J2898" i="6"/>
  <c r="J2991" i="6"/>
  <c r="J3130" i="6"/>
  <c r="J2659" i="6"/>
  <c r="J2821" i="6"/>
  <c r="J2819" i="6"/>
  <c r="J2951" i="6"/>
  <c r="J3152" i="6"/>
  <c r="J3154" i="6"/>
  <c r="J2949" i="6"/>
  <c r="J2850" i="6"/>
  <c r="J2709" i="6"/>
  <c r="J2919" i="6"/>
  <c r="J2918" i="6"/>
  <c r="J2708" i="6"/>
  <c r="J2881" i="6"/>
  <c r="J2883" i="6"/>
  <c r="J2797" i="6"/>
  <c r="J3153" i="6"/>
  <c r="J3099" i="6"/>
  <c r="J2795" i="6"/>
  <c r="J2904" i="6"/>
  <c r="J2899" i="6"/>
  <c r="J3076" i="6"/>
  <c r="J2451" i="6"/>
  <c r="J2453" i="6"/>
  <c r="J2685" i="6"/>
  <c r="J2710" i="6"/>
  <c r="J2884" i="6"/>
  <c r="J2882" i="6"/>
  <c r="J2751" i="6"/>
  <c r="J2849" i="6"/>
  <c r="J3071" i="6"/>
  <c r="J2682" i="6"/>
  <c r="J2452" i="6"/>
  <c r="J2450" i="6"/>
  <c r="J2841" i="6"/>
  <c r="J2839" i="6"/>
  <c r="J3007" i="6"/>
  <c r="J3009" i="6"/>
  <c r="J2824" i="6"/>
  <c r="J3069" i="6"/>
  <c r="J3129" i="6"/>
  <c r="J2798" i="6"/>
  <c r="J2796" i="6"/>
  <c r="J2794" i="6"/>
  <c r="J2680" i="6"/>
  <c r="J2761" i="6"/>
  <c r="J2713" i="6"/>
  <c r="J2714" i="6"/>
  <c r="J3134" i="6"/>
  <c r="J3126" i="6"/>
  <c r="J2216" i="6"/>
  <c r="J2287" i="6"/>
  <c r="J2224" i="6"/>
  <c r="J2211" i="6"/>
  <c r="J2222" i="6"/>
  <c r="J2197" i="6"/>
  <c r="J2207" i="6"/>
  <c r="J2285" i="6"/>
  <c r="J2267" i="6"/>
  <c r="J2264" i="6"/>
  <c r="J2239" i="6"/>
  <c r="J3088" i="6"/>
  <c r="J3090" i="6"/>
  <c r="J3100" i="6"/>
  <c r="J3085" i="6"/>
  <c r="J3106" i="6"/>
  <c r="J3103" i="6"/>
  <c r="J3096" i="6"/>
  <c r="J3089" i="6"/>
  <c r="J2993" i="6"/>
  <c r="J2563" i="6"/>
  <c r="J2815" i="6"/>
  <c r="J2877" i="6"/>
  <c r="J2891" i="6"/>
  <c r="J2800" i="6"/>
  <c r="J2915" i="6"/>
  <c r="J2910" i="6"/>
  <c r="J2895" i="6"/>
  <c r="J2851" i="6"/>
  <c r="J2847" i="6"/>
  <c r="J2742" i="6"/>
  <c r="J3027" i="6"/>
  <c r="J2530" i="6"/>
  <c r="J2702" i="6"/>
  <c r="J2577" i="6"/>
  <c r="J2583" i="6"/>
  <c r="J2640" i="6"/>
  <c r="J2732" i="6"/>
  <c r="J2712" i="6"/>
  <c r="J2548" i="6"/>
  <c r="J2689" i="6"/>
  <c r="J2647" i="6"/>
  <c r="J2937" i="6"/>
  <c r="J3026" i="6"/>
  <c r="J2606" i="6"/>
  <c r="J2969" i="6"/>
  <c r="J2916" i="6"/>
  <c r="J2612" i="6"/>
  <c r="J2828" i="6"/>
  <c r="J2674" i="6"/>
  <c r="J3016" i="6"/>
  <c r="J2763" i="6"/>
  <c r="J2765" i="6"/>
  <c r="J2981" i="6"/>
  <c r="J2662" i="6"/>
  <c r="J2955" i="6"/>
  <c r="J3025" i="6"/>
  <c r="J2866" i="6"/>
  <c r="J3061" i="6"/>
  <c r="J3039" i="6"/>
  <c r="J3015" i="6"/>
  <c r="J3072" i="6"/>
  <c r="J3083" i="6"/>
  <c r="J3079" i="6"/>
  <c r="J3056" i="6"/>
  <c r="J3038" i="6"/>
  <c r="J3080" i="6"/>
  <c r="J3033" i="6"/>
  <c r="J3082" i="6"/>
  <c r="J3084" i="6"/>
  <c r="J3067" i="6"/>
  <c r="J2371" i="6"/>
  <c r="J3021" i="6"/>
  <c r="J2130" i="6"/>
  <c r="J2892" i="6"/>
  <c r="J2941" i="6"/>
  <c r="J2549" i="6"/>
  <c r="J2600" i="6"/>
  <c r="J2648" i="6"/>
  <c r="J3046" i="6"/>
  <c r="J2859" i="6"/>
  <c r="J2243" i="6"/>
  <c r="J2738" i="6"/>
  <c r="J2483" i="6"/>
  <c r="J2360" i="6"/>
  <c r="J2857" i="6"/>
  <c r="J2776" i="6"/>
  <c r="J2872" i="6"/>
  <c r="J2407" i="6"/>
  <c r="J2310" i="6"/>
  <c r="J2873" i="6"/>
  <c r="J2195" i="6"/>
  <c r="J2874" i="6"/>
  <c r="J2870" i="6"/>
  <c r="J2324" i="6"/>
  <c r="J2758" i="6"/>
  <c r="J2868" i="6"/>
  <c r="J2226" i="6"/>
  <c r="J2332" i="6"/>
  <c r="J2178" i="6"/>
  <c r="J2474" i="6"/>
  <c r="J2325" i="6"/>
  <c r="J2392" i="6"/>
  <c r="J2458" i="6"/>
  <c r="J2346" i="6"/>
  <c r="J2812" i="6"/>
  <c r="J2341" i="6"/>
  <c r="J2871" i="6"/>
  <c r="J2836" i="6"/>
  <c r="J2373" i="6"/>
  <c r="J2290" i="6"/>
  <c r="J2869" i="6"/>
  <c r="J2837" i="6"/>
  <c r="J2302" i="6"/>
  <c r="J2252" i="6"/>
  <c r="J2370" i="6"/>
  <c r="J2856" i="6"/>
  <c r="J2242" i="6"/>
  <c r="J2516" i="6"/>
  <c r="J2462" i="6"/>
  <c r="J2546" i="6"/>
  <c r="J2401" i="6"/>
  <c r="J2493" i="6"/>
  <c r="J2525" i="6"/>
  <c r="J2055" i="6"/>
  <c r="J2176" i="6"/>
  <c r="J1964" i="6"/>
  <c r="J2103" i="6"/>
  <c r="J2349" i="6"/>
  <c r="J2731" i="6"/>
  <c r="J2988" i="6"/>
  <c r="J2279" i="6"/>
  <c r="J2069" i="6"/>
  <c r="J1978" i="6"/>
  <c r="J2644" i="6"/>
  <c r="J2676" i="6"/>
  <c r="J2498" i="6"/>
  <c r="J2395" i="6"/>
  <c r="J2506" i="6"/>
  <c r="J2145" i="6"/>
  <c r="J2199" i="6"/>
  <c r="J2878" i="6"/>
  <c r="J2827" i="6"/>
  <c r="J2802" i="6"/>
  <c r="J2467" i="6"/>
  <c r="J1917" i="6"/>
  <c r="J2561" i="6"/>
  <c r="J2120" i="6"/>
  <c r="J2209" i="6"/>
  <c r="J2206" i="6"/>
  <c r="J2263" i="6"/>
  <c r="J2309" i="6"/>
  <c r="J2167" i="6"/>
  <c r="J2181" i="6"/>
  <c r="J2133" i="6"/>
  <c r="J2521" i="6"/>
  <c r="J2492" i="6"/>
  <c r="J2331" i="6"/>
  <c r="J2357" i="6"/>
  <c r="J2378" i="6"/>
  <c r="J2531" i="6"/>
  <c r="J2225" i="6"/>
  <c r="J2459" i="6"/>
  <c r="J2403" i="6"/>
  <c r="J2472" i="6"/>
  <c r="J2504" i="6"/>
  <c r="J2155" i="6"/>
  <c r="J2107" i="6"/>
  <c r="J2927" i="6"/>
  <c r="J2575" i="6"/>
  <c r="J2930" i="6"/>
  <c r="J2963" i="6"/>
  <c r="J2822" i="6"/>
  <c r="J2724" i="6"/>
  <c r="J2894" i="6"/>
  <c r="J2603" i="6"/>
  <c r="J2852" i="6"/>
  <c r="J2926" i="6"/>
  <c r="J2928" i="6"/>
  <c r="J2605" i="6"/>
  <c r="J2261" i="6"/>
  <c r="J2262" i="6"/>
  <c r="J3024" i="6"/>
  <c r="J2258" i="6"/>
  <c r="J2914" i="6"/>
  <c r="J2554" i="6"/>
  <c r="J2880" i="6"/>
  <c r="J2933" i="6"/>
  <c r="J2942" i="6"/>
  <c r="J2156" i="6"/>
  <c r="J2902" i="6"/>
  <c r="J2523" i="6"/>
  <c r="J2897" i="6"/>
  <c r="J2775" i="6"/>
  <c r="J2717" i="6"/>
  <c r="J2570" i="6"/>
  <c r="J2705" i="6"/>
  <c r="J2607" i="6"/>
  <c r="J2678" i="6"/>
  <c r="J2611" i="6"/>
  <c r="J2696" i="6"/>
  <c r="J2762" i="6"/>
  <c r="J2488" i="6"/>
  <c r="J2737" i="6"/>
  <c r="J2845" i="6"/>
  <c r="J2864" i="6"/>
  <c r="J2650" i="6"/>
  <c r="J2755" i="6"/>
  <c r="J2923" i="6"/>
  <c r="J2675" i="6"/>
  <c r="J2848" i="6"/>
  <c r="J2637" i="6"/>
  <c r="J2645" i="6"/>
  <c r="J2803" i="6"/>
  <c r="J2621" i="6"/>
  <c r="J2890" i="6"/>
  <c r="J2957" i="6"/>
  <c r="J2818" i="6"/>
  <c r="J2400" i="6"/>
  <c r="J2948" i="6"/>
  <c r="J2766" i="6"/>
  <c r="J2272" i="6"/>
  <c r="J2671" i="6"/>
  <c r="J2382" i="6"/>
  <c r="J2777" i="6"/>
  <c r="J2569" i="6"/>
  <c r="J2893" i="6"/>
  <c r="J2298" i="6"/>
  <c r="J2863" i="6"/>
  <c r="J2909" i="6"/>
  <c r="J2885" i="6"/>
  <c r="J2632" i="6"/>
  <c r="J2623" i="6"/>
  <c r="J2817" i="6"/>
  <c r="J2835" i="6"/>
  <c r="J2722" i="6"/>
  <c r="J2809" i="6"/>
  <c r="J2703" i="6"/>
  <c r="J2398" i="6"/>
  <c r="J2932" i="6"/>
  <c r="J2352" i="6"/>
  <c r="J2604" i="6"/>
  <c r="J2707" i="6"/>
  <c r="J2745" i="6"/>
  <c r="J2875" i="6"/>
  <c r="J2106" i="6"/>
  <c r="J2402" i="6"/>
  <c r="J2326" i="6"/>
  <c r="J2170" i="6"/>
  <c r="J2072" i="6"/>
  <c r="J2227" i="6"/>
  <c r="J1911" i="6"/>
  <c r="J2108" i="6"/>
  <c r="J2016" i="6"/>
  <c r="J1256" i="6"/>
  <c r="J1739" i="6"/>
  <c r="J1731" i="6"/>
  <c r="J1659" i="6"/>
  <c r="J1621" i="6"/>
  <c r="J1532" i="6"/>
  <c r="J1237" i="6"/>
  <c r="J1651" i="6"/>
  <c r="J1690" i="6"/>
  <c r="J1493" i="6"/>
  <c r="J1719" i="6"/>
  <c r="J1471" i="6"/>
  <c r="J1798" i="6"/>
  <c r="J1385" i="6"/>
  <c r="J1408" i="6"/>
  <c r="J1311" i="6"/>
  <c r="J1415" i="6"/>
  <c r="J1182" i="6"/>
  <c r="J1950" i="6"/>
  <c r="J1321" i="6"/>
  <c r="J1975" i="6"/>
  <c r="J1566" i="6"/>
  <c r="J1173" i="6"/>
  <c r="J1309" i="6"/>
  <c r="J1639" i="6"/>
  <c r="J1344" i="6"/>
  <c r="J2084" i="6"/>
  <c r="J1888" i="6"/>
  <c r="J1874" i="6"/>
  <c r="J1198" i="6"/>
  <c r="J1959" i="6"/>
  <c r="J1860" i="6"/>
  <c r="J1855" i="6"/>
  <c r="J2060" i="6"/>
  <c r="J1206" i="6"/>
  <c r="J1290" i="6"/>
  <c r="J1939" i="6"/>
  <c r="J1791" i="6"/>
  <c r="J2022" i="6"/>
  <c r="J1763" i="6"/>
  <c r="J1761" i="6"/>
  <c r="J1826" i="6"/>
  <c r="J2396" i="6"/>
  <c r="J2476" i="6"/>
  <c r="J2168" i="6"/>
  <c r="J2455" i="6"/>
  <c r="J1991" i="6"/>
  <c r="J2409" i="6"/>
  <c r="J2344" i="6"/>
  <c r="J2066" i="6"/>
  <c r="J1922" i="6"/>
  <c r="J2078" i="6"/>
  <c r="J2064" i="6"/>
  <c r="J2320" i="6"/>
  <c r="J1782" i="6"/>
  <c r="J1796" i="6"/>
  <c r="J2383" i="6"/>
  <c r="J2044" i="6"/>
  <c r="J2538" i="6"/>
  <c r="J2375" i="6"/>
  <c r="J2037" i="6"/>
  <c r="J2508" i="6"/>
  <c r="J2128" i="6"/>
  <c r="J2630" i="6"/>
  <c r="J2142" i="6"/>
  <c r="J2353" i="6"/>
  <c r="J2335" i="6"/>
  <c r="J2489" i="6"/>
  <c r="J2315" i="6"/>
  <c r="J2097" i="6"/>
  <c r="J2634" i="6"/>
  <c r="J2669" i="6"/>
  <c r="J2524" i="6"/>
  <c r="J2212" i="6"/>
  <c r="J2665" i="6"/>
  <c r="J2663" i="6"/>
  <c r="J2473" i="6"/>
  <c r="J2017" i="6"/>
  <c r="J2015" i="6"/>
  <c r="J2651" i="6"/>
  <c r="J2464" i="6"/>
  <c r="J2581" i="6"/>
  <c r="J2497" i="6"/>
  <c r="J2012" i="6"/>
  <c r="J2006" i="6"/>
  <c r="J2609" i="6"/>
  <c r="J1889" i="6"/>
  <c r="J2230" i="6"/>
  <c r="J2613" i="6"/>
  <c r="J2641" i="6"/>
  <c r="J1981" i="6"/>
  <c r="J2299" i="6"/>
  <c r="J2157" i="6"/>
  <c r="J2670" i="6"/>
  <c r="J2289" i="6"/>
  <c r="J2274" i="6"/>
  <c r="J2191" i="6"/>
  <c r="J2656" i="6"/>
  <c r="J1935" i="6"/>
  <c r="J1905" i="6"/>
  <c r="J2244" i="6"/>
  <c r="J2365" i="6"/>
  <c r="J2112" i="6"/>
  <c r="J1885" i="6"/>
  <c r="J1956" i="6"/>
  <c r="J2664" i="6"/>
  <c r="J2618" i="6"/>
  <c r="J2020" i="6"/>
  <c r="J2039" i="6"/>
  <c r="J2528" i="6"/>
  <c r="J1897" i="6"/>
  <c r="J1880" i="6"/>
  <c r="J2255" i="6"/>
  <c r="J2666" i="6"/>
  <c r="J2238" i="6"/>
  <c r="J2071" i="6"/>
  <c r="J2560" i="6"/>
  <c r="J2610" i="6"/>
  <c r="J2624" i="6"/>
  <c r="J1853" i="6"/>
  <c r="J2218" i="6"/>
  <c r="J2579" i="6"/>
  <c r="J2567" i="6"/>
  <c r="J2602" i="6"/>
  <c r="J2153" i="6"/>
  <c r="J2502" i="6"/>
  <c r="J2553" i="6"/>
  <c r="J2545" i="6"/>
  <c r="J1823" i="6"/>
  <c r="J2668" i="6"/>
  <c r="J2532" i="6"/>
  <c r="J1946" i="6"/>
  <c r="J1830" i="6"/>
  <c r="J2519" i="6"/>
  <c r="J1793" i="6"/>
  <c r="J2515" i="6"/>
  <c r="J1944" i="6"/>
  <c r="J2667" i="6"/>
  <c r="J1833" i="6"/>
  <c r="J1843" i="6"/>
  <c r="J1862" i="6"/>
  <c r="J1884" i="6"/>
  <c r="J1886" i="6"/>
  <c r="J1910" i="6"/>
  <c r="J1925" i="6"/>
  <c r="J1943" i="6"/>
  <c r="J2004" i="6"/>
  <c r="J2021" i="6"/>
  <c r="J2023" i="6"/>
  <c r="J2050" i="6"/>
  <c r="J2062" i="6"/>
  <c r="J2091" i="6"/>
  <c r="J2129" i="6"/>
  <c r="J2228" i="6"/>
  <c r="J2248" i="6"/>
  <c r="J2291" i="6"/>
  <c r="J2308" i="6"/>
  <c r="J2311" i="6"/>
  <c r="J2330" i="6"/>
  <c r="J2333" i="6"/>
  <c r="J2376" i="6"/>
  <c r="J2460" i="6"/>
  <c r="J2480" i="6"/>
  <c r="J2513" i="6"/>
  <c r="J1665" i="6"/>
  <c r="J1683" i="6"/>
  <c r="J1733" i="6"/>
  <c r="J1753" i="6"/>
  <c r="J1767" i="6"/>
  <c r="J1820" i="6"/>
  <c r="J1898" i="6"/>
  <c r="J1948" i="6"/>
  <c r="J2009" i="6"/>
  <c r="J2083" i="6"/>
  <c r="J2111" i="6"/>
  <c r="J2166" i="6"/>
  <c r="J2171" i="6"/>
  <c r="J2304" i="6"/>
  <c r="J2334" i="6"/>
  <c r="J2356" i="6"/>
  <c r="J2362" i="6"/>
  <c r="J2364" i="6"/>
  <c r="J2457" i="6"/>
  <c r="J2509" i="6"/>
  <c r="J2511" i="6"/>
  <c r="J2210" i="6"/>
  <c r="J1667" i="6"/>
  <c r="J1669" i="6"/>
  <c r="J1711" i="6"/>
  <c r="J1715" i="6"/>
  <c r="J1728" i="6"/>
  <c r="J1775" i="6"/>
  <c r="J1787" i="6"/>
  <c r="J1803" i="6"/>
  <c r="J2622" i="6"/>
  <c r="J2584" i="6"/>
  <c r="J2536" i="6"/>
  <c r="J1247" i="6"/>
  <c r="J1749" i="6"/>
  <c r="J1732" i="6"/>
  <c r="J1810" i="6"/>
  <c r="J2098" i="6"/>
  <c r="J1136" i="6"/>
  <c r="J1776" i="6"/>
  <c r="J2202" i="6"/>
  <c r="J2010" i="6"/>
  <c r="J1299" i="6"/>
  <c r="J2249" i="6"/>
  <c r="J2110" i="6"/>
  <c r="J1535" i="6"/>
  <c r="J1565" i="6"/>
  <c r="J1913" i="6"/>
  <c r="J1660" i="6"/>
  <c r="J1852" i="6"/>
  <c r="J1057" i="6"/>
  <c r="J2058" i="6"/>
  <c r="J2293" i="6"/>
  <c r="J1107" i="6"/>
  <c r="J1699" i="6"/>
  <c r="J1873" i="6"/>
  <c r="J1189" i="6"/>
  <c r="J2082" i="6"/>
  <c r="J2123" i="6"/>
  <c r="J2121" i="6"/>
  <c r="J1736" i="6"/>
  <c r="J2481" i="6"/>
  <c r="J1701" i="6"/>
  <c r="J2343" i="6"/>
  <c r="J2340" i="6"/>
  <c r="J2313" i="6"/>
  <c r="J1983" i="6"/>
  <c r="J2165" i="6"/>
  <c r="J2219" i="6"/>
  <c r="J2116" i="6"/>
  <c r="J2213" i="6"/>
  <c r="J2190" i="6"/>
  <c r="J1774" i="6"/>
  <c r="J2273" i="6"/>
  <c r="J2149" i="6"/>
  <c r="J1848" i="6"/>
  <c r="J2323" i="6"/>
  <c r="J1863" i="6"/>
  <c r="J2100" i="6"/>
  <c r="J1837" i="6"/>
  <c r="J1900" i="6"/>
  <c r="J1919" i="6"/>
  <c r="J1923" i="6"/>
  <c r="J1887" i="6"/>
  <c r="J2092" i="6"/>
  <c r="J2237" i="6"/>
  <c r="J2056" i="6"/>
  <c r="J1924" i="6"/>
  <c r="J2205" i="6"/>
  <c r="J2288" i="6"/>
  <c r="J1985" i="6"/>
  <c r="J2404" i="6"/>
  <c r="J1941" i="6"/>
  <c r="J2188" i="6"/>
  <c r="J1955" i="6"/>
  <c r="J2465" i="6"/>
  <c r="J1940" i="6"/>
  <c r="J2132" i="6"/>
  <c r="J2095" i="6"/>
  <c r="J2152" i="6"/>
  <c r="J2456" i="6"/>
  <c r="J2275" i="6"/>
  <c r="J2040" i="6"/>
  <c r="J2074" i="6"/>
  <c r="J2361" i="6"/>
  <c r="J2363" i="6"/>
  <c r="J2390" i="6"/>
  <c r="J1779" i="6"/>
  <c r="J2542" i="6"/>
  <c r="J2544" i="6"/>
  <c r="J2589" i="6"/>
  <c r="J2354" i="6"/>
  <c r="J2386" i="6"/>
  <c r="J2468" i="6"/>
  <c r="J2537" i="6"/>
  <c r="J2305" i="6"/>
  <c r="J2374" i="6"/>
  <c r="J2322" i="6"/>
  <c r="J2355" i="6"/>
  <c r="J2245" i="6"/>
  <c r="J2413" i="6"/>
  <c r="J2292" i="6"/>
  <c r="J2369" i="6"/>
  <c r="J2348" i="6"/>
  <c r="J1766" i="6"/>
  <c r="J1792" i="6"/>
  <c r="J1812" i="6"/>
  <c r="J1819" i="6"/>
  <c r="J1824" i="6"/>
  <c r="J2041" i="6"/>
  <c r="J1894" i="6"/>
  <c r="J1918" i="6"/>
  <c r="J1921" i="6"/>
  <c r="J1965" i="6"/>
  <c r="J1967" i="6"/>
  <c r="J1997" i="6"/>
  <c r="J2105" i="6"/>
  <c r="J2001" i="6"/>
  <c r="J2011" i="6"/>
  <c r="J2136" i="6"/>
  <c r="J2104" i="6"/>
  <c r="J2164" i="6"/>
  <c r="J2174" i="6"/>
  <c r="J2068" i="6"/>
  <c r="J2177" i="6"/>
  <c r="J2135" i="6"/>
  <c r="J1916" i="6"/>
  <c r="J1896" i="6"/>
  <c r="J1879" i="6"/>
  <c r="J1847" i="6"/>
  <c r="J2179" i="6"/>
  <c r="J1845" i="6"/>
  <c r="J1841" i="6"/>
  <c r="J1831" i="6"/>
  <c r="J1829" i="6"/>
  <c r="J1825" i="6"/>
  <c r="J1808" i="6"/>
  <c r="J1790" i="6"/>
  <c r="J1786" i="6"/>
  <c r="J2141" i="6"/>
  <c r="J1751" i="6"/>
  <c r="J1989" i="6"/>
  <c r="J1762" i="6"/>
  <c r="J1990" i="6"/>
  <c r="J1756" i="6"/>
  <c r="J1995" i="6"/>
  <c r="J2342" i="6"/>
  <c r="J2221" i="6"/>
  <c r="J1814" i="6"/>
  <c r="J2312" i="6"/>
  <c r="J2372" i="6"/>
  <c r="J2253" i="6"/>
  <c r="J2208" i="6"/>
  <c r="J2233" i="6"/>
  <c r="J2294" i="6"/>
  <c r="J2067" i="6"/>
  <c r="J2090" i="6"/>
  <c r="J2175" i="6"/>
  <c r="J1909" i="6"/>
  <c r="J1720" i="6"/>
  <c r="J1729" i="6"/>
  <c r="J2318" i="6"/>
  <c r="J2265" i="6"/>
  <c r="J2247" i="6"/>
  <c r="J2134" i="6"/>
  <c r="J2146" i="6"/>
  <c r="J1799" i="6"/>
  <c r="J2094" i="6"/>
  <c r="J1755" i="6"/>
  <c r="J2169" i="6"/>
  <c r="J2196" i="6"/>
  <c r="J2124" i="6"/>
  <c r="J2122" i="6"/>
  <c r="J2183" i="6"/>
  <c r="J2114" i="6"/>
  <c r="J1920" i="6"/>
  <c r="J2377" i="6"/>
  <c r="J1928" i="6"/>
  <c r="J2036" i="6"/>
  <c r="J2385" i="6"/>
  <c r="J2065" i="6"/>
  <c r="J2093" i="6"/>
  <c r="J2295" i="6"/>
  <c r="J2053" i="6"/>
  <c r="J2070" i="6"/>
  <c r="J2096" i="6"/>
  <c r="J2049" i="6"/>
  <c r="J2131" i="6"/>
  <c r="J1957" i="6"/>
  <c r="J1936" i="6"/>
  <c r="J2162" i="6"/>
  <c r="J1974" i="6"/>
  <c r="J1982" i="6"/>
  <c r="J1970" i="6"/>
  <c r="J2115" i="6"/>
  <c r="J2217" i="6"/>
  <c r="J2232" i="6"/>
  <c r="J2189" i="6"/>
  <c r="J2143" i="6"/>
  <c r="J2079" i="6"/>
  <c r="J2063" i="6"/>
  <c r="J1903" i="6"/>
  <c r="J2276" i="6"/>
  <c r="J2038" i="6"/>
  <c r="J1933" i="6"/>
  <c r="J1691" i="6"/>
  <c r="J2173" i="6"/>
  <c r="J2182" i="6"/>
  <c r="J2026" i="6"/>
  <c r="J2099" i="6"/>
  <c r="J2102" i="6"/>
  <c r="J1800" i="6"/>
  <c r="J2042" i="6"/>
  <c r="J1750" i="6"/>
  <c r="J1998" i="6"/>
  <c r="J1783" i="6"/>
  <c r="J1840" i="6"/>
  <c r="J2140" i="6"/>
  <c r="J2260" i="6"/>
  <c r="J1875" i="6"/>
  <c r="J2051" i="6"/>
  <c r="J2180" i="6"/>
  <c r="J2073" i="6"/>
  <c r="J2024" i="6"/>
  <c r="J2052" i="6"/>
  <c r="J1785" i="6"/>
  <c r="J1777" i="6"/>
  <c r="J2054" i="6"/>
  <c r="J1912" i="6"/>
  <c r="J2045" i="6"/>
  <c r="J1813" i="6"/>
  <c r="J1988" i="6"/>
  <c r="J1986" i="6"/>
  <c r="J1984" i="6"/>
  <c r="J1972" i="6"/>
  <c r="J1949" i="6"/>
  <c r="J2151" i="6"/>
  <c r="J1932" i="6"/>
  <c r="J1876" i="6"/>
  <c r="J1908" i="6"/>
  <c r="J1927" i="6"/>
  <c r="J1963" i="6"/>
  <c r="J1966" i="6"/>
  <c r="J2172" i="6"/>
  <c r="J1971" i="6"/>
  <c r="J2163" i="6"/>
  <c r="J2139" i="6"/>
  <c r="J1987" i="6"/>
  <c r="J2113" i="6"/>
  <c r="J2101" i="6"/>
  <c r="J2046" i="6"/>
  <c r="J2194" i="6"/>
  <c r="J1993" i="6"/>
  <c r="J2000" i="6"/>
  <c r="J2002" i="6"/>
  <c r="J2007" i="6"/>
  <c r="J2008" i="6"/>
  <c r="J2198" i="6"/>
  <c r="J2005" i="6"/>
  <c r="J2003" i="6"/>
  <c r="J1999" i="6"/>
  <c r="J1994" i="6"/>
  <c r="J2154" i="6"/>
  <c r="J2161" i="6"/>
  <c r="J2137" i="6"/>
  <c r="J1160" i="6"/>
  <c r="J1113" i="6"/>
  <c r="J1696" i="6"/>
  <c r="J1102" i="6"/>
  <c r="J1100" i="6"/>
  <c r="J1172" i="6"/>
  <c r="J1099" i="6"/>
  <c r="J1497" i="6"/>
  <c r="J1657" i="6"/>
  <c r="J1326" i="6"/>
  <c r="J1046" i="6"/>
  <c r="J1083" i="6"/>
  <c r="J1195" i="6"/>
  <c r="J1081" i="6"/>
  <c r="J1652" i="6"/>
  <c r="J1041" i="6"/>
  <c r="J1068" i="6"/>
  <c r="J1030" i="6"/>
  <c r="J1287" i="6"/>
  <c r="J1025" i="6"/>
  <c r="J992" i="6"/>
  <c r="J983" i="6"/>
  <c r="J1366" i="6"/>
  <c r="J1578" i="6"/>
  <c r="J1056" i="6"/>
  <c r="J1045" i="6"/>
  <c r="J1033" i="6"/>
  <c r="J1140" i="6"/>
  <c r="J1758" i="6"/>
  <c r="J1269" i="6"/>
  <c r="J1877" i="6"/>
  <c r="J1630" i="6"/>
  <c r="J1003" i="6"/>
  <c r="J1191" i="6"/>
  <c r="J1623" i="6"/>
  <c r="J1112" i="6"/>
  <c r="J991" i="6"/>
  <c r="J990" i="6"/>
  <c r="J985" i="6"/>
  <c r="J1162" i="6"/>
  <c r="J1011" i="6"/>
  <c r="J1105" i="6"/>
  <c r="J1086" i="6"/>
  <c r="J1145" i="6"/>
  <c r="J1103" i="6"/>
  <c r="J1418" i="6"/>
  <c r="J1811" i="6"/>
  <c r="J1115" i="6"/>
  <c r="J1842" i="6"/>
  <c r="J1129" i="6"/>
  <c r="J1078" i="6"/>
  <c r="J1601" i="6"/>
  <c r="J1541" i="6"/>
  <c r="J1072" i="6"/>
  <c r="J2085" i="6"/>
  <c r="J2089" i="6"/>
  <c r="J2109" i="6"/>
  <c r="J2127" i="6"/>
  <c r="J2080" i="6"/>
  <c r="J2138" i="6"/>
  <c r="J957" i="6"/>
  <c r="J1022" i="6"/>
  <c r="J1118" i="6"/>
  <c r="J891" i="6"/>
  <c r="J1339" i="6"/>
  <c r="J1713" i="6"/>
  <c r="J1861" i="6"/>
  <c r="J728" i="6"/>
  <c r="J1844" i="6"/>
  <c r="J1638" i="6"/>
  <c r="J1636" i="6"/>
  <c r="J834" i="6"/>
  <c r="J1203" i="6"/>
  <c r="J1317" i="6"/>
  <c r="J1549" i="6"/>
  <c r="J1014" i="6"/>
  <c r="J1489" i="6"/>
  <c r="J1904" i="6"/>
  <c r="J1530" i="6"/>
  <c r="J1682" i="6"/>
  <c r="J1760" i="6"/>
  <c r="J1079" i="6"/>
  <c r="J1795" i="6"/>
  <c r="J1709" i="6"/>
  <c r="J1726" i="6"/>
  <c r="J1778" i="6"/>
  <c r="J1688" i="6"/>
  <c r="J1161" i="6"/>
  <c r="J1089" i="6"/>
  <c r="J1577" i="6"/>
  <c r="J1171" i="6"/>
  <c r="J860" i="6"/>
  <c r="J867" i="6"/>
  <c r="J1445" i="6"/>
  <c r="J1576" i="6"/>
  <c r="J1628" i="6"/>
  <c r="J1476" i="6"/>
  <c r="J1207" i="6"/>
  <c r="J946" i="6"/>
  <c r="J1285" i="6"/>
  <c r="J922" i="6"/>
  <c r="J945" i="6"/>
  <c r="J1574" i="6"/>
  <c r="J1260" i="6"/>
  <c r="J1243" i="6"/>
  <c r="J1449" i="6"/>
  <c r="J1232" i="6"/>
  <c r="J1603" i="6"/>
  <c r="J1637" i="6"/>
  <c r="J1466" i="6"/>
  <c r="J1512" i="6"/>
  <c r="J1450" i="6"/>
  <c r="J1611" i="6"/>
  <c r="J1510" i="6"/>
  <c r="J1315" i="6"/>
  <c r="J789" i="6"/>
  <c r="J1382" i="6"/>
  <c r="J1609" i="6"/>
  <c r="J895" i="6"/>
  <c r="J1624" i="6"/>
  <c r="J792" i="6"/>
  <c r="J950" i="6"/>
  <c r="J954" i="6"/>
  <c r="J1138" i="6"/>
  <c r="J1633" i="6"/>
  <c r="J1506" i="6"/>
  <c r="J1537" i="6"/>
  <c r="J913" i="6"/>
  <c r="J1629" i="6"/>
  <c r="J1479" i="6"/>
  <c r="J852" i="6"/>
  <c r="J1526" i="6"/>
  <c r="J1351" i="6"/>
  <c r="J1579" i="6"/>
  <c r="J1407" i="6"/>
  <c r="J1625" i="6"/>
  <c r="J989" i="6"/>
  <c r="J1426" i="6"/>
  <c r="J901" i="6"/>
  <c r="J1616" i="6"/>
  <c r="J1615" i="6"/>
  <c r="J1604" i="6"/>
  <c r="J1367" i="6"/>
  <c r="J972" i="6"/>
  <c r="J948" i="6"/>
  <c r="J740" i="6"/>
  <c r="J1209" i="6"/>
  <c r="J1066" i="6"/>
  <c r="J1073" i="6"/>
  <c r="J1265" i="6"/>
  <c r="J1222" i="6"/>
  <c r="J962" i="6"/>
  <c r="J916" i="6"/>
  <c r="J1276" i="6"/>
  <c r="J907" i="6"/>
  <c r="J1765" i="6"/>
  <c r="J1392" i="6"/>
  <c r="J885" i="6"/>
  <c r="J1019" i="6"/>
  <c r="J1125" i="6"/>
  <c r="J1005" i="6"/>
  <c r="J924" i="6"/>
  <c r="J1242" i="6"/>
  <c r="J845" i="6"/>
  <c r="J865" i="6"/>
  <c r="J1740" i="6"/>
  <c r="J1556" i="6"/>
  <c r="J724" i="6"/>
  <c r="J725" i="6"/>
  <c r="J1329" i="6"/>
  <c r="J758" i="6"/>
  <c r="J1482" i="6"/>
  <c r="J1058" i="6"/>
  <c r="J870" i="6"/>
  <c r="J1087" i="6"/>
  <c r="J1114" i="6"/>
  <c r="J703" i="6"/>
  <c r="J890" i="6"/>
  <c r="J646" i="6"/>
  <c r="J1174" i="6"/>
  <c r="J1031" i="6"/>
  <c r="J847" i="6"/>
  <c r="J689" i="6"/>
  <c r="J1053" i="6"/>
  <c r="J970" i="6"/>
  <c r="J762" i="6"/>
  <c r="J925" i="6"/>
  <c r="J1432" i="6"/>
  <c r="J1745" i="6"/>
  <c r="J1390" i="6"/>
  <c r="J652" i="6"/>
  <c r="J1026" i="6"/>
  <c r="J1312" i="6"/>
  <c r="J1200" i="6"/>
  <c r="J1384" i="6"/>
  <c r="J1303" i="6"/>
  <c r="J738" i="6"/>
  <c r="J1226" i="6"/>
  <c r="J883" i="6"/>
  <c r="J1273" i="6"/>
  <c r="J1176" i="6"/>
  <c r="J1147" i="6"/>
  <c r="J1334" i="6"/>
  <c r="J1117" i="6"/>
  <c r="J1335" i="6"/>
  <c r="J1353" i="6"/>
  <c r="J1585" i="6"/>
  <c r="J680" i="6"/>
  <c r="J1570" i="6"/>
  <c r="J1359" i="6"/>
  <c r="J576" i="6"/>
  <c r="J1613" i="6"/>
  <c r="J771" i="6"/>
  <c r="J1508" i="6"/>
  <c r="J835" i="6"/>
  <c r="J841" i="6"/>
  <c r="J849" i="6"/>
  <c r="J1500" i="6"/>
  <c r="J856" i="6"/>
  <c r="J873" i="6"/>
  <c r="J879" i="6"/>
  <c r="J906" i="6"/>
  <c r="J1614" i="6"/>
  <c r="J963" i="6"/>
  <c r="J1569" i="6"/>
  <c r="J1723" i="6"/>
  <c r="J1693" i="6"/>
  <c r="J1679" i="6"/>
  <c r="J1542" i="6"/>
  <c r="J1697" i="6"/>
  <c r="J914" i="6"/>
  <c r="J903" i="6"/>
  <c r="J1032" i="6"/>
  <c r="J749" i="6"/>
  <c r="J1044" i="6"/>
  <c r="J1048" i="6"/>
  <c r="J1698" i="6"/>
  <c r="J1700" i="6"/>
  <c r="J1724" i="6"/>
  <c r="J1748" i="6"/>
  <c r="J1355" i="6"/>
  <c r="J1752" i="6"/>
  <c r="J1074" i="6"/>
  <c r="J936" i="6"/>
  <c r="J1429" i="6"/>
  <c r="J1727" i="6"/>
  <c r="J1737" i="6"/>
  <c r="J969" i="6"/>
  <c r="J864" i="6"/>
  <c r="J988" i="6"/>
  <c r="J587" i="6"/>
  <c r="J754" i="6"/>
  <c r="J777" i="6"/>
  <c r="J731" i="6"/>
  <c r="J1859" i="6"/>
  <c r="J1854" i="6"/>
  <c r="J1870" i="6"/>
  <c r="J1878" i="6"/>
  <c r="J1702" i="6"/>
  <c r="J1598" i="6"/>
  <c r="J1261" i="6"/>
  <c r="J1413" i="6"/>
  <c r="J1201" i="6"/>
  <c r="J1221" i="6"/>
  <c r="J1266" i="6"/>
  <c r="J1458" i="6"/>
  <c r="J1567" i="6"/>
  <c r="J1704" i="6"/>
  <c r="J1654" i="6"/>
  <c r="J1716" i="6"/>
  <c r="J1661" i="6"/>
  <c r="J1438" i="6"/>
  <c r="J1650" i="6"/>
  <c r="J1050" i="6"/>
  <c r="J1568" i="6"/>
  <c r="J902" i="6"/>
  <c r="J910" i="6"/>
  <c r="J1695" i="6"/>
  <c r="J1573" i="6"/>
  <c r="J1612" i="6"/>
  <c r="J1647" i="6"/>
  <c r="J1596" i="6"/>
  <c r="J730" i="6"/>
  <c r="J1343" i="6"/>
  <c r="J1684" i="6"/>
  <c r="J1018" i="6"/>
  <c r="J1137" i="6"/>
  <c r="J1020" i="6"/>
  <c r="J1730" i="6"/>
  <c r="J861" i="6"/>
  <c r="J1734" i="6"/>
  <c r="J1141" i="6"/>
  <c r="J1509" i="6"/>
  <c r="J1164" i="6"/>
  <c r="J1742" i="6"/>
  <c r="J1670" i="6"/>
  <c r="J1374" i="6"/>
  <c r="J1545" i="6"/>
  <c r="J1297" i="6"/>
  <c r="J935" i="6"/>
  <c r="J1649" i="6"/>
  <c r="J1666" i="6"/>
  <c r="J1472" i="6"/>
  <c r="J850" i="6"/>
  <c r="J1464" i="6"/>
  <c r="J1480" i="6"/>
  <c r="J880" i="6"/>
  <c r="J1718" i="6"/>
  <c r="J1655" i="6"/>
  <c r="J1725" i="6"/>
  <c r="J1685" i="6"/>
  <c r="J1714" i="6"/>
  <c r="J1717" i="6"/>
  <c r="J1744" i="6"/>
  <c r="J1645" i="6"/>
  <c r="J1738" i="6"/>
  <c r="J1746" i="6"/>
  <c r="J1648" i="6"/>
  <c r="J1735" i="6"/>
  <c r="J1743" i="6"/>
  <c r="J1656" i="6"/>
  <c r="J1747" i="6"/>
  <c r="J1686" i="6"/>
  <c r="J1694" i="6"/>
  <c r="J875" i="6"/>
  <c r="J1170" i="6"/>
  <c r="J927" i="6"/>
  <c r="J1333" i="6"/>
  <c r="J692" i="6"/>
  <c r="J1692" i="6"/>
  <c r="J1485" i="6"/>
  <c r="J1626" i="6"/>
  <c r="J742" i="6"/>
  <c r="J1641" i="6"/>
  <c r="J1455" i="6"/>
  <c r="J690" i="6"/>
  <c r="J1554" i="6"/>
  <c r="J1168" i="6"/>
  <c r="J1067" i="6"/>
  <c r="J1336" i="6"/>
  <c r="J1680" i="6"/>
  <c r="J1460" i="6"/>
  <c r="J743" i="6"/>
  <c r="J1331" i="6"/>
  <c r="J737" i="6"/>
  <c r="J1490" i="6"/>
  <c r="J1672" i="6"/>
  <c r="J1721" i="6"/>
  <c r="J965" i="6"/>
  <c r="J1653" i="6"/>
  <c r="J1027" i="6"/>
  <c r="J855" i="6"/>
  <c r="J755" i="6"/>
  <c r="J1352" i="6"/>
  <c r="J1300" i="6"/>
  <c r="J701" i="6"/>
  <c r="J1602" i="6"/>
  <c r="J1324" i="6"/>
  <c r="J999" i="6"/>
  <c r="J1457" i="6"/>
  <c r="J1123" i="6"/>
  <c r="J1220" i="6"/>
  <c r="J1419" i="6"/>
  <c r="J893" i="6"/>
  <c r="J1441" i="6"/>
  <c r="J1061" i="6"/>
  <c r="J917" i="6"/>
  <c r="J1391" i="6"/>
  <c r="J900" i="6"/>
  <c r="J1284" i="6"/>
  <c r="J1383" i="6"/>
  <c r="J1410" i="6"/>
  <c r="J1436" i="6"/>
  <c r="J1562" i="6"/>
  <c r="J1595" i="6"/>
  <c r="J923" i="6"/>
  <c r="J1029" i="6"/>
  <c r="J1047" i="6"/>
  <c r="J1093" i="6"/>
  <c r="J1124" i="6"/>
  <c r="J1179" i="6"/>
  <c r="J1236" i="6"/>
  <c r="J1330" i="6"/>
  <c r="J1475" i="6"/>
  <c r="J1540" i="6"/>
  <c r="J1354" i="6"/>
  <c r="J583" i="6"/>
  <c r="J1890" i="6"/>
  <c r="J1818" i="6"/>
  <c r="J1430" i="6"/>
  <c r="J1495" i="6"/>
  <c r="J1371" i="6"/>
  <c r="J1396" i="6"/>
  <c r="J1524" i="6"/>
  <c r="J1463" i="6"/>
  <c r="J1891" i="6"/>
  <c r="J2025" i="6"/>
  <c r="J1926" i="6"/>
  <c r="J1947" i="6"/>
  <c r="J1976" i="6"/>
  <c r="J572" i="6"/>
  <c r="J694" i="6"/>
  <c r="J1098" i="6"/>
  <c r="J741" i="6"/>
  <c r="J1144" i="6"/>
  <c r="J956" i="6"/>
  <c r="J627" i="6"/>
  <c r="J681" i="6"/>
  <c r="J853" i="6"/>
  <c r="J1043" i="6"/>
  <c r="J1065" i="6"/>
  <c r="J912" i="6"/>
  <c r="J1016" i="6"/>
  <c r="J773" i="6"/>
  <c r="J1892" i="6"/>
  <c r="J1865" i="6"/>
  <c r="J1605" i="6"/>
  <c r="J1597" i="6"/>
  <c r="J1589" i="6"/>
  <c r="J1406" i="6"/>
  <c r="J1454" i="6"/>
  <c r="J1356" i="6"/>
  <c r="J1431" i="6"/>
  <c r="J1405" i="6"/>
  <c r="J1104" i="6"/>
  <c r="J1323" i="6"/>
  <c r="J1028" i="6"/>
  <c r="J1208" i="6"/>
  <c r="J1235" i="6"/>
  <c r="J1009" i="6"/>
  <c r="J1126" i="6"/>
  <c r="J1071" i="6"/>
  <c r="J1525" i="6"/>
  <c r="J1440" i="6"/>
  <c r="J1687" i="6"/>
  <c r="J1606" i="6"/>
  <c r="J1274" i="6"/>
  <c r="J1183" i="6"/>
  <c r="J1502" i="6"/>
  <c r="J1741" i="6"/>
  <c r="J1049" i="6"/>
  <c r="J1358" i="6"/>
  <c r="J1552" i="6"/>
  <c r="J1135" i="6"/>
  <c r="J1402" i="6"/>
  <c r="J1689" i="6"/>
  <c r="J1681" i="6"/>
  <c r="J1503" i="6"/>
  <c r="J1610" i="6"/>
  <c r="J1286" i="6"/>
  <c r="J1051" i="6"/>
  <c r="J1416" i="6"/>
  <c r="J1188" i="6"/>
  <c r="J1322" i="6"/>
  <c r="J1555" i="6"/>
  <c r="J1253" i="6"/>
  <c r="J1591" i="6"/>
  <c r="J1622" i="6"/>
  <c r="J1658" i="6"/>
  <c r="J1805" i="6"/>
  <c r="J1832" i="6"/>
  <c r="J1866" i="6"/>
  <c r="J1437" i="6"/>
  <c r="J1439" i="6"/>
  <c r="J1434" i="6"/>
  <c r="J1427" i="6"/>
  <c r="J1794" i="6"/>
  <c r="J1594" i="6"/>
  <c r="J1627" i="6"/>
  <c r="J1846" i="6"/>
  <c r="J1677" i="6"/>
  <c r="J1664" i="6"/>
  <c r="J1839" i="6"/>
  <c r="J1586" i="6"/>
  <c r="J1584" i="6"/>
  <c r="J1563" i="6"/>
  <c r="J1590" i="6"/>
  <c r="J1804" i="6"/>
  <c r="J1631" i="6"/>
  <c r="J1673" i="6"/>
  <c r="J1007" i="6"/>
  <c r="J994" i="6"/>
  <c r="J998" i="6"/>
  <c r="J986" i="6"/>
  <c r="J967" i="6"/>
  <c r="J1294" i="6"/>
  <c r="J1313" i="6"/>
  <c r="J1267" i="6"/>
  <c r="J1304" i="6"/>
  <c r="J1372" i="6"/>
  <c r="J1347" i="6"/>
  <c r="J1583" i="6"/>
  <c r="J1575" i="6"/>
  <c r="J1521" i="6"/>
  <c r="J1632" i="6"/>
  <c r="J1607" i="6"/>
  <c r="J1308" i="6"/>
  <c r="J1298" i="6"/>
  <c r="J1764" i="6"/>
  <c r="J1674" i="6"/>
  <c r="J1722" i="6"/>
  <c r="J951" i="6"/>
  <c r="J1001" i="6"/>
  <c r="J1042" i="6"/>
  <c r="J920" i="6"/>
  <c r="J577" i="6"/>
  <c r="J1255" i="6"/>
  <c r="J1155" i="6"/>
  <c r="J1477" i="6"/>
  <c r="J1229" i="6"/>
  <c r="J1646" i="6"/>
  <c r="J1467" i="6"/>
  <c r="J1080" i="6"/>
  <c r="J1444" i="6"/>
  <c r="J704" i="6"/>
  <c r="J1409" i="6"/>
  <c r="J716" i="6"/>
  <c r="J1090" i="6"/>
  <c r="J720" i="6"/>
  <c r="J790" i="6"/>
  <c r="J1456" i="6"/>
  <c r="J1223" i="6"/>
  <c r="J588" i="6"/>
  <c r="J1146" i="6"/>
  <c r="J1389" i="6"/>
  <c r="J1443" i="6"/>
  <c r="J918" i="6"/>
  <c r="J750" i="6"/>
  <c r="J1642" i="6"/>
  <c r="J585" i="6"/>
  <c r="J1643" i="6"/>
  <c r="J1644" i="6"/>
  <c r="J1465" i="6"/>
  <c r="J1468" i="6"/>
  <c r="J1307" i="6"/>
  <c r="J633" i="6"/>
  <c r="J1187" i="6"/>
  <c r="J625" i="6"/>
  <c r="J626" i="6"/>
  <c r="J628" i="6"/>
  <c r="J1342" i="6"/>
  <c r="J1325" i="6"/>
  <c r="J574" i="6"/>
  <c r="J1478" i="6"/>
  <c r="J1202" i="6"/>
  <c r="J644" i="6"/>
  <c r="J590" i="6"/>
  <c r="J621" i="6"/>
  <c r="J1368" i="6"/>
  <c r="J1370" i="6"/>
  <c r="J1379" i="6"/>
  <c r="J647" i="6"/>
  <c r="J1640" i="6"/>
  <c r="J868" i="6"/>
  <c r="J1257" i="6"/>
  <c r="J687" i="6"/>
  <c r="J1442" i="6"/>
  <c r="J1423" i="6"/>
  <c r="J1293" i="6"/>
  <c r="J580" i="6"/>
  <c r="J1122" i="6"/>
  <c r="J1002" i="6"/>
  <c r="J1395" i="6"/>
  <c r="J1348" i="6"/>
  <c r="J1288" i="6"/>
  <c r="J1373" i="6"/>
  <c r="J1163" i="6"/>
  <c r="J1156" i="6"/>
  <c r="J1397" i="6"/>
  <c r="J1181" i="6"/>
  <c r="J1218" i="6"/>
  <c r="J976" i="6"/>
  <c r="J1240" i="6"/>
  <c r="J1246" i="6"/>
  <c r="J1283" i="6"/>
  <c r="J1134" i="6"/>
  <c r="J180" i="6"/>
  <c r="J252" i="6"/>
  <c r="J130" i="6"/>
  <c r="J326" i="6"/>
  <c r="J99" i="6"/>
  <c r="J223" i="6"/>
  <c r="J904" i="6"/>
  <c r="J996" i="6"/>
  <c r="J838" i="6"/>
  <c r="J964" i="6"/>
  <c r="J857" i="6"/>
  <c r="J570" i="6"/>
  <c r="J379" i="6"/>
  <c r="J295" i="6"/>
  <c r="J378" i="6"/>
  <c r="J324" i="6"/>
  <c r="J908" i="6"/>
  <c r="J966" i="6"/>
  <c r="J1024" i="6"/>
  <c r="J942" i="6"/>
  <c r="J892" i="6"/>
  <c r="J905" i="6"/>
  <c r="J958" i="6"/>
  <c r="J837" i="6"/>
  <c r="J982" i="6"/>
  <c r="J1491" i="6"/>
  <c r="J1522" i="6"/>
  <c r="J1459" i="6"/>
  <c r="J1608" i="6"/>
  <c r="J1550" i="6"/>
  <c r="J1483" i="6"/>
  <c r="J1473" i="6"/>
  <c r="J1268" i="6"/>
  <c r="J1215" i="6"/>
  <c r="J1166" i="6"/>
  <c r="J1190" i="6"/>
  <c r="J980" i="6"/>
  <c r="J952" i="6"/>
  <c r="J911" i="6"/>
  <c r="J1004" i="6"/>
  <c r="J858" i="6"/>
  <c r="J1101" i="6"/>
  <c r="J1404" i="6"/>
  <c r="J1386" i="6"/>
  <c r="J1149" i="6"/>
  <c r="J1369" i="6"/>
  <c r="J1165" i="6"/>
  <c r="J1180" i="6"/>
  <c r="J1316" i="6"/>
  <c r="J1306" i="6"/>
  <c r="J1289" i="6"/>
  <c r="J1213" i="6"/>
  <c r="J1225" i="6"/>
  <c r="J1272" i="6"/>
  <c r="J1228" i="6"/>
  <c r="J1241" i="6"/>
  <c r="J1254" i="6"/>
  <c r="J1199" i="6"/>
  <c r="J1310" i="6"/>
  <c r="J941" i="6"/>
  <c r="J866" i="6"/>
  <c r="J1494" i="6"/>
  <c r="J1139" i="6"/>
  <c r="J1513" i="6"/>
  <c r="J1106" i="6"/>
  <c r="J1517" i="6"/>
  <c r="J1338" i="6"/>
  <c r="J1527" i="6"/>
  <c r="J1536" i="6"/>
  <c r="J1539" i="6"/>
  <c r="J761" i="6"/>
  <c r="J745" i="6"/>
  <c r="J1564" i="6"/>
  <c r="J711" i="6"/>
  <c r="J699" i="6"/>
  <c r="J1040" i="6"/>
  <c r="J649" i="6"/>
  <c r="J645" i="6"/>
  <c r="J632" i="6"/>
  <c r="J718" i="6"/>
  <c r="J722" i="6"/>
  <c r="J898" i="6"/>
  <c r="J1403" i="6"/>
  <c r="J1557" i="6"/>
  <c r="J1428" i="6"/>
  <c r="J1548" i="6"/>
  <c r="J1538" i="6"/>
  <c r="J1516" i="6"/>
  <c r="J1514" i="6"/>
  <c r="J1507" i="6"/>
  <c r="J1501" i="6"/>
  <c r="J1496" i="6"/>
  <c r="J1492" i="6"/>
  <c r="J1069" i="6"/>
  <c r="J1481" i="6"/>
  <c r="J1082" i="6"/>
  <c r="J968" i="6"/>
  <c r="J943" i="6"/>
  <c r="J897" i="6"/>
  <c r="J1360" i="6"/>
  <c r="J1414" i="6"/>
  <c r="J1399" i="6"/>
  <c r="J769" i="6"/>
  <c r="J753" i="6"/>
  <c r="J1453" i="6"/>
  <c r="J1474" i="6"/>
  <c r="J1210" i="6"/>
  <c r="J1275" i="6"/>
  <c r="J1553" i="6"/>
  <c r="J1587" i="6"/>
  <c r="J1314" i="6"/>
  <c r="J1301" i="6"/>
  <c r="J1361" i="6"/>
  <c r="J1547" i="6"/>
  <c r="J1551" i="6"/>
  <c r="J1523" i="6"/>
  <c r="J630" i="6"/>
  <c r="J531" i="6"/>
  <c r="J575" i="6"/>
  <c r="J525" i="6"/>
  <c r="J727" i="6"/>
  <c r="J709" i="6"/>
  <c r="J1167" i="6"/>
  <c r="J1130" i="6"/>
  <c r="J1270" i="6"/>
  <c r="J1357" i="6"/>
  <c r="J1305" i="6"/>
  <c r="J1484" i="6"/>
  <c r="J1511" i="6"/>
  <c r="J1531" i="6"/>
  <c r="J1515" i="6"/>
  <c r="J586" i="6"/>
  <c r="J582" i="6"/>
  <c r="J400" i="6"/>
  <c r="J1116" i="6"/>
  <c r="J1054" i="6"/>
  <c r="J1211" i="6"/>
  <c r="J1088" i="6"/>
  <c r="J1238" i="6"/>
  <c r="J1252" i="6"/>
  <c r="J1216" i="6"/>
  <c r="J1271" i="6"/>
  <c r="J977" i="6"/>
  <c r="J1013" i="6"/>
  <c r="J1417" i="6"/>
  <c r="J1398" i="6"/>
  <c r="J1376" i="6"/>
  <c r="J395" i="6"/>
  <c r="J374" i="6"/>
  <c r="J710" i="6"/>
  <c r="J674" i="6"/>
  <c r="J995" i="6"/>
  <c r="J1055" i="6"/>
  <c r="J1039" i="6"/>
  <c r="J526" i="6"/>
  <c r="J523" i="6"/>
  <c r="J1302" i="6"/>
  <c r="J1277" i="6"/>
  <c r="J1251" i="6"/>
  <c r="J349" i="6"/>
  <c r="J882" i="6"/>
  <c r="J1377" i="6"/>
  <c r="J1340" i="6"/>
  <c r="J1075" i="6"/>
  <c r="J1094" i="6"/>
  <c r="J1059" i="6"/>
  <c r="J524" i="6"/>
  <c r="J507" i="6"/>
  <c r="J358" i="6"/>
  <c r="J438" i="6"/>
  <c r="J1131" i="6"/>
  <c r="J1095" i="6"/>
  <c r="J1142" i="6"/>
  <c r="J1197" i="6"/>
  <c r="J1175" i="6"/>
  <c r="J1148" i="6"/>
  <c r="J1341" i="6"/>
  <c r="J1332" i="6"/>
  <c r="J492" i="6"/>
  <c r="J508" i="6"/>
  <c r="J502" i="6"/>
  <c r="J346" i="6"/>
  <c r="J308" i="6"/>
  <c r="J1017" i="6"/>
  <c r="J1006" i="6"/>
  <c r="J1035" i="6"/>
  <c r="J1150" i="6"/>
  <c r="J1217" i="6"/>
  <c r="J978" i="6"/>
  <c r="J938" i="6"/>
  <c r="J1224" i="6"/>
  <c r="J1227" i="6"/>
  <c r="J1196" i="6"/>
  <c r="J1239" i="6"/>
  <c r="J1212" i="6"/>
  <c r="J859" i="6"/>
  <c r="J768" i="6"/>
  <c r="J921" i="6"/>
  <c r="J869" i="6"/>
  <c r="J894" i="6"/>
  <c r="J874" i="6"/>
  <c r="J863" i="6"/>
  <c r="J877" i="6"/>
  <c r="J854" i="6"/>
  <c r="J919" i="6"/>
  <c r="J909" i="6"/>
  <c r="J937" i="6"/>
  <c r="J846" i="6"/>
  <c r="J884" i="6"/>
  <c r="J949" i="6"/>
  <c r="J836" i="6"/>
  <c r="J833" i="6"/>
  <c r="J788" i="6"/>
  <c r="J791" i="6"/>
  <c r="J944" i="6"/>
  <c r="J786" i="6"/>
  <c r="J783" i="6"/>
  <c r="J772" i="6"/>
  <c r="J876" i="6"/>
  <c r="J842" i="6"/>
  <c r="J896" i="6"/>
  <c r="J862" i="6"/>
  <c r="J774" i="6"/>
  <c r="J953" i="6"/>
  <c r="J757" i="6"/>
  <c r="J751" i="6"/>
  <c r="J878" i="6"/>
  <c r="J748" i="6"/>
  <c r="J746" i="6"/>
  <c r="J721" i="6"/>
  <c r="J934" i="6"/>
  <c r="J713" i="6"/>
  <c r="J881" i="6"/>
  <c r="J707" i="6"/>
  <c r="J961" i="6"/>
  <c r="J984" i="6"/>
  <c r="J947" i="6"/>
  <c r="J959" i="6"/>
  <c r="J1076" i="6"/>
  <c r="J1143" i="6"/>
  <c r="J1084" i="6"/>
  <c r="J1085" i="6"/>
  <c r="J1151" i="6"/>
  <c r="J1108" i="6"/>
  <c r="J1169" i="6"/>
  <c r="J1244" i="6"/>
  <c r="G172" i="5"/>
  <c r="H172" i="5"/>
  <c r="O172" i="5"/>
  <c r="G171" i="5"/>
  <c r="H171" i="5"/>
  <c r="O171" i="5"/>
  <c r="G170" i="5"/>
  <c r="H170" i="5"/>
  <c r="O170" i="5"/>
  <c r="G169" i="5"/>
  <c r="H169" i="5"/>
  <c r="O169" i="5"/>
  <c r="G168" i="5"/>
  <c r="H168" i="5"/>
  <c r="O168" i="5"/>
  <c r="G167" i="5"/>
  <c r="H167" i="5"/>
  <c r="O167" i="5"/>
  <c r="G166" i="5"/>
  <c r="H166" i="5"/>
  <c r="O166" i="5"/>
  <c r="G165" i="5"/>
  <c r="H165" i="5"/>
  <c r="O165" i="5"/>
  <c r="G164" i="5"/>
  <c r="H164" i="5"/>
  <c r="O164" i="5"/>
  <c r="G163" i="5"/>
  <c r="H163" i="5"/>
  <c r="O163" i="5"/>
  <c r="DJ9" i="22" l="1"/>
  <c r="DJ28" i="22" s="1"/>
  <c r="DJ8" i="22"/>
  <c r="DJ27" i="22" s="1"/>
  <c r="DJ7" i="22"/>
  <c r="DJ10" i="22"/>
  <c r="DJ29" i="22" s="1"/>
  <c r="DJ26" i="22" l="1"/>
  <c r="DJ30" i="22" s="1"/>
  <c r="DJ11" i="22"/>
  <c r="G162" i="5"/>
  <c r="H162" i="5"/>
  <c r="O162" i="5"/>
  <c r="G161" i="5"/>
  <c r="H161" i="5"/>
  <c r="O161" i="5"/>
  <c r="G160" i="5"/>
  <c r="H160" i="5"/>
  <c r="O160" i="5"/>
  <c r="DB9" i="22"/>
  <c r="G159" i="5" l="1"/>
  <c r="H159" i="5"/>
  <c r="O159" i="5"/>
  <c r="G158" i="5"/>
  <c r="H158" i="5"/>
  <c r="O158" i="5"/>
  <c r="G157" i="5"/>
  <c r="H157" i="5"/>
  <c r="O157" i="5"/>
  <c r="CO13" i="22" l="1"/>
  <c r="CO14" i="22"/>
  <c r="CO15" i="22"/>
  <c r="CO16" i="22"/>
  <c r="CO17" i="22"/>
  <c r="CO18" i="22"/>
  <c r="CO19" i="22"/>
  <c r="CO20" i="22"/>
  <c r="CO21" i="22"/>
  <c r="CO22" i="22"/>
  <c r="CO23" i="22"/>
  <c r="CO24" i="22"/>
  <c r="CO25" i="22"/>
  <c r="CO26" i="22"/>
  <c r="CO27" i="22"/>
  <c r="CO28" i="22"/>
  <c r="CO29" i="22"/>
  <c r="CO30" i="22"/>
  <c r="CO31" i="22"/>
  <c r="CO32" i="22"/>
  <c r="CO33" i="22"/>
  <c r="CO34" i="22"/>
  <c r="CO35" i="22"/>
  <c r="CO36" i="22"/>
  <c r="CO37" i="22"/>
  <c r="CO38" i="22"/>
  <c r="CO39" i="22"/>
  <c r="CO40" i="22"/>
  <c r="CO41" i="22"/>
  <c r="CO42" i="22"/>
  <c r="CO43" i="22"/>
  <c r="CO44" i="22"/>
  <c r="CO45" i="22"/>
  <c r="CO46" i="22"/>
  <c r="CO47" i="22"/>
  <c r="CO48" i="22"/>
  <c r="CO49" i="22"/>
  <c r="CO50" i="22"/>
  <c r="CO51" i="22"/>
  <c r="CO52" i="22"/>
  <c r="CO53" i="22"/>
  <c r="CO54" i="22"/>
  <c r="CO55" i="22"/>
  <c r="CO56" i="22"/>
  <c r="CO57" i="22"/>
  <c r="CO58" i="22"/>
  <c r="CO59" i="22"/>
  <c r="CO60" i="22"/>
  <c r="CO61" i="22"/>
  <c r="CO62" i="22"/>
  <c r="CO63" i="22"/>
  <c r="CO64" i="22"/>
  <c r="CO65" i="22"/>
  <c r="CO66" i="22"/>
  <c r="CO67" i="22"/>
  <c r="CO68" i="22"/>
  <c r="CO69" i="22"/>
  <c r="CO70" i="22"/>
  <c r="CO71" i="22"/>
  <c r="CO72" i="22"/>
  <c r="CO73" i="22"/>
  <c r="CO74" i="22"/>
  <c r="CO75" i="22"/>
  <c r="CO76" i="22"/>
  <c r="CO77" i="22"/>
  <c r="CO78" i="22"/>
  <c r="CO79" i="22"/>
  <c r="CO80" i="22"/>
  <c r="CO81" i="22"/>
  <c r="CO82" i="22"/>
  <c r="CO83" i="22"/>
  <c r="CO84" i="22"/>
  <c r="CO85" i="22"/>
  <c r="CO86" i="22"/>
  <c r="CO87" i="22"/>
  <c r="CO88" i="22"/>
  <c r="CO89" i="22"/>
  <c r="CO90" i="22"/>
  <c r="CO91" i="22"/>
  <c r="CO92" i="22"/>
  <c r="CO93" i="22"/>
  <c r="CO94" i="22"/>
  <c r="CO95" i="22"/>
  <c r="CO96" i="22"/>
  <c r="CO97" i="22"/>
  <c r="CO98" i="22"/>
  <c r="CO99" i="22"/>
  <c r="CO100" i="22"/>
  <c r="CO101" i="22"/>
  <c r="CO102" i="22"/>
  <c r="CO103" i="22"/>
  <c r="CO104" i="22"/>
  <c r="CO105" i="22"/>
  <c r="CO106" i="22"/>
  <c r="CO107" i="22"/>
  <c r="CO108" i="22"/>
  <c r="CO109" i="22"/>
  <c r="CO110" i="22"/>
  <c r="CO111" i="22"/>
  <c r="CO112" i="22"/>
  <c r="CO113" i="22"/>
  <c r="CO114" i="22"/>
  <c r="CO115" i="22"/>
  <c r="CO116" i="22"/>
  <c r="CO117" i="22"/>
  <c r="CO118" i="22"/>
  <c r="CO119" i="22"/>
  <c r="CO120" i="22"/>
  <c r="CO121" i="22"/>
  <c r="CO122" i="22"/>
  <c r="CO123" i="22"/>
  <c r="CO124" i="22"/>
  <c r="CO125" i="22"/>
  <c r="CO126" i="22"/>
  <c r="CO127" i="22"/>
  <c r="CO128" i="22"/>
  <c r="CO129" i="22"/>
  <c r="CO130" i="22"/>
  <c r="CO131" i="22"/>
  <c r="CO132" i="22"/>
  <c r="CO133" i="22"/>
  <c r="CO134" i="22"/>
  <c r="CO135" i="22"/>
  <c r="CO136" i="22"/>
  <c r="CO137" i="22"/>
  <c r="CO138" i="22"/>
  <c r="CO139" i="22"/>
  <c r="CO140" i="22"/>
  <c r="CO141" i="22"/>
  <c r="CO142" i="22"/>
  <c r="CO143" i="22"/>
  <c r="CO144" i="22"/>
  <c r="CO145" i="22"/>
  <c r="CO146" i="22"/>
  <c r="CO147" i="22"/>
  <c r="CO148" i="22"/>
  <c r="CO149" i="22"/>
  <c r="CO150" i="22"/>
  <c r="CO151" i="22"/>
  <c r="CO152" i="22"/>
  <c r="CO153" i="22"/>
  <c r="CO154" i="22"/>
  <c r="CO155" i="22"/>
  <c r="CO156" i="22"/>
  <c r="CO157" i="22"/>
  <c r="CO158" i="22"/>
  <c r="CO10" i="22"/>
  <c r="CO11" i="22"/>
  <c r="CO12" i="22"/>
  <c r="AB114" i="22"/>
  <c r="G156" i="5" l="1"/>
  <c r="H156" i="5"/>
  <c r="O156" i="5"/>
  <c r="G155" i="5" l="1"/>
  <c r="H155" i="5"/>
  <c r="O155" i="5"/>
  <c r="G154" i="5"/>
  <c r="H154" i="5"/>
  <c r="O154" i="5"/>
  <c r="G153" i="5"/>
  <c r="H153" i="5"/>
  <c r="O153" i="5"/>
  <c r="G152" i="5"/>
  <c r="H152" i="5"/>
  <c r="O152" i="5"/>
  <c r="G151" i="5" l="1"/>
  <c r="H151" i="5"/>
  <c r="O151" i="5"/>
  <c r="G150" i="5"/>
  <c r="H150" i="5"/>
  <c r="O150" i="5"/>
  <c r="G149" i="5"/>
  <c r="H149" i="5"/>
  <c r="O149" i="5"/>
  <c r="G148" i="5"/>
  <c r="H148" i="5"/>
  <c r="O148" i="5"/>
  <c r="G147" i="5" l="1"/>
  <c r="H147" i="5"/>
  <c r="O147" i="5"/>
  <c r="G146" i="5"/>
  <c r="H146" i="5"/>
  <c r="O146" i="5"/>
  <c r="G145" i="5"/>
  <c r="H145" i="5"/>
  <c r="O145" i="5"/>
  <c r="G144" i="5"/>
  <c r="H144" i="5"/>
  <c r="O144" i="5"/>
  <c r="F2" i="24" l="1"/>
  <c r="G2" i="24"/>
  <c r="F3" i="24"/>
  <c r="G3" i="24"/>
  <c r="F4" i="24"/>
  <c r="G4" i="24"/>
  <c r="F5" i="24"/>
  <c r="G5" i="24"/>
  <c r="F6" i="24"/>
  <c r="G6" i="24"/>
  <c r="F7" i="24"/>
  <c r="G7" i="24"/>
  <c r="F8" i="24"/>
  <c r="G8" i="24"/>
  <c r="F9" i="24"/>
  <c r="G9" i="24"/>
  <c r="F10" i="24"/>
  <c r="G10" i="24"/>
  <c r="F11" i="24"/>
  <c r="G11" i="24"/>
  <c r="F12" i="24"/>
  <c r="G12" i="24"/>
  <c r="F13" i="24"/>
  <c r="G13" i="24"/>
  <c r="F14" i="24"/>
  <c r="G14" i="24"/>
  <c r="F15" i="24"/>
  <c r="G15" i="24"/>
  <c r="F16" i="24"/>
  <c r="G16" i="24"/>
  <c r="F17" i="24"/>
  <c r="G17" i="24"/>
  <c r="F18" i="24"/>
  <c r="G18" i="24"/>
  <c r="F19" i="24"/>
  <c r="G19" i="24"/>
  <c r="F20" i="24"/>
  <c r="G20" i="24"/>
  <c r="G143" i="5"/>
  <c r="H143" i="5"/>
  <c r="O143" i="5"/>
  <c r="G142" i="5"/>
  <c r="O142" i="5"/>
  <c r="G141" i="5"/>
  <c r="H141" i="5"/>
  <c r="O141" i="5"/>
  <c r="G140" i="5"/>
  <c r="H140" i="5"/>
  <c r="O140" i="5"/>
  <c r="G139" i="5" l="1"/>
  <c r="H139" i="5"/>
  <c r="O139" i="5"/>
  <c r="G138" i="5"/>
  <c r="H138" i="5"/>
  <c r="O138" i="5"/>
  <c r="G137" i="5"/>
  <c r="H137" i="5"/>
  <c r="O137" i="5"/>
  <c r="G136" i="5"/>
  <c r="H136" i="5"/>
  <c r="O136" i="5"/>
  <c r="EB10" i="22"/>
  <c r="O2" i="5"/>
  <c r="O3" i="5"/>
  <c r="O4" i="5"/>
  <c r="O5"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2" i="5"/>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2" i="5"/>
  <c r="BW8" i="22" l="1"/>
  <c r="P13" i="22"/>
  <c r="BB7" i="22"/>
  <c r="AW36" i="22"/>
  <c r="AW37" i="22"/>
  <c r="AW38" i="22"/>
  <c r="AW39" i="22"/>
  <c r="AW40" i="22"/>
  <c r="AW41" i="22"/>
  <c r="AW42" i="22"/>
  <c r="AW43" i="22"/>
  <c r="AW44" i="22"/>
  <c r="AW45" i="22"/>
  <c r="AW46" i="22"/>
  <c r="AW47" i="22"/>
  <c r="AW48" i="22"/>
  <c r="AW49" i="22"/>
  <c r="BB11" i="22" l="1"/>
  <c r="BB15" i="22"/>
  <c r="BB14" i="22"/>
  <c r="BB10" i="22"/>
  <c r="BB13" i="22"/>
  <c r="BB9" i="22"/>
  <c r="BB16" i="22"/>
  <c r="BB12" i="22"/>
  <c r="BB8" i="22"/>
  <c r="DB12" i="22" l="1"/>
  <c r="AF13" i="21" l="1"/>
  <c r="BX9" i="22" l="1"/>
  <c r="BX10" i="22"/>
  <c r="BX11" i="22"/>
  <c r="BX12" i="22"/>
  <c r="BX13" i="22"/>
  <c r="BX14" i="22"/>
  <c r="BX15" i="22"/>
  <c r="BX16" i="22"/>
  <c r="BX17" i="22"/>
  <c r="BX18" i="22"/>
  <c r="BX19" i="22"/>
  <c r="BX8" i="22"/>
  <c r="BA8" i="22" l="1"/>
  <c r="BA9" i="22" s="1"/>
  <c r="BA10" i="22" s="1"/>
  <c r="BA11" i="22" s="1"/>
  <c r="BA12" i="22" s="1"/>
  <c r="BA13" i="22" s="1"/>
  <c r="BA14" i="22" s="1"/>
  <c r="BA15" i="22" s="1"/>
  <c r="BA16" i="22" s="1"/>
  <c r="AU8" i="22"/>
  <c r="AU9" i="22"/>
  <c r="AU10" i="22"/>
  <c r="AU11" i="22"/>
  <c r="AU12" i="22"/>
  <c r="AU13" i="22"/>
  <c r="AU14" i="22"/>
  <c r="AU15" i="22"/>
  <c r="AU16" i="22"/>
  <c r="AU17" i="22"/>
  <c r="AU18" i="22"/>
  <c r="AU19" i="22"/>
  <c r="AU20" i="22"/>
  <c r="AU21" i="22"/>
  <c r="AU22" i="22"/>
  <c r="AU23" i="22"/>
  <c r="AU24" i="22"/>
  <c r="AU25" i="22"/>
  <c r="AU26" i="22"/>
  <c r="AU27" i="22"/>
  <c r="AU28" i="22"/>
  <c r="AU29" i="22"/>
  <c r="AU30" i="22"/>
  <c r="AU31" i="22"/>
  <c r="AU32" i="22"/>
  <c r="AU33" i="22"/>
  <c r="AU34" i="22"/>
  <c r="AU35" i="22"/>
  <c r="AU36" i="22"/>
  <c r="AU37" i="22"/>
  <c r="AU38" i="22"/>
  <c r="AU39" i="22"/>
  <c r="AU40" i="22"/>
  <c r="AU41" i="22"/>
  <c r="AU42" i="22"/>
  <c r="AU43" i="22"/>
  <c r="AU44" i="22"/>
  <c r="AU45" i="22"/>
  <c r="AU46" i="22"/>
  <c r="AU47" i="22"/>
  <c r="AU48" i="22"/>
  <c r="AU49" i="22"/>
  <c r="AU50" i="22"/>
  <c r="AU51" i="22"/>
  <c r="AU52" i="22"/>
  <c r="AU53" i="22"/>
  <c r="AU54" i="22"/>
  <c r="AU55" i="22"/>
  <c r="AU56" i="22"/>
  <c r="AU57" i="22"/>
  <c r="AU58" i="22"/>
  <c r="AU59" i="22"/>
  <c r="AU60" i="22"/>
  <c r="AU61" i="22"/>
  <c r="AU62" i="22"/>
  <c r="AU63" i="22"/>
  <c r="AU64" i="22"/>
  <c r="AU65" i="22"/>
  <c r="AU66" i="22"/>
  <c r="AU67" i="22"/>
  <c r="AU68" i="22"/>
  <c r="AU69" i="22"/>
  <c r="AU70" i="22"/>
  <c r="AU71" i="22"/>
  <c r="AU72" i="22"/>
  <c r="AU73" i="22"/>
  <c r="AU74" i="22"/>
  <c r="AU75" i="22"/>
  <c r="AU76" i="22"/>
  <c r="AU77" i="22"/>
  <c r="AU78" i="22"/>
  <c r="AU79" i="22"/>
  <c r="AU80" i="22"/>
  <c r="AU81" i="22"/>
  <c r="AU82" i="22"/>
  <c r="AU83" i="22"/>
  <c r="AU84" i="22"/>
  <c r="AU85" i="22"/>
  <c r="AU86" i="22"/>
  <c r="AU87" i="22"/>
  <c r="AU88" i="22"/>
  <c r="AU89" i="22"/>
  <c r="AU90" i="22"/>
  <c r="AU91" i="22"/>
  <c r="AU92" i="22"/>
  <c r="AU93" i="22"/>
  <c r="AU94" i="22"/>
  <c r="AU95" i="22"/>
  <c r="AU96" i="22"/>
  <c r="AU97" i="22"/>
  <c r="AU98" i="22"/>
  <c r="AU99" i="22"/>
  <c r="AU100" i="22"/>
  <c r="AU101" i="22"/>
  <c r="AU102" i="22"/>
  <c r="AU103" i="22"/>
  <c r="AU104" i="22"/>
  <c r="AU105" i="22"/>
  <c r="AU106" i="22"/>
  <c r="AU107" i="22"/>
  <c r="AU108" i="22"/>
  <c r="AU109" i="22"/>
  <c r="AU110" i="22"/>
  <c r="AU111" i="22"/>
  <c r="AU112" i="22"/>
  <c r="AU113" i="22"/>
  <c r="AU114" i="22"/>
  <c r="AU115" i="22"/>
  <c r="AU116" i="22"/>
  <c r="AU117" i="22"/>
  <c r="AU118" i="22"/>
  <c r="AU119" i="22"/>
  <c r="AU120" i="22"/>
  <c r="AU121" i="22"/>
  <c r="AU122" i="22"/>
  <c r="AU123" i="22"/>
  <c r="AU124" i="22"/>
  <c r="AU125" i="22"/>
  <c r="AU126" i="22"/>
  <c r="AU127" i="22"/>
  <c r="AU128" i="22"/>
  <c r="AU129" i="22"/>
  <c r="AU7" i="22"/>
  <c r="L232" i="5" l="1"/>
  <c r="L226" i="5"/>
  <c r="L228" i="5"/>
  <c r="L230" i="5"/>
  <c r="L229" i="5"/>
  <c r="L227" i="5"/>
  <c r="L231" i="5"/>
  <c r="L224" i="5"/>
  <c r="L225" i="5"/>
  <c r="L221" i="5"/>
  <c r="L223" i="5"/>
  <c r="L222" i="5"/>
  <c r="L219" i="5"/>
  <c r="L220" i="5"/>
  <c r="L212" i="5"/>
  <c r="L213" i="5"/>
  <c r="L214" i="5"/>
  <c r="L211" i="5"/>
  <c r="L216" i="5"/>
  <c r="L215" i="5"/>
  <c r="L217" i="5"/>
  <c r="L218" i="5"/>
  <c r="L210" i="5"/>
  <c r="L209" i="5"/>
  <c r="L206" i="5"/>
  <c r="CU10" i="22"/>
  <c r="CU14" i="22"/>
  <c r="CV9" i="22"/>
  <c r="CV13" i="22"/>
  <c r="CV16" i="22"/>
  <c r="L208" i="5"/>
  <c r="CU11" i="22"/>
  <c r="CU15" i="22"/>
  <c r="CV10" i="22"/>
  <c r="CV14" i="22"/>
  <c r="L207" i="5"/>
  <c r="CU12" i="22"/>
  <c r="CU16" i="22"/>
  <c r="CV11" i="22"/>
  <c r="CV15" i="22"/>
  <c r="CU9" i="22"/>
  <c r="CU13" i="22"/>
  <c r="CV8" i="22"/>
  <c r="CV12" i="22"/>
  <c r="L205" i="5"/>
  <c r="L204" i="5"/>
  <c r="L202" i="5"/>
  <c r="L203" i="5"/>
  <c r="L198" i="5"/>
  <c r="L199" i="5"/>
  <c r="L200" i="5"/>
  <c r="L201" i="5"/>
  <c r="L195" i="5"/>
  <c r="L196" i="5"/>
  <c r="L197" i="5"/>
  <c r="L192" i="5"/>
  <c r="L193" i="5"/>
  <c r="L194" i="5"/>
  <c r="L183" i="5"/>
  <c r="L187" i="5"/>
  <c r="L191" i="5"/>
  <c r="L184" i="5"/>
  <c r="L188" i="5"/>
  <c r="L185" i="5"/>
  <c r="L189" i="5"/>
  <c r="L186" i="5"/>
  <c r="L190" i="5"/>
  <c r="L181" i="5"/>
  <c r="L182" i="5"/>
  <c r="L179" i="5"/>
  <c r="L178" i="5"/>
  <c r="L180" i="5"/>
  <c r="L177" i="5"/>
  <c r="L176" i="5"/>
  <c r="L174" i="5"/>
  <c r="L175" i="5"/>
  <c r="L173" i="5"/>
  <c r="DP9" i="22"/>
  <c r="DP13" i="22"/>
  <c r="DP17" i="22"/>
  <c r="DO9" i="22"/>
  <c r="DO13" i="22"/>
  <c r="DO17" i="22"/>
  <c r="DN9" i="22"/>
  <c r="DN13" i="22"/>
  <c r="DN17" i="22"/>
  <c r="DM9" i="22"/>
  <c r="DM13" i="22"/>
  <c r="DM17" i="22"/>
  <c r="DP10" i="22"/>
  <c r="DP14" i="22"/>
  <c r="DP18" i="22"/>
  <c r="DO10" i="22"/>
  <c r="DO14" i="22"/>
  <c r="DO18" i="22"/>
  <c r="DN10" i="22"/>
  <c r="DN14" i="22"/>
  <c r="DN18" i="22"/>
  <c r="DM10" i="22"/>
  <c r="DM14" i="22"/>
  <c r="DM18" i="22"/>
  <c r="DP11" i="22"/>
  <c r="DP15" i="22"/>
  <c r="DP19" i="22"/>
  <c r="DO11" i="22"/>
  <c r="DO15" i="22"/>
  <c r="DO19" i="22"/>
  <c r="DN11" i="22"/>
  <c r="DN15" i="22"/>
  <c r="DN19" i="22"/>
  <c r="DM11" i="22"/>
  <c r="DM15" i="22"/>
  <c r="DM19" i="22"/>
  <c r="DP12" i="22"/>
  <c r="DP16" i="22"/>
  <c r="DP20" i="22"/>
  <c r="DO12" i="22"/>
  <c r="DO16" i="22"/>
  <c r="DO20" i="22"/>
  <c r="DN12" i="22"/>
  <c r="DN16" i="22"/>
  <c r="DN20" i="22"/>
  <c r="DM12" i="22"/>
  <c r="DM16" i="22"/>
  <c r="DM20" i="22"/>
  <c r="L166" i="5"/>
  <c r="L164" i="5"/>
  <c r="L167" i="5"/>
  <c r="L170" i="5"/>
  <c r="L168" i="5"/>
  <c r="L171" i="5"/>
  <c r="L165" i="5"/>
  <c r="L172" i="5"/>
  <c r="L169" i="5"/>
  <c r="L163" i="5"/>
  <c r="L162" i="5"/>
  <c r="L161" i="5"/>
  <c r="L160" i="5"/>
  <c r="CU7" i="22"/>
  <c r="L157" i="5"/>
  <c r="L159" i="5"/>
  <c r="L158" i="5"/>
  <c r="L156" i="5"/>
  <c r="L152" i="5"/>
  <c r="L155" i="5"/>
  <c r="L154" i="5"/>
  <c r="L153" i="5"/>
  <c r="L149" i="5"/>
  <c r="L148" i="5"/>
  <c r="L151" i="5"/>
  <c r="L150" i="5"/>
  <c r="L145" i="5"/>
  <c r="L144" i="5"/>
  <c r="L147" i="5"/>
  <c r="L146" i="5"/>
  <c r="L143" i="5"/>
  <c r="L142" i="5"/>
  <c r="L141" i="5"/>
  <c r="L140" i="5"/>
  <c r="L139" i="5"/>
  <c r="L136" i="5"/>
  <c r="L138" i="5"/>
  <c r="L137" i="5"/>
  <c r="L8" i="5"/>
  <c r="L16" i="5"/>
  <c r="L24" i="5"/>
  <c r="L32" i="5"/>
  <c r="L40" i="5"/>
  <c r="L48" i="5"/>
  <c r="L56" i="5"/>
  <c r="L64" i="5"/>
  <c r="L72" i="5"/>
  <c r="L79" i="5"/>
  <c r="L87" i="5"/>
  <c r="L95" i="5"/>
  <c r="L103" i="5"/>
  <c r="L111" i="5"/>
  <c r="L119" i="5"/>
  <c r="L127" i="5"/>
  <c r="L135" i="5"/>
  <c r="L10" i="5"/>
  <c r="L18" i="5"/>
  <c r="L26" i="5"/>
  <c r="L34" i="5"/>
  <c r="L42" i="5"/>
  <c r="L50" i="5"/>
  <c r="L58" i="5"/>
  <c r="L66" i="5"/>
  <c r="L74" i="5"/>
  <c r="L81" i="5"/>
  <c r="L89" i="5"/>
  <c r="L97" i="5"/>
  <c r="L105" i="5"/>
  <c r="L113" i="5"/>
  <c r="L121" i="5"/>
  <c r="L129" i="5"/>
  <c r="L44" i="5"/>
  <c r="L30" i="5"/>
  <c r="L4" i="5"/>
  <c r="L20" i="5"/>
  <c r="L36" i="5"/>
  <c r="L52" i="5"/>
  <c r="L68" i="5"/>
  <c r="L83" i="5"/>
  <c r="L99" i="5"/>
  <c r="L115" i="5"/>
  <c r="L131" i="5"/>
  <c r="L28" i="5"/>
  <c r="L60" i="5"/>
  <c r="L76" i="5"/>
  <c r="L107" i="5"/>
  <c r="L14" i="5"/>
  <c r="L62" i="5"/>
  <c r="L78" i="5"/>
  <c r="L93" i="5"/>
  <c r="L109" i="5"/>
  <c r="L125" i="5"/>
  <c r="L6" i="5"/>
  <c r="L22" i="5"/>
  <c r="L38" i="5"/>
  <c r="L54" i="5"/>
  <c r="L70" i="5"/>
  <c r="L85" i="5"/>
  <c r="L101" i="5"/>
  <c r="L117" i="5"/>
  <c r="L133" i="5"/>
  <c r="L12" i="5"/>
  <c r="L91" i="5"/>
  <c r="L123" i="5"/>
  <c r="L46" i="5"/>
  <c r="L2" i="5"/>
  <c r="L120" i="5"/>
  <c r="L104" i="5"/>
  <c r="L88" i="5"/>
  <c r="L73" i="5"/>
  <c r="L57" i="5"/>
  <c r="L41" i="5"/>
  <c r="L118" i="5"/>
  <c r="L94" i="5"/>
  <c r="L47" i="5"/>
  <c r="L132" i="5"/>
  <c r="L116" i="5"/>
  <c r="L100" i="5"/>
  <c r="L84" i="5"/>
  <c r="L69" i="5"/>
  <c r="L53" i="5"/>
  <c r="L37" i="5"/>
  <c r="L21" i="5"/>
  <c r="L5" i="5"/>
  <c r="L110" i="5"/>
  <c r="L90" i="5"/>
  <c r="L75" i="5"/>
  <c r="L59" i="5"/>
  <c r="L43" i="5"/>
  <c r="L27" i="5"/>
  <c r="L11" i="5"/>
  <c r="L128" i="5"/>
  <c r="L112" i="5"/>
  <c r="L96" i="5"/>
  <c r="L80" i="5"/>
  <c r="L65" i="5"/>
  <c r="L49" i="5"/>
  <c r="L33" i="5"/>
  <c r="L17" i="5"/>
  <c r="L134" i="5"/>
  <c r="L106" i="5"/>
  <c r="L86" i="5"/>
  <c r="L71" i="5"/>
  <c r="L55" i="5"/>
  <c r="L39" i="5"/>
  <c r="L23" i="5"/>
  <c r="L7" i="5"/>
  <c r="L114" i="5"/>
  <c r="L9" i="5"/>
  <c r="L15" i="5"/>
  <c r="L130" i="5"/>
  <c r="L124" i="5"/>
  <c r="L108" i="5"/>
  <c r="L92" i="5"/>
  <c r="L77" i="5"/>
  <c r="L61" i="5"/>
  <c r="L45" i="5"/>
  <c r="L29" i="5"/>
  <c r="L13" i="5"/>
  <c r="L126" i="5"/>
  <c r="L102" i="5"/>
  <c r="L82" i="5"/>
  <c r="L67" i="5"/>
  <c r="L51" i="5"/>
  <c r="L35" i="5"/>
  <c r="L19" i="5"/>
  <c r="L3" i="5"/>
  <c r="L98" i="5"/>
  <c r="L25" i="5"/>
  <c r="L63" i="5"/>
  <c r="L31" i="5"/>
  <c r="L122" i="5"/>
  <c r="AX5" i="22"/>
  <c r="AX20" i="22" s="1"/>
  <c r="DB6" i="22"/>
  <c r="DA7" i="22" s="1" a="1"/>
  <c r="O13" i="22"/>
  <c r="M13" i="22"/>
  <c r="BY9" i="22"/>
  <c r="BY13" i="22"/>
  <c r="BY17" i="22"/>
  <c r="BY16" i="22"/>
  <c r="BY10" i="22"/>
  <c r="BY14" i="22"/>
  <c r="BY18" i="22"/>
  <c r="BY8" i="22"/>
  <c r="BY11" i="22"/>
  <c r="BY15" i="22"/>
  <c r="BY19" i="22"/>
  <c r="BY12" i="22"/>
  <c r="BV12" i="22"/>
  <c r="CV17" i="22"/>
  <c r="CV18" i="22"/>
  <c r="CU18" i="22"/>
  <c r="CV7" i="22"/>
  <c r="CU17" i="22"/>
  <c r="BZ11" i="22"/>
  <c r="BZ15" i="22"/>
  <c r="BZ19" i="22"/>
  <c r="BZ12" i="22"/>
  <c r="BZ16" i="22"/>
  <c r="BZ8" i="22"/>
  <c r="BZ9" i="22"/>
  <c r="BZ13" i="22"/>
  <c r="BZ17" i="22"/>
  <c r="BZ10" i="22"/>
  <c r="BZ14" i="22"/>
  <c r="BZ18" i="22"/>
  <c r="BV19" i="22"/>
  <c r="BV15" i="22"/>
  <c r="BV14" i="22"/>
  <c r="BV11" i="22"/>
  <c r="BV18" i="22"/>
  <c r="BV10" i="22"/>
  <c r="BV17" i="22"/>
  <c r="BV13" i="22"/>
  <c r="BV9" i="22"/>
  <c r="BV8" i="22"/>
  <c r="BV16" i="22"/>
  <c r="DA13" i="22" l="1" a="1"/>
  <c r="DD12" i="22"/>
  <c r="DD15" i="22" s="1"/>
  <c r="DS12" i="22" a="1"/>
  <c r="DS11" i="22" a="1"/>
  <c r="DS10" i="22" a="1"/>
  <c r="DS16" i="22" a="1"/>
  <c r="DS15" i="22" a="1"/>
  <c r="DS14" i="22" a="1"/>
  <c r="DS13" i="22" a="1"/>
  <c r="DS20" i="22" a="1"/>
  <c r="DS19" i="22" a="1"/>
  <c r="DS18" i="22" a="1"/>
  <c r="DS17" i="22" a="1"/>
  <c r="DS9" i="22" a="1"/>
  <c r="AX21" i="22"/>
  <c r="AX26" i="22"/>
  <c r="BC10" i="22"/>
  <c r="AX12" i="22"/>
  <c r="AX31" i="22"/>
  <c r="BD11" i="22"/>
  <c r="AX27" i="22"/>
  <c r="AX10" i="22"/>
  <c r="AX48" i="22"/>
  <c r="AX8" i="22"/>
  <c r="BD15" i="22"/>
  <c r="BC9" i="22"/>
  <c r="AX11" i="22"/>
  <c r="AX41" i="22"/>
  <c r="AX40" i="22"/>
  <c r="BC11" i="22"/>
  <c r="BD16" i="22"/>
  <c r="AX30" i="22"/>
  <c r="AX25" i="22"/>
  <c r="AX32" i="22"/>
  <c r="BC12" i="22"/>
  <c r="BD9" i="22"/>
  <c r="BD8" i="22"/>
  <c r="AX42" i="22"/>
  <c r="AX45" i="22"/>
  <c r="AX9" i="22"/>
  <c r="AX16" i="22"/>
  <c r="BC16" i="22"/>
  <c r="BC14" i="22"/>
  <c r="BD14" i="22"/>
  <c r="AX39" i="22"/>
  <c r="AX46" i="22"/>
  <c r="AX18" i="22"/>
  <c r="AX29" i="22"/>
  <c r="AX47" i="22"/>
  <c r="AX28" i="22"/>
  <c r="AX7" i="22"/>
  <c r="BC15" i="22"/>
  <c r="BD7" i="22"/>
  <c r="BC13" i="22"/>
  <c r="AX43" i="22"/>
  <c r="AX23" i="22"/>
  <c r="AX34" i="22"/>
  <c r="AX14" i="22"/>
  <c r="AX37" i="22"/>
  <c r="AX13" i="22"/>
  <c r="AX44" i="22"/>
  <c r="AX24" i="22"/>
  <c r="BC8" i="22"/>
  <c r="BD10" i="22"/>
  <c r="BD13" i="22"/>
  <c r="BC7" i="22"/>
  <c r="BD12" i="22"/>
  <c r="AX35" i="22"/>
  <c r="AX19" i="22"/>
  <c r="AX38" i="22"/>
  <c r="AX22" i="22"/>
  <c r="AX49" i="22"/>
  <c r="AX33" i="22"/>
  <c r="AX17" i="22"/>
  <c r="AX15" i="22"/>
  <c r="AX36" i="22"/>
  <c r="U8" i="22"/>
  <c r="O9" i="22"/>
  <c r="CP10" i="22"/>
  <c r="CP11" i="22"/>
  <c r="CP12" i="22"/>
  <c r="CP13" i="22"/>
  <c r="CP14" i="22"/>
  <c r="CP15" i="22"/>
  <c r="CP16" i="22"/>
  <c r="CP17" i="22"/>
  <c r="CP18" i="22"/>
  <c r="CP19" i="22"/>
  <c r="CP20" i="22"/>
  <c r="CP21" i="22"/>
  <c r="CP22" i="22"/>
  <c r="CP23" i="22"/>
  <c r="CP24" i="22"/>
  <c r="CP25" i="22"/>
  <c r="CP26" i="22"/>
  <c r="CP27" i="22"/>
  <c r="CP28" i="22"/>
  <c r="CP29" i="22"/>
  <c r="CP30" i="22"/>
  <c r="CO9" i="22"/>
  <c r="CR8" i="22" s="1"/>
  <c r="AK7" i="22"/>
  <c r="BE10" i="22" l="1"/>
  <c r="BE11" i="22"/>
  <c r="BE9" i="22"/>
  <c r="BE12" i="22"/>
  <c r="BE16" i="22"/>
  <c r="BE14" i="22"/>
  <c r="BE13" i="22"/>
  <c r="BE15" i="22"/>
  <c r="BE8" i="22"/>
  <c r="BE7" i="22"/>
  <c r="CO5" i="22"/>
  <c r="CP9" i="22"/>
  <c r="AA13" i="21"/>
  <c r="BR9" i="22" l="1"/>
  <c r="BM9" i="22"/>
  <c r="V8" i="22"/>
  <c r="AL7" i="22"/>
  <c r="L19" i="21"/>
  <c r="J11" i="20"/>
  <c r="F8" i="22"/>
  <c r="F9" i="22"/>
  <c r="F10" i="22"/>
  <c r="F7" i="22"/>
  <c r="M19" i="21" l="1"/>
  <c r="U19" i="21"/>
  <c r="L13" i="22"/>
  <c r="BU18" i="22"/>
  <c r="BU10" i="22"/>
  <c r="BU16" i="22"/>
  <c r="BU17" i="22"/>
  <c r="BU12" i="22"/>
  <c r="BU14" i="22"/>
  <c r="BU11" i="22"/>
  <c r="BU15" i="22"/>
  <c r="BU19" i="22"/>
  <c r="BU9" i="22"/>
  <c r="BU8" i="22"/>
  <c r="BU13" i="22"/>
  <c r="K3" i="20"/>
  <c r="L3" i="20" s="1"/>
  <c r="N3" i="20" s="1"/>
  <c r="CA8" i="22" l="1"/>
  <c r="BW9" i="22"/>
  <c r="CA9" i="22" s="1"/>
  <c r="M3" i="20"/>
  <c r="BW19" i="22"/>
  <c r="CA19" i="22" s="1"/>
  <c r="BW15" i="22"/>
  <c r="CA15" i="22" s="1"/>
  <c r="BW11" i="22"/>
  <c r="CA11" i="22" s="1"/>
  <c r="BW12" i="22"/>
  <c r="CA12" i="22" s="1"/>
  <c r="BW18" i="22"/>
  <c r="CA18" i="22" s="1"/>
  <c r="BW14" i="22"/>
  <c r="CA14" i="22" s="1"/>
  <c r="BW16" i="22"/>
  <c r="CA16" i="22" s="1"/>
  <c r="BW17" i="22"/>
  <c r="CA17" i="22" s="1"/>
  <c r="BW13" i="22"/>
  <c r="CA13" i="22" s="1"/>
  <c r="BW10" i="22"/>
  <c r="CA10" i="22" s="1"/>
  <c r="K9" i="20"/>
  <c r="N9" i="20" s="1"/>
  <c r="O9" i="20" s="1"/>
  <c r="J5" i="20"/>
  <c r="N26" i="20"/>
  <c r="O26" i="20" s="1"/>
  <c r="N25" i="20"/>
  <c r="O25" i="20" s="1"/>
  <c r="N23" i="20"/>
  <c r="O23" i="20" s="1"/>
  <c r="M16" i="20"/>
  <c r="J17" i="20" s="1"/>
  <c r="O15" i="20"/>
  <c r="N14" i="20"/>
  <c r="O14" i="20" s="1"/>
  <c r="M14" i="20"/>
  <c r="J14" i="20" s="1"/>
  <c r="L12" i="20"/>
  <c r="N12" i="20" s="1"/>
  <c r="O12" i="20" s="1"/>
  <c r="N11" i="20"/>
  <c r="O11" i="20" s="1"/>
  <c r="N7" i="20"/>
  <c r="O7" i="20" s="1"/>
  <c r="M29" i="20"/>
  <c r="C11" i="19"/>
  <c r="O38" i="20"/>
  <c r="N31" i="20"/>
  <c r="O31" i="20" s="1"/>
  <c r="L31" i="20"/>
  <c r="M31" i="20" s="1"/>
  <c r="J32" i="20" s="1"/>
  <c r="N46" i="20"/>
  <c r="O46" i="20" s="1"/>
  <c r="L46" i="20"/>
  <c r="M46" i="20" s="1"/>
  <c r="J46" i="20" s="1"/>
  <c r="N44" i="20"/>
  <c r="O44" i="20" s="1"/>
  <c r="L44" i="20"/>
  <c r="M44" i="20" s="1"/>
  <c r="J44" i="20" s="1"/>
  <c r="L42" i="20"/>
  <c r="M42" i="20" s="1"/>
  <c r="J42" i="20" s="1"/>
  <c r="N42" i="20"/>
  <c r="O42" i="20" s="1"/>
  <c r="N41" i="20"/>
  <c r="O41" i="20" s="1"/>
  <c r="L41" i="20"/>
  <c r="M41" i="20" s="1"/>
  <c r="J41" i="20" s="1"/>
  <c r="N37" i="20"/>
  <c r="O37" i="20" s="1"/>
  <c r="L37" i="20"/>
  <c r="M37" i="20" s="1"/>
  <c r="J37" i="20" s="1"/>
  <c r="M28" i="20"/>
  <c r="M26" i="20"/>
  <c r="J26" i="20" s="1"/>
  <c r="M25" i="20"/>
  <c r="M23" i="20"/>
  <c r="O22" i="20"/>
  <c r="L22" i="20"/>
  <c r="M22" i="20" s="1"/>
  <c r="J22" i="20" s="1"/>
  <c r="K16" i="20"/>
  <c r="N16" i="20" s="1"/>
  <c r="M9" i="20"/>
  <c r="J9" i="20" s="1"/>
  <c r="L8" i="20"/>
  <c r="M8" i="20" s="1"/>
  <c r="J8" i="20" s="1"/>
  <c r="M7" i="20"/>
  <c r="F16" i="19"/>
  <c r="G16" i="19" s="1"/>
  <c r="D16" i="19"/>
  <c r="E16" i="19" s="1"/>
  <c r="F15" i="19"/>
  <c r="G15" i="19" s="1"/>
  <c r="D15" i="19"/>
  <c r="E15" i="19" s="1"/>
  <c r="F14" i="19"/>
  <c r="G14" i="19" s="1"/>
  <c r="D14" i="19"/>
  <c r="E14" i="19" s="1"/>
  <c r="F13" i="19"/>
  <c r="G13" i="19" s="1"/>
  <c r="D13" i="19"/>
  <c r="E13" i="19" s="1"/>
  <c r="F12" i="19"/>
  <c r="G12" i="19" s="1"/>
  <c r="D12" i="19"/>
  <c r="E12" i="19" s="1"/>
  <c r="F10" i="19"/>
  <c r="G10" i="19" s="1"/>
  <c r="D10" i="19"/>
  <c r="E10" i="19" s="1"/>
  <c r="F9" i="19"/>
  <c r="G9" i="19" s="1"/>
  <c r="D9" i="19"/>
  <c r="E9" i="19" s="1"/>
  <c r="F8" i="19"/>
  <c r="G8" i="19" s="1"/>
  <c r="D8" i="19"/>
  <c r="E8" i="19" s="1"/>
  <c r="F7" i="19"/>
  <c r="G7" i="19" s="1"/>
  <c r="D7" i="19"/>
  <c r="E7" i="19" s="1"/>
  <c r="F6" i="19"/>
  <c r="G6" i="19" s="1"/>
  <c r="D6" i="19"/>
  <c r="E6" i="19" s="1"/>
  <c r="F5" i="19"/>
  <c r="G5" i="19" s="1"/>
  <c r="D5" i="19"/>
  <c r="E5" i="19" s="1"/>
  <c r="F4" i="19"/>
  <c r="G4" i="19" s="1"/>
  <c r="D4" i="19"/>
  <c r="E4" i="19" s="1"/>
  <c r="F3" i="19"/>
  <c r="G3" i="19" s="1"/>
  <c r="D3" i="19"/>
  <c r="E3" i="19" s="1"/>
  <c r="C17" i="19" l="1"/>
  <c r="D11" i="19"/>
  <c r="E11" i="19" s="1"/>
  <c r="E17" i="19" s="1"/>
  <c r="D17" i="19"/>
  <c r="O3" i="20"/>
  <c r="M12" i="20"/>
  <c r="N8" i="20"/>
  <c r="O8" i="20" s="1"/>
  <c r="O16" i="20"/>
  <c r="F11" i="19"/>
  <c r="G11" i="19" s="1"/>
  <c r="G17" i="19" s="1"/>
  <c r="F17" i="19" l="1"/>
  <c r="G6" i="18"/>
  <c r="H6" i="18" l="1"/>
  <c r="G2" i="18"/>
  <c r="G11" i="18"/>
  <c r="H11" i="18" s="1"/>
  <c r="G41" i="18"/>
  <c r="H41" i="18" s="1"/>
  <c r="G35" i="18"/>
  <c r="H35" i="18" s="1"/>
  <c r="G24" i="18"/>
  <c r="H24" i="18" s="1"/>
  <c r="G18" i="18"/>
  <c r="H18" i="18" s="1"/>
  <c r="G12" i="18"/>
  <c r="H12" i="18" s="1"/>
  <c r="G40" i="18"/>
  <c r="H40" i="18" s="1"/>
  <c r="G34" i="18"/>
  <c r="H34" i="18" s="1"/>
  <c r="G29" i="18"/>
  <c r="H29" i="18" s="1"/>
  <c r="G23" i="18"/>
  <c r="H23" i="18" s="1"/>
  <c r="G17" i="18"/>
  <c r="H17" i="18" s="1"/>
  <c r="G45" i="18"/>
  <c r="H45" i="18" s="1"/>
  <c r="G39" i="18"/>
  <c r="H39" i="18" s="1"/>
  <c r="G33" i="18"/>
  <c r="H33" i="18" s="1"/>
  <c r="G28" i="18"/>
  <c r="H28" i="18" s="1"/>
  <c r="G22" i="18"/>
  <c r="H22" i="18" s="1"/>
  <c r="G16" i="18"/>
  <c r="H16" i="18" s="1"/>
  <c r="G10" i="18"/>
  <c r="H10" i="18" s="1"/>
  <c r="G5" i="18"/>
  <c r="G44" i="18"/>
  <c r="H44" i="18" s="1"/>
  <c r="G38" i="18"/>
  <c r="H38" i="18" s="1"/>
  <c r="G32" i="18"/>
  <c r="H32" i="18" s="1"/>
  <c r="G27" i="18"/>
  <c r="H27" i="18" s="1"/>
  <c r="G21" i="18"/>
  <c r="H21" i="18" s="1"/>
  <c r="G15" i="18"/>
  <c r="H15" i="18" s="1"/>
  <c r="G9" i="18"/>
  <c r="H9" i="18" s="1"/>
  <c r="G4" i="18"/>
  <c r="G43" i="18"/>
  <c r="H43" i="18" s="1"/>
  <c r="G37" i="18"/>
  <c r="H37" i="18" s="1"/>
  <c r="G31" i="18"/>
  <c r="H31" i="18" s="1"/>
  <c r="G26" i="18"/>
  <c r="H26" i="18" s="1"/>
  <c r="G20" i="18"/>
  <c r="H20" i="18" s="1"/>
  <c r="G14" i="18"/>
  <c r="H14" i="18" s="1"/>
  <c r="G8" i="18"/>
  <c r="H8" i="18" s="1"/>
  <c r="G3" i="18"/>
  <c r="H3" i="18" s="1"/>
  <c r="J3" i="18" s="1"/>
  <c r="G42" i="18"/>
  <c r="H42" i="18" s="1"/>
  <c r="G36" i="18"/>
  <c r="H36" i="18" s="1"/>
  <c r="G30" i="18"/>
  <c r="H30" i="18" s="1"/>
  <c r="G25" i="18"/>
  <c r="H25" i="18" s="1"/>
  <c r="G19" i="18"/>
  <c r="H19" i="18" s="1"/>
  <c r="G13" i="18"/>
  <c r="H13" i="18" s="1"/>
  <c r="G7" i="18"/>
  <c r="H7" i="18" s="1"/>
  <c r="H5" i="18" l="1"/>
  <c r="H9" i="22"/>
  <c r="H10" i="22"/>
  <c r="H4" i="18"/>
  <c r="H8" i="22"/>
  <c r="H7" i="22"/>
  <c r="G10" i="22"/>
  <c r="I10" i="22" s="1"/>
  <c r="H2" i="18"/>
  <c r="J2" i="18" l="1"/>
  <c r="G7" i="22"/>
  <c r="I7" i="22" s="1"/>
  <c r="J4" i="18"/>
  <c r="G8" i="22"/>
  <c r="I8" i="22" s="1"/>
  <c r="J5" i="18"/>
  <c r="G9" i="22"/>
  <c r="I9" i="22" s="1"/>
  <c r="T18" i="21" l="1"/>
  <c r="R18" i="21"/>
  <c r="O18" i="21"/>
  <c r="S18" i="21" a="1"/>
  <c r="S18" i="21" s="1"/>
  <c r="P18" i="21"/>
  <c r="N18" i="21"/>
  <c r="Q18" i="21"/>
  <c r="L20" i="21"/>
  <c r="U20" i="21" s="1"/>
  <c r="M20" i="21" l="1"/>
  <c r="L21" i="21"/>
  <c r="V18" i="21"/>
  <c r="W18" i="21"/>
  <c r="P19" i="21"/>
  <c r="S19" i="21" a="1"/>
  <c r="S19" i="21" s="1"/>
  <c r="O19" i="21"/>
  <c r="Q19" i="21"/>
  <c r="R19" i="21"/>
  <c r="W19" i="21" s="1"/>
  <c r="N19" i="21"/>
  <c r="T19" i="21"/>
  <c r="M21" i="21" l="1"/>
  <c r="U21" i="21"/>
  <c r="V19" i="21"/>
  <c r="P20" i="21"/>
  <c r="N20" i="21"/>
  <c r="T20" i="21"/>
  <c r="Q20" i="21"/>
  <c r="O20" i="21"/>
  <c r="R20" i="21"/>
  <c r="V20" i="21" s="1"/>
  <c r="S20" i="21" a="1"/>
  <c r="S20" i="21" s="1"/>
  <c r="L22" i="21"/>
  <c r="M22" i="21" l="1"/>
  <c r="U22" i="21"/>
  <c r="W20" i="21"/>
  <c r="T21" i="21"/>
  <c r="O21" i="21"/>
  <c r="P21" i="21"/>
  <c r="R21" i="21"/>
  <c r="V21" i="21" s="1"/>
  <c r="N21" i="21"/>
  <c r="S21" i="21" a="1"/>
  <c r="S21" i="21" s="1"/>
  <c r="Q21" i="21"/>
  <c r="L23" i="21"/>
  <c r="M23" i="21" l="1"/>
  <c r="T23" i="21" s="1"/>
  <c r="U23" i="21"/>
  <c r="T22" i="21"/>
  <c r="R22" i="21"/>
  <c r="V22" i="21" s="1"/>
  <c r="O22" i="21"/>
  <c r="N22" i="21"/>
  <c r="S22" i="21" a="1"/>
  <c r="S22" i="21" s="1"/>
  <c r="Q22" i="21"/>
  <c r="P22" i="21"/>
  <c r="L24" i="21"/>
  <c r="W21" i="21"/>
  <c r="M24" i="21" l="1"/>
  <c r="U24" i="21"/>
  <c r="R23" i="21"/>
  <c r="V23" i="21" s="1"/>
  <c r="O23" i="21"/>
  <c r="N23" i="21"/>
  <c r="Q23" i="21"/>
  <c r="P23" i="21"/>
  <c r="S23" i="21" a="1"/>
  <c r="S23" i="21" s="1"/>
  <c r="L25" i="21"/>
  <c r="W22" i="21"/>
  <c r="M25" i="21" l="1"/>
  <c r="U25" i="21"/>
  <c r="W23" i="21"/>
  <c r="R24" i="21"/>
  <c r="V24" i="21" s="1"/>
  <c r="T24" i="21"/>
  <c r="N24" i="21"/>
  <c r="O24" i="21"/>
  <c r="Q24" i="21"/>
  <c r="S24" i="21" a="1"/>
  <c r="S24" i="21" s="1"/>
  <c r="P24" i="21"/>
  <c r="L26" i="21"/>
  <c r="Q25" i="21" l="1"/>
  <c r="T25" i="21"/>
  <c r="M26" i="21"/>
  <c r="U26" i="21"/>
  <c r="S25" i="21" a="1"/>
  <c r="S25" i="21" s="1"/>
  <c r="N25" i="21"/>
  <c r="R25" i="21"/>
  <c r="V25" i="21" s="1"/>
  <c r="O25" i="21"/>
  <c r="P25" i="21"/>
  <c r="L27" i="21"/>
  <c r="W24" i="21"/>
  <c r="M27" i="21" l="1"/>
  <c r="U27" i="21"/>
  <c r="L28" i="21"/>
  <c r="T26" i="21"/>
  <c r="P26" i="21"/>
  <c r="S26" i="21" a="1"/>
  <c r="S26" i="21" s="1"/>
  <c r="Q26" i="21"/>
  <c r="N26" i="21"/>
  <c r="R26" i="21"/>
  <c r="V26" i="21" s="1"/>
  <c r="O26" i="21"/>
  <c r="W25" i="21"/>
  <c r="M28" i="21" l="1"/>
  <c r="U28" i="21"/>
  <c r="L29" i="21"/>
  <c r="T27" i="21"/>
  <c r="S27" i="21" a="1"/>
  <c r="S27" i="21" s="1"/>
  <c r="Q27" i="21"/>
  <c r="N27" i="21"/>
  <c r="R27" i="21"/>
  <c r="V27" i="21" s="1"/>
  <c r="O27" i="21"/>
  <c r="P27" i="21"/>
  <c r="W26" i="21"/>
  <c r="M29" i="21" l="1"/>
  <c r="S29" i="21" s="1"/>
  <c r="U29" i="21"/>
  <c r="W27" i="21"/>
  <c r="L30" i="21"/>
  <c r="S28" i="21" a="1"/>
  <c r="S28" i="21" s="1"/>
  <c r="R28" i="21"/>
  <c r="V28" i="21" s="1"/>
  <c r="P28" i="21"/>
  <c r="O28" i="21"/>
  <c r="T28" i="21"/>
  <c r="Q28" i="21"/>
  <c r="N28" i="21"/>
  <c r="M30" i="21" l="1"/>
  <c r="R30" i="21" s="1"/>
  <c r="U30" i="21"/>
  <c r="W28" i="21"/>
  <c r="L31" i="21"/>
  <c r="O29" i="21"/>
  <c r="P29" i="21"/>
  <c r="N29" i="21"/>
  <c r="R29" i="21"/>
  <c r="V29" i="21" s="1"/>
  <c r="Q29" i="21"/>
  <c r="T29" i="21"/>
  <c r="M31" i="21" l="1"/>
  <c r="U31" i="21"/>
  <c r="W29" i="21"/>
  <c r="L32" i="21"/>
  <c r="S30" i="21" a="1"/>
  <c r="S30" i="21" s="1"/>
  <c r="N30" i="21"/>
  <c r="O30" i="21"/>
  <c r="P30" i="21"/>
  <c r="V30" i="21"/>
  <c r="T30" i="21"/>
  <c r="Q30" i="21"/>
  <c r="M32" i="21" l="1"/>
  <c r="P32" i="21" s="1"/>
  <c r="U32" i="21"/>
  <c r="W30" i="21"/>
  <c r="S31" i="21" a="1"/>
  <c r="S31" i="21" s="1"/>
  <c r="T31" i="21"/>
  <c r="P31" i="21"/>
  <c r="O31" i="21"/>
  <c r="R31" i="21"/>
  <c r="V31" i="21" s="1"/>
  <c r="Q31" i="21"/>
  <c r="N31" i="21"/>
  <c r="L33" i="21"/>
  <c r="U33" i="21" s="1"/>
  <c r="L34" i="21" l="1"/>
  <c r="L35" i="21" s="1"/>
  <c r="M33" i="21"/>
  <c r="R32" i="21"/>
  <c r="V32" i="21" s="1"/>
  <c r="T32" i="21"/>
  <c r="S32" i="21" a="1"/>
  <c r="S32" i="21" s="1"/>
  <c r="N32" i="21"/>
  <c r="O32" i="21"/>
  <c r="Q32" i="21"/>
  <c r="W31" i="21"/>
  <c r="M35" i="21" l="1"/>
  <c r="U35" i="21"/>
  <c r="M34" i="21"/>
  <c r="N34" i="21" s="1"/>
  <c r="U34" i="21"/>
  <c r="L36" i="21"/>
  <c r="T33" i="21"/>
  <c r="S33" i="21" a="1"/>
  <c r="S33" i="21" s="1"/>
  <c r="Q33" i="21"/>
  <c r="R33" i="21"/>
  <c r="V33" i="21" s="1"/>
  <c r="P33" i="21"/>
  <c r="N33" i="21"/>
  <c r="O33" i="21"/>
  <c r="S34" i="21" l="1" a="1"/>
  <c r="S34" i="21" s="1"/>
  <c r="Q34" i="21"/>
  <c r="R34" i="21"/>
  <c r="T34" i="21"/>
  <c r="P34" i="21"/>
  <c r="O34" i="21"/>
  <c r="M36" i="21"/>
  <c r="U36" i="21"/>
  <c r="L37" i="21"/>
  <c r="Q35" i="21"/>
  <c r="S35" i="21" a="1"/>
  <c r="S35" i="21" s="1"/>
  <c r="P35" i="21"/>
  <c r="O35" i="21"/>
  <c r="T35" i="21"/>
  <c r="N35" i="21"/>
  <c r="R35" i="21"/>
  <c r="V35" i="21" s="1"/>
  <c r="W33" i="21"/>
  <c r="W34" i="21" l="1"/>
  <c r="V34" i="21"/>
  <c r="M37" i="21"/>
  <c r="U37" i="21"/>
  <c r="W35" i="21"/>
  <c r="O36" i="21"/>
  <c r="T36" i="21"/>
  <c r="S36" i="21" a="1"/>
  <c r="S36" i="21" s="1"/>
  <c r="N36" i="21"/>
  <c r="P36" i="21"/>
  <c r="R36" i="21"/>
  <c r="V36" i="21" s="1"/>
  <c r="Q36" i="21"/>
  <c r="R37" i="21" l="1"/>
  <c r="V37" i="21" s="1"/>
  <c r="S37" i="21" a="1"/>
  <c r="S37" i="21" s="1"/>
  <c r="P37" i="21"/>
  <c r="Q37" i="21"/>
  <c r="O37" i="21"/>
  <c r="T37" i="21"/>
  <c r="N37" i="21"/>
  <c r="W36" i="21"/>
  <c r="W37" i="2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7C3958E-F93A-480E-ADB3-8CF14E4FD0D4}" keepAlive="1" name="Query - FileAddress" description="Connection to the 'FileAddress' query in the workbook." type="5" refreshedVersion="0" background="1">
    <dbPr connection="Provider=Microsoft.Mashup.OleDb.1;Data Source=$Workbook$;Location=FileAddress;Extended Properties=&quot;&quot;" command="SELECT * FROM [FileAddress]"/>
  </connection>
  <connection id="2" xr16:uid="{02F7FA7B-98F8-48A7-B057-A06B28D14535}"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3" xr16:uid="{DA06B867-9333-4200-B2CE-626CB6B9DBCA}" keepAlive="1" name="Query - Parameter2" description="Connection to the 'Parameter2' query in the workbook." type="5" refreshedVersion="0" background="1">
    <dbPr connection="Provider=Microsoft.Mashup.OleDb.1;Data Source=$Workbook$;Location=Parameter2;Extended Properties=&quot;&quot;" command="SELECT * FROM [Parameter2]"/>
  </connection>
  <connection id="4" xr16:uid="{52C6F779-BC0C-44B7-AFB1-7A4502811B0C}" keepAlive="1" name="Query - PersianMonth" description="Connection to the 'PersianMonth' query in the workbook." type="5" refreshedVersion="0" background="1">
    <dbPr connection="Provider=Microsoft.Mashup.OleDb.1;Data Source=$Workbook$;Location=PersianMonth;Extended Properties=&quot;&quot;" command="SELECT * FROM [PersianMonth]"/>
  </connection>
  <connection id="5" xr16:uid="{F4D7B7CD-3EEE-4950-8F55-2E0983975418}" keepAlive="1" name="Query - sales dashboard" description="Connection to the 'sales dashboard' query in the workbook." type="5" refreshedVersion="8" background="1" saveData="1">
    <dbPr connection="Provider=Microsoft.Mashup.OleDb.1;Data Source=$Workbook$;Location=&quot;sales dashboard&quot;;Extended Properties=&quot;&quot;" command="SELECT * FROM [sales dashboard]"/>
  </connection>
  <connection id="6" xr16:uid="{6AAD22B0-1694-42EF-85D0-130A441BD9B5}"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7" xr16:uid="{998ABF59-6D9F-44E0-999E-D36003DDAA5C}" keepAlive="1" name="Query - Sample File (2)" description="Connection to the 'Sample File (2)' query in the workbook." type="5" refreshedVersion="0" background="1">
    <dbPr connection="Provider=Microsoft.Mashup.OleDb.1;Data Source=$Workbook$;Location=&quot;Sample File (2)&quot;;Extended Properties=&quot;&quot;" command="SELECT * FROM [Sample File (2)]"/>
  </connection>
  <connection id="8" xr16:uid="{9298AD47-E959-4A7D-A338-BFE32CC3BA1F}"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9" xr16:uid="{09D012E1-F497-4E5F-BA44-124F673695A6}" keepAlive="1" name="Query - Transform File (2)" description="Connection to the 'Transform File (2)' query in the workbook." type="5" refreshedVersion="0" background="1">
    <dbPr connection="Provider=Microsoft.Mashup.OleDb.1;Data Source=$Workbook$;Location=&quot;Transform File (2)&quot;;Extended Properties=&quot;&quot;" command="SELECT * FROM [Transform File (2)]"/>
  </connection>
  <connection id="10" xr16:uid="{5C970840-041B-419A-8739-C762630A0B1D}"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11" xr16:uid="{B10B5BCC-4E9A-4B5A-9F8D-B53FD71A353B}" keepAlive="1" name="Query - Transform Sample File (2)" description="Connection to the 'Transform Sample File (2)' query in the workbook." type="5" refreshedVersion="0" background="1">
    <dbPr connection="Provider=Microsoft.Mashup.OleDb.1;Data Source=$Workbook$;Location=&quot;Transform Sample File (2)&quot;;Extended Properties=&quot;&quot;" command="SELECT * FROM [Transform Sample File (2)]"/>
  </connection>
  <connection id="12" xr16:uid="{0491CA0D-8AA1-4DD6-AC67-32474EA6C8D3}"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13" xr16:uid="{602952A2-9DDE-4072-8B51-CDEFE99D8925}" name="WorksheetConnection_Sale_Dashboard.xlsx!invoice2" type="102" refreshedVersion="8" minRefreshableVersion="5">
    <extLst>
      <ext xmlns:x15="http://schemas.microsoft.com/office/spreadsheetml/2010/11/main" uri="{DE250136-89BD-433C-8126-D09CA5730AF9}">
        <x15:connection id="invoice2">
          <x15:rangePr sourceName="_xlcn.WorksheetConnection_Sale_Dashboard.xlsxinvoice21"/>
        </x15:connection>
      </ext>
    </extLst>
  </connection>
  <connection id="14" xr16:uid="{BB0703F3-2A1C-466A-A09B-7BA928AE9BC5}" name="WorksheetConnection_گزارش تجمیعی فروش.xlsx!bargiri" type="102" refreshedVersion="8" minRefreshableVersion="5">
    <extLst>
      <ext xmlns:x15="http://schemas.microsoft.com/office/spreadsheetml/2010/11/main" uri="{DE250136-89BD-433C-8126-D09CA5730AF9}">
        <x15:connection id="bargiri">
          <x15:rangePr sourceName="_xlcn.WorksheetConnection_گزارشتجمیعیفروش.xlsxbargiri1"/>
        </x15:connection>
      </ext>
    </extLst>
  </connection>
  <connection id="15" xr16:uid="{13591F17-0DC9-40E2-8EEF-69E9874105CD}" name="WorksheetConnection_گزارش تجمیعی فروش.xlsx!invoice" type="102" refreshedVersion="8" minRefreshableVersion="5">
    <extLst>
      <ext xmlns:x15="http://schemas.microsoft.com/office/spreadsheetml/2010/11/main" uri="{DE250136-89BD-433C-8126-D09CA5730AF9}">
        <x15:connection id="invoice">
          <x15:rangePr sourceName="_xlcn.WorksheetConnection_گزارشتجمیعیفروش.xlsxinvoice1"/>
        </x15:connection>
      </ext>
    </extLst>
  </connection>
  <connection id="16" xr16:uid="{8EF8F3E6-E110-410B-8E34-F297C7579028}" name="WorksheetConnection_گزارش تجمیعی فروش.xlsx!Table1" type="102" refreshedVersion="8" minRefreshableVersion="5">
    <extLst>
      <ext xmlns:x15="http://schemas.microsoft.com/office/spreadsheetml/2010/11/main" uri="{DE250136-89BD-433C-8126-D09CA5730AF9}">
        <x15:connection id="Table1">
          <x15:rangePr sourceName="_xlcn.WorksheetConnection_گزارشتجمیعیفروش.xlsxTable11"/>
        </x15:connection>
      </ext>
    </extLst>
  </connection>
</connections>
</file>

<file path=xl/metadata.xml><?xml version="1.0" encoding="utf-8"?>
<metadata xmlns="http://schemas.openxmlformats.org/spreadsheetml/2006/main"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8">
    <s v="ThisWorkbookDataModel"/>
    <s v="{[invoice2].[نوع].&amp;[بورس]}"/>
    <s v="{[invoice].[نوع سفارش].&amp;[بورس],[invoice].[نوع سفارش].&amp;[عادی],[invoice].[نوع سفارش].&amp;[انجمن],[invoice].[نوع سفارش].&amp;[تعادلی]}"/>
    <s v="{[bargiri].[سال].&amp;[1403]}"/>
    <s v="{[invoice2].[نام مشتری].&amp;[ارومیه گاز]}"/>
    <s v="{[invoice].[Calculated Column 1].&amp;[بله]}"/>
    <s v="{[invoice].[کمکی].[All]}"/>
    <s v="{[invoice].[نام مشتری].&amp;[خوش نوش همدان]}"/>
  </metadataStrings>
  <mdxMetadata count="7">
    <mdx n="0" f="s">
      <ms ns="1" c="0"/>
    </mdx>
    <mdx n="0" f="s">
      <ms ns="2" c="0"/>
    </mdx>
    <mdx n="0" f="s">
      <ms ns="3" c="0"/>
    </mdx>
    <mdx n="0" f="s">
      <ms ns="4" c="0"/>
    </mdx>
    <mdx n="0" f="s">
      <ms ns="5" c="0"/>
    </mdx>
    <mdx n="0" f="s">
      <ms ns="6" c="0"/>
    </mdx>
    <mdx n="0" f="s">
      <ms ns="7" c="0"/>
    </mdx>
  </mdxMetadata>
  <futureMetadata name="XLDAPR" count="1">
    <bk>
      <extLst>
        <ext uri="{bdbb8cdc-fa1e-496e-a857-3c3f30c029c3}">
          <xda:dynamicArrayProperties fDynamic="1" fCollapsed="0"/>
        </ext>
      </extLst>
    </bk>
  </futureMetadata>
  <cellMetadata count="1">
    <bk>
      <rc t="2" v="0"/>
    </bk>
  </cell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<sst xmlns="http://schemas.openxmlformats.org/spreadsheetml/2006/main" count="15344" uniqueCount="1220">
  <si>
    <t>نام مشتری</t>
  </si>
  <si>
    <t>میزان سفارش</t>
  </si>
  <si>
    <t>فی</t>
  </si>
  <si>
    <t>پ/72-1403</t>
  </si>
  <si>
    <t>پ/66-1403</t>
  </si>
  <si>
    <t>پ/60-1403</t>
  </si>
  <si>
    <t>پ/70-1403</t>
  </si>
  <si>
    <t>پ/45-1403</t>
  </si>
  <si>
    <t>پ/17-1403</t>
  </si>
  <si>
    <t>پ/14-1403</t>
  </si>
  <si>
    <t>پ/9-1403</t>
  </si>
  <si>
    <t>پ/46-1402</t>
  </si>
  <si>
    <t>پ/49-1403</t>
  </si>
  <si>
    <t>پ/45-1402</t>
  </si>
  <si>
    <t>پ/5-1402</t>
  </si>
  <si>
    <t>پ/55-1403</t>
  </si>
  <si>
    <t>پ/63-1403</t>
  </si>
  <si>
    <t>پ/46-1403</t>
  </si>
  <si>
    <t>پ/38-1403</t>
  </si>
  <si>
    <t>پ/23-1403</t>
  </si>
  <si>
    <t>پ/33-1402</t>
  </si>
  <si>
    <t>پ/29-1402</t>
  </si>
  <si>
    <t>پ/67-1403</t>
  </si>
  <si>
    <t>پ/58-1403</t>
  </si>
  <si>
    <t>پ/19-1403</t>
  </si>
  <si>
    <t>پ/11-1403</t>
  </si>
  <si>
    <t>پ/5-1403</t>
  </si>
  <si>
    <t>پ/6-1402</t>
  </si>
  <si>
    <t>پ/52-1403</t>
  </si>
  <si>
    <t>پ/31-1403</t>
  </si>
  <si>
    <t>پ/8-1403</t>
  </si>
  <si>
    <t>پ/6-1403</t>
  </si>
  <si>
    <t>پ/4-1403</t>
  </si>
  <si>
    <t>پ/13-1402</t>
  </si>
  <si>
    <t>پ/68-1403</t>
  </si>
  <si>
    <t>پ/65-1403</t>
  </si>
  <si>
    <t>پ/56-1403</t>
  </si>
  <si>
    <t>پ/51-1403</t>
  </si>
  <si>
    <t>پ/44-1403</t>
  </si>
  <si>
    <t>پ/47-1403</t>
  </si>
  <si>
    <t>پ/43-1403</t>
  </si>
  <si>
    <t>پ/13-1403</t>
  </si>
  <si>
    <t>پ/12-1402</t>
  </si>
  <si>
    <t>پ/59-1403</t>
  </si>
  <si>
    <t>پ/32-1403</t>
  </si>
  <si>
    <t>پ/48-1403</t>
  </si>
  <si>
    <t>پ/2-1403</t>
  </si>
  <si>
    <t>پ/40-1402</t>
  </si>
  <si>
    <t>پ/38-1402</t>
  </si>
  <si>
    <t>پ/37-1402</t>
  </si>
  <si>
    <t>پ/20-1403</t>
  </si>
  <si>
    <t>پ/18-1403</t>
  </si>
  <si>
    <t>پ/40-1403</t>
  </si>
  <si>
    <t>پ/7-1403</t>
  </si>
  <si>
    <t>پ/3-1403</t>
  </si>
  <si>
    <t>پ/1-1403</t>
  </si>
  <si>
    <t>پ/69-1403</t>
  </si>
  <si>
    <t>پ/10-1403</t>
  </si>
  <si>
    <t>پ/42-1402</t>
  </si>
  <si>
    <t>پ/41-1402</t>
  </si>
  <si>
    <t>پ/29-1403</t>
  </si>
  <si>
    <t>پ/21-1403</t>
  </si>
  <si>
    <t>پ/35-1403</t>
  </si>
  <si>
    <t>پ/36-1403</t>
  </si>
  <si>
    <t>الحاقیه پ/15-1403</t>
  </si>
  <si>
    <t>پ/15-1403</t>
  </si>
  <si>
    <t>پ/36-1402</t>
  </si>
  <si>
    <t>پ/73-1403</t>
  </si>
  <si>
    <t>پ/61-1403</t>
  </si>
  <si>
    <t>پ/53-1403</t>
  </si>
  <si>
    <t>پ/71-1403</t>
  </si>
  <si>
    <t>پ/22-1403</t>
  </si>
  <si>
    <t>پ/33-1403</t>
  </si>
  <si>
    <t>پ/41-1403</t>
  </si>
  <si>
    <t>پ/37-1403</t>
  </si>
  <si>
    <t>پ/27-1403</t>
  </si>
  <si>
    <t>121839</t>
  </si>
  <si>
    <t>پ/43-1402</t>
  </si>
  <si>
    <t>پ/64-1403</t>
  </si>
  <si>
    <t>پ/42-1403</t>
  </si>
  <si>
    <t>پ/30-1403</t>
  </si>
  <si>
    <t>الحاقیه پ/3-1403</t>
  </si>
  <si>
    <t>پ/44-1402</t>
  </si>
  <si>
    <t>پ/3-1402</t>
  </si>
  <si>
    <t>پ/27-1402</t>
  </si>
  <si>
    <t>پ/24-1402</t>
  </si>
  <si>
    <t>پ/28-1403</t>
  </si>
  <si>
    <t>121302</t>
  </si>
  <si>
    <t>پ/24-1403</t>
  </si>
  <si>
    <t>پ/62-1403</t>
  </si>
  <si>
    <t>پ/54-1403</t>
  </si>
  <si>
    <t>پ/34-1403</t>
  </si>
  <si>
    <t>پ/50-1403</t>
  </si>
  <si>
    <t>پ/39-1403</t>
  </si>
  <si>
    <t>پ/12-1403</t>
  </si>
  <si>
    <t>پ/17-1402</t>
  </si>
  <si>
    <t>پ/57-1403</t>
  </si>
  <si>
    <t>پ/16-1403</t>
  </si>
  <si>
    <t>اکسیژن ارومیه گاز</t>
  </si>
  <si>
    <t>پارس اکسیر البرز شمالی</t>
  </si>
  <si>
    <t>پارس کربنیک کردستان</t>
  </si>
  <si>
    <t>پاینده ساز فردوس</t>
  </si>
  <si>
    <t>تعاونی ماهان گاز</t>
  </si>
  <si>
    <t>تولید گازهای طبی و صنعتی مددکاران اصفهان</t>
  </si>
  <si>
    <t>تولیدی گازهای طبی و صنعتی طوس سبزوار</t>
  </si>
  <si>
    <t>جوش شیرین خراسان</t>
  </si>
  <si>
    <t>خوش نوش همدان</t>
  </si>
  <si>
    <t>رایا شیمی پارسیان</t>
  </si>
  <si>
    <t>رهام گاز</t>
  </si>
  <si>
    <t>سپهر سرمد</t>
  </si>
  <si>
    <t>سهیل گاز کاسپین</t>
  </si>
  <si>
    <t>شرکت امین گاز ایرانیان</t>
  </si>
  <si>
    <t>شرکت دیبا گاز پارسه</t>
  </si>
  <si>
    <t>شرکت گروه صنعتی پاژ گاز خراسان</t>
  </si>
  <si>
    <t>طاها اندیشان همپای البرز</t>
  </si>
  <si>
    <t>طاهر افروز همپای البرز</t>
  </si>
  <si>
    <t>طوس قزوین</t>
  </si>
  <si>
    <t>عبیر شیمی</t>
  </si>
  <si>
    <t>عراق اربیل</t>
  </si>
  <si>
    <t>فرافن گاز تهران</t>
  </si>
  <si>
    <t>کوشا تجارت زاگرس</t>
  </si>
  <si>
    <t>گاز اکسیژن طوس</t>
  </si>
  <si>
    <t>گاز کربنیک غرب</t>
  </si>
  <si>
    <t>گروه صنایع شیمیایی به آفرین گاز تیسفون</t>
  </si>
  <si>
    <t>ماشین سازی پیشتازان گاز کربنیک اردستان</t>
  </si>
  <si>
    <t>محمود احمدی زلتی</t>
  </si>
  <si>
    <t>میثاق گاز فراز کرج</t>
  </si>
  <si>
    <t>شماره پیش فاکتور</t>
  </si>
  <si>
    <t>تاریخ</t>
  </si>
  <si>
    <t>پ/01-1404</t>
  </si>
  <si>
    <t>تاریخ مجوز بهره برداری</t>
  </si>
  <si>
    <t>1403/12/26</t>
  </si>
  <si>
    <t>1403/12/08</t>
  </si>
  <si>
    <t>1403/12/06</t>
  </si>
  <si>
    <t>1403/12/15</t>
  </si>
  <si>
    <t>1403/10/19</t>
  </si>
  <si>
    <t>1403/05/22</t>
  </si>
  <si>
    <t>1403/04/19</t>
  </si>
  <si>
    <t>1403/02/30</t>
  </si>
  <si>
    <t>1403/01/01</t>
  </si>
  <si>
    <t>1403/11/21</t>
  </si>
  <si>
    <t>1403/09/29</t>
  </si>
  <si>
    <t>1403/09/26</t>
  </si>
  <si>
    <t>1403/07/14</t>
  </si>
  <si>
    <t>1403/12/12</t>
  </si>
  <si>
    <t>1403/06/07</t>
  </si>
  <si>
    <t>1403/03/12</t>
  </si>
  <si>
    <t>1403/01/28</t>
  </si>
  <si>
    <t>1403/09/27</t>
  </si>
  <si>
    <t>1403/02/25</t>
  </si>
  <si>
    <t>1403/02/01</t>
  </si>
  <si>
    <t>1403/01/26</t>
  </si>
  <si>
    <t>1403/12/18</t>
  </si>
  <si>
    <t>1403/11/17</t>
  </si>
  <si>
    <t>1403/10/29</t>
  </si>
  <si>
    <t>1403/10/05</t>
  </si>
  <si>
    <t>1403/04/18</t>
  </si>
  <si>
    <t>1403/11/03</t>
  </si>
  <si>
    <t>1403/01/25</t>
  </si>
  <si>
    <t>1403/06/01</t>
  </si>
  <si>
    <t>1403/10/11</t>
  </si>
  <si>
    <t>1403/02/17</t>
  </si>
  <si>
    <t>1403/01/06</t>
  </si>
  <si>
    <t>1403/03/07</t>
  </si>
  <si>
    <t>1403/08/23</t>
  </si>
  <si>
    <t>1403/06/20</t>
  </si>
  <si>
    <t>1403/11/13</t>
  </si>
  <si>
    <t>1403/10/26</t>
  </si>
  <si>
    <t>1403/04/21</t>
  </si>
  <si>
    <t>1403/12/27</t>
  </si>
  <si>
    <t>1403/12/19</t>
  </si>
  <si>
    <t>1403/12/01</t>
  </si>
  <si>
    <t>1403/11/08</t>
  </si>
  <si>
    <t>1403/11/02</t>
  </si>
  <si>
    <t>1403/09/07</t>
  </si>
  <si>
    <t>1403/08/09</t>
  </si>
  <si>
    <t>1403/07/25</t>
  </si>
  <si>
    <t>1403/10/16</t>
  </si>
  <si>
    <t>1403/08/28</t>
  </si>
  <si>
    <t>1403/03/30</t>
  </si>
  <si>
    <t>1403/07/11</t>
  </si>
  <si>
    <t>1403/07/23</t>
  </si>
  <si>
    <t>1403/10/03</t>
  </si>
  <si>
    <t>1403/03/19</t>
  </si>
  <si>
    <t>1404/01/16</t>
  </si>
  <si>
    <t>1404/02/01</t>
  </si>
  <si>
    <t>1403/10/02</t>
  </si>
  <si>
    <t>1403/08/20</t>
  </si>
  <si>
    <t>1403/04/02</t>
  </si>
  <si>
    <t>1403/04/10</t>
  </si>
  <si>
    <t>1403/02/02</t>
  </si>
  <si>
    <t>1403/11/10</t>
  </si>
  <si>
    <t>1403/10/20</t>
  </si>
  <si>
    <t>1403/04/28</t>
  </si>
  <si>
    <t>1403/04/09</t>
  </si>
  <si>
    <t>1403/12/04</t>
  </si>
  <si>
    <t>1403/08/26</t>
  </si>
  <si>
    <t>1403/01/09</t>
  </si>
  <si>
    <t>1403/11/16</t>
  </si>
  <si>
    <t>1403/04/04</t>
  </si>
  <si>
    <t>1403/03/31</t>
  </si>
  <si>
    <t>1403/12/22</t>
  </si>
  <si>
    <t>1403/04/03</t>
  </si>
  <si>
    <t>1403/11/15</t>
  </si>
  <si>
    <t>1403/01/07</t>
  </si>
  <si>
    <t>1403/06/15</t>
  </si>
  <si>
    <t>1403/06/04</t>
  </si>
  <si>
    <t>1403/11/29</t>
  </si>
  <si>
    <t>1403/03/29</t>
  </si>
  <si>
    <t>1403/01/08</t>
  </si>
  <si>
    <t>1403/04/16</t>
  </si>
  <si>
    <t>1403/05/30</t>
  </si>
  <si>
    <t>1403/12/24</t>
  </si>
  <si>
    <t>1403/09/05</t>
  </si>
  <si>
    <t>1403/10/28</t>
  </si>
  <si>
    <t>1403/04/30</t>
  </si>
  <si>
    <t>1403/01/16</t>
  </si>
  <si>
    <t>1403/11/28</t>
  </si>
  <si>
    <t>1403/11/23</t>
  </si>
  <si>
    <t>1403/10/09</t>
  </si>
  <si>
    <t>1403/10/04</t>
  </si>
  <si>
    <t>1403/07/29</t>
  </si>
  <si>
    <t>1403/02/10</t>
  </si>
  <si>
    <t>1403/10/30</t>
  </si>
  <si>
    <t>1403/10/07</t>
  </si>
  <si>
    <t>1403/07/19</t>
  </si>
  <si>
    <t>1403/04/12</t>
  </si>
  <si>
    <t>1403/08/24</t>
  </si>
  <si>
    <t>1403/07/28</t>
  </si>
  <si>
    <t>1403/09/18</t>
  </si>
  <si>
    <t>1403/10/08</t>
  </si>
  <si>
    <t>1403/05/16</t>
  </si>
  <si>
    <t>1404/01/17</t>
  </si>
  <si>
    <t>1404/01/05</t>
  </si>
  <si>
    <t>تاریخ بارگیری</t>
  </si>
  <si>
    <t>میزان بارگیری شده</t>
  </si>
  <si>
    <t>ماه</t>
  </si>
  <si>
    <t>سال</t>
  </si>
  <si>
    <t>مانده</t>
  </si>
  <si>
    <t xml:space="preserve">نوع </t>
  </si>
  <si>
    <t>تعادلی</t>
  </si>
  <si>
    <t>انجمن</t>
  </si>
  <si>
    <t>بورس</t>
  </si>
  <si>
    <t>عادی</t>
  </si>
  <si>
    <t>شش ماهه اول</t>
  </si>
  <si>
    <t>شش ماهه دوم</t>
  </si>
  <si>
    <t>توزیع هفتگی</t>
  </si>
  <si>
    <t>توزیع هفتگی2</t>
  </si>
  <si>
    <t>حمل شده</t>
  </si>
  <si>
    <t>توضیحات</t>
  </si>
  <si>
    <t>ارومیه گاز</t>
  </si>
  <si>
    <t>پارس اکسیر</t>
  </si>
  <si>
    <t>مددکاران</t>
  </si>
  <si>
    <t>طوس سبزوار</t>
  </si>
  <si>
    <t>پاژ گاز</t>
  </si>
  <si>
    <t>طاها اندیشان</t>
  </si>
  <si>
    <t>به آفرین گاز</t>
  </si>
  <si>
    <t>زمان بندی تحویل بار مشتریان انجمن گاز کربنیک</t>
  </si>
  <si>
    <t>ردیف</t>
  </si>
  <si>
    <t>میزان سفارش (کیلوگرم)</t>
  </si>
  <si>
    <t>تحویل شش ماهه اول</t>
  </si>
  <si>
    <t>تحویل شش ماهه دوم</t>
  </si>
  <si>
    <t>سپهر سرمد سپاهان</t>
  </si>
  <si>
    <t>هفتگی</t>
  </si>
  <si>
    <t xml:space="preserve">شش ماهه دوم </t>
  </si>
  <si>
    <t>نهایی</t>
  </si>
  <si>
    <t>جمع</t>
  </si>
  <si>
    <t>تاریخ پیش فاکتور</t>
  </si>
  <si>
    <t xml:space="preserve">مقدار </t>
  </si>
  <si>
    <t xml:space="preserve">پایان اردیبهشت </t>
  </si>
  <si>
    <t>پایان مرداد</t>
  </si>
  <si>
    <t>پایان شهریور</t>
  </si>
  <si>
    <t>-</t>
  </si>
  <si>
    <t>رعایت شرایط انجمن</t>
  </si>
  <si>
    <t>نوع پیش فاکتور</t>
  </si>
  <si>
    <t>تناژ تحویلی شش ماهه اول</t>
  </si>
  <si>
    <t>تناژ تحویلی شش ماهه دوم</t>
  </si>
  <si>
    <t>توزیع هفتگی.</t>
  </si>
  <si>
    <t>در صورت عدم تسویه ، بارگیری انجام نخواهد شد.</t>
  </si>
  <si>
    <t>توضیحات:</t>
  </si>
  <si>
    <t>نوبت های بارگیری با هماهنگی قبلی انجام شده و امکان جا به جایی نوبت وجود ندارد.</t>
  </si>
  <si>
    <t>لیست مشتریان</t>
  </si>
  <si>
    <t>میانگین فی</t>
  </si>
  <si>
    <t>محاسبات کلی</t>
  </si>
  <si>
    <t>نمودار نوع فروش</t>
  </si>
  <si>
    <t>میزان حمل شده</t>
  </si>
  <si>
    <t>درصد مانده</t>
  </si>
  <si>
    <t>% حمل شده</t>
  </si>
  <si>
    <t>نوع سفارش</t>
  </si>
  <si>
    <t>تعداد پیش فاکتور</t>
  </si>
  <si>
    <t>تعداد بارگیری</t>
  </si>
  <si>
    <t>محاسبات مشتریان جزئی</t>
  </si>
  <si>
    <t>درصد بارگیری</t>
  </si>
  <si>
    <t>محاسبات مشتریان کلی</t>
  </si>
  <si>
    <t>%از کل سفارش ها</t>
  </si>
  <si>
    <t>فروردین</t>
  </si>
  <si>
    <t>اسفند</t>
  </si>
  <si>
    <t>بهمن</t>
  </si>
  <si>
    <t>دی</t>
  </si>
  <si>
    <t>آذر</t>
  </si>
  <si>
    <t>آبان</t>
  </si>
  <si>
    <t>مهر</t>
  </si>
  <si>
    <t>شهریور</t>
  </si>
  <si>
    <t>مرداد</t>
  </si>
  <si>
    <t>تیر</t>
  </si>
  <si>
    <t>اردیبهشت</t>
  </si>
  <si>
    <t>% محقق شده</t>
  </si>
  <si>
    <t>تعداد مشتری</t>
  </si>
  <si>
    <t>میانگین بارگیری</t>
  </si>
  <si>
    <t>میانگین سفارش</t>
  </si>
  <si>
    <t xml:space="preserve">ماه ارسال </t>
  </si>
  <si>
    <t>خرداد</t>
  </si>
  <si>
    <t>میزان بارگیری شده(هزار تن)</t>
  </si>
  <si>
    <t>میزان سفارش(هزار تن)</t>
  </si>
  <si>
    <t>انحراف بارگیری</t>
  </si>
  <si>
    <t>انحراف سفارش</t>
  </si>
  <si>
    <t>Average of فی</t>
  </si>
  <si>
    <t>Sum of میزان سفارش</t>
  </si>
  <si>
    <t xml:space="preserve"> میانگین فی</t>
  </si>
  <si>
    <t xml:space="preserve"> میزان سفارش</t>
  </si>
  <si>
    <t>قیمت تعادلی بورس</t>
  </si>
  <si>
    <t>نوع</t>
  </si>
  <si>
    <t>Sum of میزان بارگیری شده</t>
  </si>
  <si>
    <t>تناژ بورس(کیلوگرم)</t>
  </si>
  <si>
    <t xml:space="preserve"> پیش فاکتور فی</t>
  </si>
  <si>
    <t>قیمت میانگین</t>
  </si>
  <si>
    <t>(Multiple Items)</t>
  </si>
  <si>
    <t>1404/01/31</t>
  </si>
  <si>
    <t>1404/01/30</t>
  </si>
  <si>
    <t>1404/01/29</t>
  </si>
  <si>
    <t>1404/01/28</t>
  </si>
  <si>
    <t>1404/01/27</t>
  </si>
  <si>
    <t>1404/01/26</t>
  </si>
  <si>
    <t>1404/01/25</t>
  </si>
  <si>
    <t>1404/01/24</t>
  </si>
  <si>
    <t>1404/01/23</t>
  </si>
  <si>
    <t>1404/01/22</t>
  </si>
  <si>
    <t>1404/01/21</t>
  </si>
  <si>
    <t>1404/01/20</t>
  </si>
  <si>
    <t>1404/01/19</t>
  </si>
  <si>
    <t>1404/01/18</t>
  </si>
  <si>
    <t>1403/12/29</t>
  </si>
  <si>
    <t>1403/12/28</t>
  </si>
  <si>
    <t>1403/12/25</t>
  </si>
  <si>
    <t>1403/12/23</t>
  </si>
  <si>
    <t>1403/12/21</t>
  </si>
  <si>
    <t>1403/12/20</t>
  </si>
  <si>
    <t>1403/12/14</t>
  </si>
  <si>
    <t>1403/12/13</t>
  </si>
  <si>
    <t>1403/12/11</t>
  </si>
  <si>
    <t>1403/12/10</t>
  </si>
  <si>
    <t>1403/12/09</t>
  </si>
  <si>
    <t>1403/12/07</t>
  </si>
  <si>
    <t>1403/12/05</t>
  </si>
  <si>
    <t>1403/12/02</t>
  </si>
  <si>
    <t>1403/11/25</t>
  </si>
  <si>
    <t>1403/11/30</t>
  </si>
  <si>
    <t>1403/11/27</t>
  </si>
  <si>
    <t>1403/11/24</t>
  </si>
  <si>
    <t>1403/11/22</t>
  </si>
  <si>
    <t>1403/11/18</t>
  </si>
  <si>
    <t>1403/11/14</t>
  </si>
  <si>
    <t>1403/11/11</t>
  </si>
  <si>
    <t>1403/11/12</t>
  </si>
  <si>
    <t>1403/11/09</t>
  </si>
  <si>
    <t>1403/11/07</t>
  </si>
  <si>
    <t>1403/11/06</t>
  </si>
  <si>
    <t>1403/11/05</t>
  </si>
  <si>
    <t>1403/11/04</t>
  </si>
  <si>
    <t>1403/11/01</t>
  </si>
  <si>
    <t>1403/10/27</t>
  </si>
  <si>
    <t>1403/10/24</t>
  </si>
  <si>
    <t>1403/10/25</t>
  </si>
  <si>
    <t>1403/10/23</t>
  </si>
  <si>
    <t>1403/10/22</t>
  </si>
  <si>
    <t>1403/10/21</t>
  </si>
  <si>
    <t>1403/10/18</t>
  </si>
  <si>
    <t>1403/10/17</t>
  </si>
  <si>
    <t>1403/10/15</t>
  </si>
  <si>
    <t>1403/10/14</t>
  </si>
  <si>
    <t>1403/10/13</t>
  </si>
  <si>
    <t>1403/10/12</t>
  </si>
  <si>
    <t>1403/10/10</t>
  </si>
  <si>
    <t>1403/10/06</t>
  </si>
  <si>
    <t>1403/04/31</t>
  </si>
  <si>
    <t>1403/10/01</t>
  </si>
  <si>
    <t>1403/09/30</t>
  </si>
  <si>
    <t>1403/09/22</t>
  </si>
  <si>
    <t>1403/09/19</t>
  </si>
  <si>
    <t>1403/09/14</t>
  </si>
  <si>
    <t>1403/09/13</t>
  </si>
  <si>
    <t>1403/09/11</t>
  </si>
  <si>
    <t>1403/09/08</t>
  </si>
  <si>
    <t>1403/09/04</t>
  </si>
  <si>
    <t>1403/08/16</t>
  </si>
  <si>
    <t>1403/08/14</t>
  </si>
  <si>
    <t>1403/08/07</t>
  </si>
  <si>
    <t>1403/08/02</t>
  </si>
  <si>
    <t>1403/09/28</t>
  </si>
  <si>
    <t>1403/09/24</t>
  </si>
  <si>
    <t>1403/09/25</t>
  </si>
  <si>
    <t>1403/09/23</t>
  </si>
  <si>
    <t>1403/09/21</t>
  </si>
  <si>
    <t>1403/09/20</t>
  </si>
  <si>
    <t>1403/09/17</t>
  </si>
  <si>
    <t>1403/09/12</t>
  </si>
  <si>
    <t>1403/09/10</t>
  </si>
  <si>
    <t>1403/09/09</t>
  </si>
  <si>
    <t>1403/09/06</t>
  </si>
  <si>
    <t>1403/09/03</t>
  </si>
  <si>
    <t>1403/09/02</t>
  </si>
  <si>
    <t>1403/09/01</t>
  </si>
  <si>
    <t>1403/08/30</t>
  </si>
  <si>
    <t>1403/08/29</t>
  </si>
  <si>
    <t>1403/08/27</t>
  </si>
  <si>
    <t>1403/08/25</t>
  </si>
  <si>
    <t>1403/08/22</t>
  </si>
  <si>
    <t>1403/08/21</t>
  </si>
  <si>
    <t>1403/08/19</t>
  </si>
  <si>
    <t>1403/08/17</t>
  </si>
  <si>
    <t>1403/08/15</t>
  </si>
  <si>
    <t>1403/08/13</t>
  </si>
  <si>
    <t>1403/08/12</t>
  </si>
  <si>
    <t>1403/08/10</t>
  </si>
  <si>
    <t>1403/08/06</t>
  </si>
  <si>
    <t>1403/08/05</t>
  </si>
  <si>
    <t>1403/08/03</t>
  </si>
  <si>
    <t>1403/08/01</t>
  </si>
  <si>
    <t>1403/07/24</t>
  </si>
  <si>
    <t>1403/07/17</t>
  </si>
  <si>
    <t>1403/07/16</t>
  </si>
  <si>
    <t>1403/08/08</t>
  </si>
  <si>
    <t>1403/07/30</t>
  </si>
  <si>
    <t>1403/07/26</t>
  </si>
  <si>
    <t>1403/07/22</t>
  </si>
  <si>
    <t>1403/07/21</t>
  </si>
  <si>
    <t>1403/07/12</t>
  </si>
  <si>
    <t>1403/07/05</t>
  </si>
  <si>
    <t>1403/07/03</t>
  </si>
  <si>
    <t>1403/07/02</t>
  </si>
  <si>
    <t>1403/06/21</t>
  </si>
  <si>
    <t>1403/06/19</t>
  </si>
  <si>
    <t>1403/07/10</t>
  </si>
  <si>
    <t>1403/07/09</t>
  </si>
  <si>
    <t>1403/07/07</t>
  </si>
  <si>
    <t>1403/06/31</t>
  </si>
  <si>
    <t>1403/06/29</t>
  </si>
  <si>
    <t>1403/06/27</t>
  </si>
  <si>
    <t>1403/06/26</t>
  </si>
  <si>
    <t>1403/06/24</t>
  </si>
  <si>
    <t>1403/06/22</t>
  </si>
  <si>
    <t>1403/05/25</t>
  </si>
  <si>
    <t>1403/06/17</t>
  </si>
  <si>
    <t>1403/06/13</t>
  </si>
  <si>
    <t>1403/06/10</t>
  </si>
  <si>
    <t>1403/06/05</t>
  </si>
  <si>
    <t>1403/06/08</t>
  </si>
  <si>
    <t>1403/06/06</t>
  </si>
  <si>
    <t>1403/06/03</t>
  </si>
  <si>
    <t>1403/05/27</t>
  </si>
  <si>
    <t>1403/05/15</t>
  </si>
  <si>
    <t>1403/05/29</t>
  </si>
  <si>
    <t>1403/04/23</t>
  </si>
  <si>
    <t>1403/04/11</t>
  </si>
  <si>
    <t>1403/04/07</t>
  </si>
  <si>
    <t>1403/05/23</t>
  </si>
  <si>
    <t>1403/05/20</t>
  </si>
  <si>
    <t>1403/05/18</t>
  </si>
  <si>
    <t>1403/05/04</t>
  </si>
  <si>
    <t>1403/05/02</t>
  </si>
  <si>
    <t>1403/05/01</t>
  </si>
  <si>
    <t>1403/04/24</t>
  </si>
  <si>
    <t>1403/04/17</t>
  </si>
  <si>
    <t>1403/04/14</t>
  </si>
  <si>
    <t>1403/02/09</t>
  </si>
  <si>
    <t>1403/02/07</t>
  </si>
  <si>
    <t>1403/02/06</t>
  </si>
  <si>
    <t>1403/01/18</t>
  </si>
  <si>
    <t>1403/01/17</t>
  </si>
  <si>
    <t>1403/02/11</t>
  </si>
  <si>
    <t>1403/02/08</t>
  </si>
  <si>
    <t>1403/02/05</t>
  </si>
  <si>
    <t>1403/02/04</t>
  </si>
  <si>
    <t>1403/02/03</t>
  </si>
  <si>
    <t>1403/01/31</t>
  </si>
  <si>
    <t>1403/01/29</t>
  </si>
  <si>
    <t>1403/01/27</t>
  </si>
  <si>
    <t>1403/01/23</t>
  </si>
  <si>
    <t>1403/01/21</t>
  </si>
  <si>
    <t>1403/01/20</t>
  </si>
  <si>
    <t>1403/01/19</t>
  </si>
  <si>
    <t>1403/01/15</t>
  </si>
  <si>
    <t>1403/01/14</t>
  </si>
  <si>
    <t>1403/01/13</t>
  </si>
  <si>
    <t>1403/01/12</t>
  </si>
  <si>
    <t>1403/01/11</t>
  </si>
  <si>
    <t>آدرس فایل</t>
  </si>
  <si>
    <t>1404/02/05</t>
  </si>
  <si>
    <t>1404/02/04</t>
  </si>
  <si>
    <t>1404/02/03</t>
  </si>
  <si>
    <t>1404/02/02</t>
  </si>
  <si>
    <t>1403</t>
  </si>
  <si>
    <t>scroll bar</t>
  </si>
  <si>
    <t>نوع شرکت</t>
  </si>
  <si>
    <t>تولید کننده</t>
  </si>
  <si>
    <t>تاریخ انقضا</t>
  </si>
  <si>
    <t>تاریخ بهره برداری</t>
  </si>
  <si>
    <t>میانگین قیمت</t>
  </si>
  <si>
    <t>میانگین وزنی</t>
  </si>
  <si>
    <t>قیمت کل بار</t>
  </si>
  <si>
    <t>میانگین وزنی قیمت(ریال)</t>
  </si>
  <si>
    <t>میانگین بار حمل شده(کیلوگرم)</t>
  </si>
  <si>
    <t>کمکی</t>
  </si>
  <si>
    <t>کمکی2</t>
  </si>
  <si>
    <t>Distinct Count of نام مشتری</t>
  </si>
  <si>
    <t>1404/02/15</t>
  </si>
  <si>
    <t>1404/02/14</t>
  </si>
  <si>
    <t>1404/02/12</t>
  </si>
  <si>
    <t>1404/02/11</t>
  </si>
  <si>
    <t>1404/02/10</t>
  </si>
  <si>
    <t>1404/02/09</t>
  </si>
  <si>
    <t>1404/02/08</t>
  </si>
  <si>
    <t>1404/02/07</t>
  </si>
  <si>
    <t>1404/02/06</t>
  </si>
  <si>
    <t>1404/02/24</t>
  </si>
  <si>
    <t>1404/02/23</t>
  </si>
  <si>
    <t>1404/02/22</t>
  </si>
  <si>
    <t>1404/02/21</t>
  </si>
  <si>
    <t>1404/02/20</t>
  </si>
  <si>
    <t>1404/02/19</t>
  </si>
  <si>
    <t>1404/02/18</t>
  </si>
  <si>
    <t>1404/02/17</t>
  </si>
  <si>
    <t>1404/02/16</t>
  </si>
  <si>
    <t>الحاقیه پ/39-1403</t>
  </si>
  <si>
    <t>1404/02/13</t>
  </si>
  <si>
    <t>قیمت(ریال)</t>
  </si>
  <si>
    <t>پ/02-1404</t>
  </si>
  <si>
    <t>پ/03-1404</t>
  </si>
  <si>
    <t>پ/04-1404</t>
  </si>
  <si>
    <t>پ/05-1404</t>
  </si>
  <si>
    <t>پ/06-1404</t>
  </si>
  <si>
    <t>پ/07-1404</t>
  </si>
  <si>
    <t>پ/08-1404</t>
  </si>
  <si>
    <t>پ/10-1404</t>
  </si>
  <si>
    <t>پ/11-1404</t>
  </si>
  <si>
    <t>1404/02/25</t>
  </si>
  <si>
    <t>1404/02/27</t>
  </si>
  <si>
    <t>1404/02/28</t>
  </si>
  <si>
    <t>1404/02/30</t>
  </si>
  <si>
    <t>1404/02/29</t>
  </si>
  <si>
    <t>1404/03/03</t>
  </si>
  <si>
    <t>1404/03/01</t>
  </si>
  <si>
    <t>1404/02/31</t>
  </si>
  <si>
    <t>الحاقیه پ/59-1403</t>
  </si>
  <si>
    <t>غیرفعال</t>
  </si>
  <si>
    <t>الحاقیه پ/55-1403</t>
  </si>
  <si>
    <t>1404/03/05</t>
  </si>
  <si>
    <t>1404/03/04</t>
  </si>
  <si>
    <t>الحاقیه پ/63-1403</t>
  </si>
  <si>
    <t>الحاقیه پ/58-1403</t>
  </si>
  <si>
    <t>الحاقیه پ/52-1403</t>
  </si>
  <si>
    <t>الحاقیه پ/65-1403</t>
  </si>
  <si>
    <t>الحاقیه پ/51-1403</t>
  </si>
  <si>
    <t>الحاقیه پ/69-1403</t>
  </si>
  <si>
    <t>الحاقیه پ/61-1403</t>
  </si>
  <si>
    <t>الحاقیه پ/53-1403</t>
  </si>
  <si>
    <t>الحاقیه پ/64-1403</t>
  </si>
  <si>
    <t>الحاقیه پ/62-1403</t>
  </si>
  <si>
    <t>الحاقیه پ/54-1403</t>
  </si>
  <si>
    <t>الحاقیه پ/50-1403</t>
  </si>
  <si>
    <t>الحاقیه پ/57-1403</t>
  </si>
  <si>
    <t>الحاقیه پ/60-1403</t>
  </si>
  <si>
    <t>1403/03/01</t>
  </si>
  <si>
    <t>1404/03/12</t>
  </si>
  <si>
    <t>1404/03/11</t>
  </si>
  <si>
    <t>1404/03/10</t>
  </si>
  <si>
    <t>1404/03/08</t>
  </si>
  <si>
    <t>1404/03/09</t>
  </si>
  <si>
    <t>1404/03/07</t>
  </si>
  <si>
    <t>1404/03/06</t>
  </si>
  <si>
    <t>قیمت گذاری جدید (ریال)</t>
  </si>
  <si>
    <t>قیمت فروش رفته بورس(ریال)</t>
  </si>
  <si>
    <t>1404/07/15</t>
  </si>
  <si>
    <t>ارزش افزوده</t>
  </si>
  <si>
    <t>درصد مبلغ پیش دریافت</t>
  </si>
  <si>
    <t>میانگین بار حمل شده بر اساس سال</t>
  </si>
  <si>
    <t>میانگین بار حمل شده بر اساس شرکت</t>
  </si>
  <si>
    <t>1404/03/15</t>
  </si>
  <si>
    <t>1404/03/14</t>
  </si>
  <si>
    <t>1404/03/13</t>
  </si>
  <si>
    <t>1404/03/16</t>
  </si>
  <si>
    <t>1404/03/17</t>
  </si>
  <si>
    <t>1404/03/18</t>
  </si>
  <si>
    <t>قیمت میانگین بورس (ریال)</t>
  </si>
  <si>
    <t>1404/03/19</t>
  </si>
  <si>
    <t>جمع مانده</t>
  </si>
  <si>
    <t>1404/03/27</t>
  </si>
  <si>
    <t>1404/03/26</t>
  </si>
  <si>
    <t>1404/03/25</t>
  </si>
  <si>
    <t>1404/03/24</t>
  </si>
  <si>
    <t>1404/03/23</t>
  </si>
  <si>
    <t>1404/03/22</t>
  </si>
  <si>
    <t>1404/03/21</t>
  </si>
  <si>
    <t>1404/03/20</t>
  </si>
  <si>
    <t>1404/04/01</t>
  </si>
  <si>
    <t>1404/03/31</t>
  </si>
  <si>
    <t>1404/03/29</t>
  </si>
  <si>
    <t>1404/03/28</t>
  </si>
  <si>
    <t>الحاقیه پ/43-1402</t>
  </si>
  <si>
    <t>1404/04/04</t>
  </si>
  <si>
    <t>1404/04/03</t>
  </si>
  <si>
    <t>1404/04/02</t>
  </si>
  <si>
    <t>حمل نشده</t>
  </si>
  <si>
    <t xml:space="preserve">نوع پیش فاکتور </t>
  </si>
  <si>
    <t>تناژ قابل فروش(کیلوگرم)</t>
  </si>
  <si>
    <t>میانگین قیمت بورس (ریال)</t>
  </si>
  <si>
    <t>پ/29-1404</t>
  </si>
  <si>
    <t>پ/30-1404</t>
  </si>
  <si>
    <t>پ/31-1404</t>
  </si>
  <si>
    <t>درصد میزان بارگیری شده</t>
  </si>
  <si>
    <t>Sum of درصد میزان بارگیری شده</t>
  </si>
  <si>
    <t>Column1</t>
  </si>
  <si>
    <t>year</t>
  </si>
  <si>
    <t>شماره عرضه</t>
  </si>
  <si>
    <t>تاریخ عرضه</t>
  </si>
  <si>
    <t>میزان عرضه</t>
  </si>
  <si>
    <t>قیمت (ریال)</t>
  </si>
  <si>
    <t>1403/04/01</t>
  </si>
  <si>
    <t>1403/07/01</t>
  </si>
  <si>
    <t>1404/04/24</t>
  </si>
  <si>
    <t>عرضه بورس</t>
  </si>
  <si>
    <t>بله</t>
  </si>
  <si>
    <t>Calculated Column 1</t>
  </si>
  <si>
    <t>پ/12-1404</t>
  </si>
  <si>
    <t>پ/13-1404</t>
  </si>
  <si>
    <t>پ/14-1404</t>
  </si>
  <si>
    <t>پ/15-1404</t>
  </si>
  <si>
    <t>پ/17-1404</t>
  </si>
  <si>
    <t>پ/18-1404</t>
  </si>
  <si>
    <t>پ/19-1404</t>
  </si>
  <si>
    <t>پ/21-1404</t>
  </si>
  <si>
    <t>پ/28-1404</t>
  </si>
  <si>
    <t>پ/24-1404</t>
  </si>
  <si>
    <t>پ/26-1404</t>
  </si>
  <si>
    <t>پ/16-1404</t>
  </si>
  <si>
    <t>پ/27-1404</t>
  </si>
  <si>
    <t>پ/23-1404</t>
  </si>
  <si>
    <t>پ/32-1404</t>
  </si>
  <si>
    <t>1404/04/09</t>
  </si>
  <si>
    <t>1404/04/12</t>
  </si>
  <si>
    <t>پ/33-1404</t>
  </si>
  <si>
    <t>پ/34-1404</t>
  </si>
  <si>
    <t>1404/04/23</t>
  </si>
  <si>
    <t>1404/04/22</t>
  </si>
  <si>
    <t>1404/04/21</t>
  </si>
  <si>
    <t>1404/04/20</t>
  </si>
  <si>
    <t>1404/04/19</t>
  </si>
  <si>
    <t>1404/04/18</t>
  </si>
  <si>
    <t>1404/04/17</t>
  </si>
  <si>
    <t>1404/04/16</t>
  </si>
  <si>
    <t>عرضه اول</t>
  </si>
  <si>
    <t>عرضه دوم</t>
  </si>
  <si>
    <t>عرضه سوم</t>
  </si>
  <si>
    <t>عرضه چهارم</t>
  </si>
  <si>
    <t>عرضه پنجم</t>
  </si>
  <si>
    <t xml:space="preserve">عرضه ششم </t>
  </si>
  <si>
    <t>عرضه هفتم</t>
  </si>
  <si>
    <t>عرضه هشتم</t>
  </si>
  <si>
    <t>عرضه نهم</t>
  </si>
  <si>
    <t>عرضه دهم</t>
  </si>
  <si>
    <t>عرضه یازدهم</t>
  </si>
  <si>
    <t>عرضه دوازدهم</t>
  </si>
  <si>
    <t>عرضه سیزدهم</t>
  </si>
  <si>
    <t>عرضه چهاردهم</t>
  </si>
  <si>
    <t>عرضه پانزدهم</t>
  </si>
  <si>
    <t>عرضه شانزدهم</t>
  </si>
  <si>
    <t>عرضه هفدهم</t>
  </si>
  <si>
    <t>عرضه هجدهم</t>
  </si>
  <si>
    <t>% بارگیری به مانده سفارشات</t>
  </si>
  <si>
    <t>1404/04/25</t>
  </si>
  <si>
    <t>پ/25-1404</t>
  </si>
  <si>
    <t>1404/04/28</t>
  </si>
  <si>
    <t>1404/04/27</t>
  </si>
  <si>
    <t>1404/04/26</t>
  </si>
  <si>
    <t>پ/35-1404</t>
  </si>
  <si>
    <t>پ/36-1404</t>
  </si>
  <si>
    <t>پ/37-1404</t>
  </si>
  <si>
    <t>پ/38-1404</t>
  </si>
  <si>
    <t>مانده تعهدات</t>
  </si>
  <si>
    <t>1404/04/29</t>
  </si>
  <si>
    <t>1404/04/30</t>
  </si>
  <si>
    <t>1404/04/31</t>
  </si>
  <si>
    <t xml:space="preserve"> </t>
  </si>
  <si>
    <t>پ/39-1404</t>
  </si>
  <si>
    <t>پ/40-1404</t>
  </si>
  <si>
    <t>پ/41-1404</t>
  </si>
  <si>
    <t>پ/42-1404</t>
  </si>
  <si>
    <t>1404/05/06</t>
  </si>
  <si>
    <t>1404/05/05</t>
  </si>
  <si>
    <t>1404/05/04</t>
  </si>
  <si>
    <t>1404/05/02</t>
  </si>
  <si>
    <t>1404/05/01</t>
  </si>
  <si>
    <t>عرضه نوزدهم</t>
  </si>
  <si>
    <t>1404/05/07</t>
  </si>
  <si>
    <t>1404/05/10</t>
  </si>
  <si>
    <t>1404/05/09</t>
  </si>
  <si>
    <t>1404/05/08</t>
  </si>
  <si>
    <t>1404/05/13</t>
  </si>
  <si>
    <t>1404/05/12</t>
  </si>
  <si>
    <t>1404/05/11</t>
  </si>
  <si>
    <t>پ/43-1404</t>
  </si>
  <si>
    <t>پ/44-1404</t>
  </si>
  <si>
    <t>پ/45-1404</t>
  </si>
  <si>
    <t>پ/46-1404</t>
  </si>
  <si>
    <t>1404/05/14</t>
  </si>
  <si>
    <t>1404/05/16</t>
  </si>
  <si>
    <t>1404/05/15</t>
  </si>
  <si>
    <t>1404/05/18</t>
  </si>
  <si>
    <t>پ/47-1404</t>
  </si>
  <si>
    <t>پ/48-1404</t>
  </si>
  <si>
    <t>پ/49-1404</t>
  </si>
  <si>
    <t>پ/50-1404</t>
  </si>
  <si>
    <t>1404/05/19</t>
  </si>
  <si>
    <t>پ/51-1404</t>
  </si>
  <si>
    <t>پ/52-1404</t>
  </si>
  <si>
    <t>پ/53-1404</t>
  </si>
  <si>
    <t>پ/54-1404</t>
  </si>
  <si>
    <t>1404/05/22</t>
  </si>
  <si>
    <t>واسطه</t>
  </si>
  <si>
    <t>1404/05/20</t>
  </si>
  <si>
    <t>1404/05/21</t>
  </si>
  <si>
    <t>آیس کار</t>
  </si>
  <si>
    <t>پ/55-1404</t>
  </si>
  <si>
    <t>1404/05/24</t>
  </si>
  <si>
    <t>1404/05/23</t>
  </si>
  <si>
    <t>1404/05/25</t>
  </si>
  <si>
    <t>1404/05/26</t>
  </si>
  <si>
    <t>1404/05/27</t>
  </si>
  <si>
    <t>1404/05/28</t>
  </si>
  <si>
    <t>1404/05/30</t>
  </si>
  <si>
    <t>1404/05/29</t>
  </si>
  <si>
    <t>مانده کل</t>
  </si>
  <si>
    <t>1404/06/03</t>
  </si>
  <si>
    <t>1404/06/04</t>
  </si>
  <si>
    <t>1404/06/05</t>
  </si>
  <si>
    <t>پ/56-1404</t>
  </si>
  <si>
    <t>1404/06/01</t>
  </si>
  <si>
    <t>پ/57-1404</t>
  </si>
  <si>
    <t>پ/58-1404</t>
  </si>
  <si>
    <t>1404/06/07</t>
  </si>
  <si>
    <t>1404/06/06</t>
  </si>
  <si>
    <t>1404/06/08</t>
  </si>
  <si>
    <t>1404/06/10</t>
  </si>
  <si>
    <t>1404/06/09</t>
  </si>
  <si>
    <t>1404/06/11</t>
  </si>
  <si>
    <t>پ/59-1404</t>
  </si>
  <si>
    <t>پ/60-1404</t>
  </si>
  <si>
    <t>پ/61-1404</t>
  </si>
  <si>
    <t>1404/06/12</t>
  </si>
  <si>
    <t>1404/06/13</t>
  </si>
  <si>
    <t>1404/06/15</t>
  </si>
  <si>
    <t>1404/06/17</t>
  </si>
  <si>
    <t>1404/06/16</t>
  </si>
  <si>
    <t>1404/06/20</t>
  </si>
  <si>
    <t>1404/06/19</t>
  </si>
  <si>
    <t>1404/06/18</t>
  </si>
  <si>
    <t>1404/06/23</t>
  </si>
  <si>
    <t>1404/06/22</t>
  </si>
  <si>
    <t>1404/06/25</t>
  </si>
  <si>
    <t>1404/06/24</t>
  </si>
  <si>
    <t>1404/06/27</t>
  </si>
  <si>
    <t>1404/06/26</t>
  </si>
  <si>
    <t>1404/06/30</t>
  </si>
  <si>
    <t>1404/06/29</t>
  </si>
  <si>
    <t>1404/06/31</t>
  </si>
  <si>
    <t>پ/62-1404</t>
  </si>
  <si>
    <t>پ/63-1404</t>
  </si>
  <si>
    <t>پ/64-1404</t>
  </si>
  <si>
    <t>پ/65-1404</t>
  </si>
  <si>
    <t>پ/66-1404</t>
  </si>
  <si>
    <t>پ/67-1404</t>
  </si>
  <si>
    <t>پ/68-1404</t>
  </si>
  <si>
    <t>پ/69-1404</t>
  </si>
  <si>
    <t>پ/70-1404</t>
  </si>
  <si>
    <t>پ/71-1404</t>
  </si>
  <si>
    <t>1404/07/01</t>
  </si>
  <si>
    <t>1404/07/07</t>
  </si>
  <si>
    <t>1404/07/06</t>
  </si>
  <si>
    <t>پ/20-1404</t>
  </si>
  <si>
    <t>1404/07/05</t>
  </si>
  <si>
    <t>1404/07/04</t>
  </si>
  <si>
    <t>1404/07/03</t>
  </si>
  <si>
    <t>1404/07/02</t>
  </si>
  <si>
    <t>ماه/نوع فروش</t>
  </si>
  <si>
    <t>1404/07/09</t>
  </si>
  <si>
    <t>1404/07/08</t>
  </si>
  <si>
    <t>پ/72-1404</t>
  </si>
  <si>
    <t>پ/73-1404</t>
  </si>
  <si>
    <t>پ/74-1404</t>
  </si>
  <si>
    <t>1404/07/11</t>
  </si>
  <si>
    <t>1404/07/10</t>
  </si>
  <si>
    <t>1404/07/12</t>
  </si>
  <si>
    <t>1404/07/13</t>
  </si>
  <si>
    <t>1404/07/14</t>
  </si>
  <si>
    <t>1404/07/16</t>
  </si>
  <si>
    <t>1404/07/18</t>
  </si>
  <si>
    <t>1404/07/17</t>
  </si>
  <si>
    <t>1404/07/19</t>
  </si>
  <si>
    <t>1404/07/20</t>
  </si>
  <si>
    <t>1404/07/22</t>
  </si>
  <si>
    <t>1404/07/21</t>
  </si>
  <si>
    <t>1404/07/24</t>
  </si>
  <si>
    <t>1404/07/23</t>
  </si>
  <si>
    <t>1404/07/26</t>
  </si>
  <si>
    <t>1404/07/28</t>
  </si>
  <si>
    <t>1404/07/27</t>
  </si>
  <si>
    <t>1404/07/29</t>
  </si>
  <si>
    <t>1404/07/30</t>
  </si>
  <si>
    <t>1404/08/02</t>
  </si>
  <si>
    <t>1404/08/01</t>
  </si>
  <si>
    <t>1404/08/03</t>
  </si>
  <si>
    <t>پ/75-1404</t>
  </si>
  <si>
    <t>پ/76-1404</t>
  </si>
  <si>
    <t>1404/08/04</t>
  </si>
  <si>
    <t>1404/08/05</t>
  </si>
  <si>
    <t>1404/08/09</t>
  </si>
  <si>
    <t>1404/08/08</t>
  </si>
  <si>
    <t>1404/08/07</t>
  </si>
  <si>
    <t>1404/08/06</t>
  </si>
  <si>
    <t>1404/08/10</t>
  </si>
  <si>
    <t>1404/08/11</t>
  </si>
  <si>
    <t>1405/01/01</t>
  </si>
  <si>
    <t>پ/77-1404</t>
  </si>
  <si>
    <t>پ/78-1404</t>
  </si>
  <si>
    <t>پ/79-1404</t>
  </si>
  <si>
    <t>1404/08/12</t>
  </si>
  <si>
    <t>پ/80-1404</t>
  </si>
  <si>
    <t>1404/08/13</t>
  </si>
  <si>
    <t>1404/08/14</t>
  </si>
  <si>
    <t>1404/08/15</t>
  </si>
  <si>
    <t>1404/08/17</t>
  </si>
  <si>
    <t>1404/08/18</t>
  </si>
  <si>
    <t>1404/08/19</t>
  </si>
  <si>
    <t>1404/08/20</t>
  </si>
  <si>
    <t>1404/08/21</t>
  </si>
  <si>
    <t>1404/08/23</t>
  </si>
  <si>
    <t>1404/08/22</t>
  </si>
  <si>
    <t>1404/08/28</t>
  </si>
  <si>
    <t>1404/08/26</t>
  </si>
  <si>
    <t>1404/08/27</t>
  </si>
  <si>
    <t>1404/08/25</t>
  </si>
  <si>
    <t>1404/08/24</t>
  </si>
  <si>
    <t>1404/08/29</t>
  </si>
  <si>
    <t>پ/86-1404</t>
  </si>
  <si>
    <t>پ/81-1404</t>
  </si>
  <si>
    <t>پ/82-1404</t>
  </si>
  <si>
    <t>پ/83-1404</t>
  </si>
  <si>
    <t>پ/84-1404</t>
  </si>
  <si>
    <t>پ/85-1404</t>
  </si>
  <si>
    <t>پ/87-1404</t>
  </si>
  <si>
    <t>پ/88-1404</t>
  </si>
  <si>
    <t>پ/89-1404</t>
  </si>
  <si>
    <t>پ/90-1404</t>
  </si>
  <si>
    <t>1404/09/06</t>
  </si>
  <si>
    <t>1404/09/05</t>
  </si>
  <si>
    <t>1404/09/04</t>
  </si>
  <si>
    <t>1404/09/03</t>
  </si>
  <si>
    <t>1404/09/01</t>
  </si>
  <si>
    <t>1404/09/08</t>
  </si>
  <si>
    <t>1404/09/10</t>
  </si>
  <si>
    <t>پ/91-1404</t>
  </si>
  <si>
    <t>1404/09/09</t>
  </si>
  <si>
    <t>پ/93-1404</t>
  </si>
  <si>
    <t>پ/94-1404</t>
  </si>
  <si>
    <t>1404/09/11</t>
  </si>
  <si>
    <t>1404/09/12</t>
  </si>
  <si>
    <t xml:space="preserve">میزان حمل شده </t>
  </si>
  <si>
    <t xml:space="preserve">میزان حمل نشده </t>
  </si>
  <si>
    <t>کمتر از 80.000 ریال</t>
  </si>
  <si>
    <t>1404/09/13</t>
  </si>
  <si>
    <t>از 80.000 تا کمتر از 100.000 ریال</t>
  </si>
  <si>
    <t>از 100.000 تا کمتر از 120.000 ریال</t>
  </si>
  <si>
    <t>از 120.000 تا کمتر از 150.000 ریال</t>
  </si>
  <si>
    <t xml:space="preserve"> 150.000 ریال و بالاتر</t>
  </si>
  <si>
    <t>1404/09/16</t>
  </si>
  <si>
    <t>1404/09/15</t>
  </si>
  <si>
    <t>جمع کل</t>
  </si>
  <si>
    <t>1404/09/17</t>
  </si>
  <si>
    <t>1404/09/18</t>
  </si>
  <si>
    <t>1404/09/19</t>
  </si>
  <si>
    <t>1404/09/22</t>
  </si>
  <si>
    <t>1404/09/21</t>
  </si>
  <si>
    <t>1404/09/20</t>
  </si>
  <si>
    <t>1404/09/23</t>
  </si>
  <si>
    <t>1404/09/24</t>
  </si>
  <si>
    <t>1404/09/25</t>
  </si>
  <si>
    <t>1404/09/29</t>
  </si>
  <si>
    <t>1404/09/28</t>
  </si>
  <si>
    <t>1404/09/27</t>
  </si>
  <si>
    <t>پ/95-1404</t>
  </si>
  <si>
    <t>پ/96-1404</t>
  </si>
  <si>
    <t>پ/97-1404</t>
  </si>
  <si>
    <t>پ/98-1404</t>
  </si>
  <si>
    <t>پ/99-1404</t>
  </si>
  <si>
    <t>پ/100-1404</t>
  </si>
  <si>
    <t>پ/101-1404</t>
  </si>
  <si>
    <t>1404/10/09</t>
  </si>
  <si>
    <t>1404/10/03</t>
  </si>
  <si>
    <t>1404/10/02</t>
  </si>
  <si>
    <t>1404/10/08</t>
  </si>
  <si>
    <t>1404/10/07</t>
  </si>
  <si>
    <t>1404/10/06</t>
  </si>
  <si>
    <t>1404/10/04</t>
  </si>
  <si>
    <t>پ/102-1404</t>
  </si>
  <si>
    <t>1404/10/11</t>
  </si>
  <si>
    <t>1404/10/10</t>
  </si>
  <si>
    <t>Column2</t>
  </si>
  <si>
    <t xml:space="preserve">میانگین بار حمل نشده </t>
  </si>
  <si>
    <t>پ/92-1404</t>
  </si>
  <si>
    <t>1404/10/15</t>
  </si>
  <si>
    <t>1404/10/14</t>
  </si>
  <si>
    <t>1404/10/13</t>
  </si>
  <si>
    <t>1404/10/16</t>
  </si>
  <si>
    <t>الحاقیه پ/22-1404</t>
  </si>
  <si>
    <t>الحاقیه پ/09-1404</t>
  </si>
  <si>
    <t>پ/103-1404</t>
  </si>
  <si>
    <t>پ/104-1404</t>
  </si>
  <si>
    <t>1404/10/21</t>
  </si>
  <si>
    <t>1404/10/20</t>
  </si>
  <si>
    <t>1404/10/18</t>
  </si>
  <si>
    <t>1404/10/17</t>
  </si>
  <si>
    <t>1404/10/24</t>
  </si>
  <si>
    <t>1404/10/23</t>
  </si>
  <si>
    <t>1404/10/22</t>
  </si>
  <si>
    <t>1404/10/27</t>
  </si>
  <si>
    <t>1404/10/26</t>
  </si>
  <si>
    <t>1404/10/28</t>
  </si>
  <si>
    <t>1404/10/29</t>
  </si>
  <si>
    <t>1404/10/30</t>
  </si>
  <si>
    <t>پ/105-1404</t>
  </si>
  <si>
    <t>پ/106-1404</t>
  </si>
  <si>
    <t>پ/107-1404</t>
  </si>
  <si>
    <t>1404/11/02</t>
  </si>
  <si>
    <t>1404/11/01</t>
  </si>
  <si>
    <t>1404/11/03</t>
  </si>
  <si>
    <t>1404/11/04</t>
  </si>
  <si>
    <t>1404/11/06</t>
  </si>
  <si>
    <t>1404/11/05</t>
  </si>
  <si>
    <t>پ/92-1404-2</t>
  </si>
  <si>
    <t>1404/10/25</t>
  </si>
  <si>
    <t>پ/92-1404-1</t>
  </si>
  <si>
    <t>1404/10/12</t>
  </si>
  <si>
    <t>1404/10/05</t>
  </si>
  <si>
    <t>پ/108-1404</t>
  </si>
  <si>
    <t>پ/109-1404</t>
  </si>
  <si>
    <t>پ/110-1404</t>
  </si>
  <si>
    <t>پ/111-1404</t>
  </si>
  <si>
    <t>پ/112-1404</t>
  </si>
  <si>
    <t>پ/113-1404</t>
  </si>
  <si>
    <t>پ/114-1404</t>
  </si>
  <si>
    <t>پ/115-1404</t>
  </si>
  <si>
    <t>1404/11/07</t>
  </si>
  <si>
    <t>1404/11/08</t>
  </si>
  <si>
    <t>1404/11/09</t>
  </si>
  <si>
    <t>1404/11/12</t>
  </si>
  <si>
    <t>1404/11/11</t>
  </si>
  <si>
    <t>1404/11/14</t>
  </si>
  <si>
    <t>1404/11/13</t>
  </si>
  <si>
    <t>1404/11/17</t>
  </si>
  <si>
    <t>1404/11/16</t>
  </si>
  <si>
    <t>1404/11/20</t>
  </si>
  <si>
    <t>1404/11/18</t>
  </si>
  <si>
    <t>پ/116-1404</t>
  </si>
  <si>
    <t>پ/117-1404</t>
  </si>
  <si>
    <t>1404/11/22</t>
  </si>
  <si>
    <t>1404/11/21</t>
  </si>
  <si>
    <t>1404/11/24</t>
  </si>
  <si>
    <t>1404/11/23</t>
  </si>
  <si>
    <t>1404/11/26</t>
  </si>
  <si>
    <t>الحاقیه پ/17-1402</t>
  </si>
  <si>
    <t>1404/11/25</t>
  </si>
  <si>
    <t>1404/11/27</t>
  </si>
  <si>
    <t>پ/118-1404</t>
  </si>
  <si>
    <t>پ/119-1404</t>
  </si>
  <si>
    <t>1404/11/15</t>
  </si>
  <si>
    <t>پ/120-1404</t>
  </si>
  <si>
    <t>1404/11/29</t>
  </si>
  <si>
    <t>1404/11/28</t>
  </si>
  <si>
    <t>1404/12/01</t>
  </si>
  <si>
    <t>1404/11/30</t>
  </si>
  <si>
    <t>1404/12/03</t>
  </si>
  <si>
    <t>پ/92-1404-3</t>
  </si>
  <si>
    <t>1404/11/19</t>
  </si>
  <si>
    <t>1404/12/05</t>
  </si>
  <si>
    <t>1404/12/04</t>
  </si>
  <si>
    <t>1404/12/06</t>
  </si>
  <si>
    <t>1404/12/08</t>
  </si>
  <si>
    <t>1404/12/07</t>
  </si>
  <si>
    <t>1404/12/27</t>
  </si>
  <si>
    <t>1404/12/26</t>
  </si>
  <si>
    <t>1404/12/25</t>
  </si>
  <si>
    <t>1404/12/24</t>
  </si>
  <si>
    <t>1404/12/13</t>
  </si>
  <si>
    <t>1404/12/11</t>
  </si>
  <si>
    <t>1404/12/10</t>
  </si>
  <si>
    <t>1404/12/09</t>
  </si>
  <si>
    <t>پ/121-1404</t>
  </si>
  <si>
    <t>پ/122-1404</t>
  </si>
  <si>
    <t>پ/123-1404</t>
  </si>
  <si>
    <t>پ/124-1404</t>
  </si>
  <si>
    <t>پ/125-1404</t>
  </si>
  <si>
    <t>پ/126-1404</t>
  </si>
  <si>
    <t>پ/92-1404-4</t>
  </si>
  <si>
    <t>الحاقیه پ/13-1404</t>
  </si>
  <si>
    <t>1405/02/02</t>
  </si>
  <si>
    <t>1405/02/01</t>
  </si>
  <si>
    <t>1405/01/31</t>
  </si>
  <si>
    <t>جمع حمل نشده</t>
  </si>
  <si>
    <t>جمع حاصلضرب حمل نشده</t>
  </si>
  <si>
    <t>1405/02/05</t>
  </si>
  <si>
    <t>1405/02/03</t>
  </si>
  <si>
    <t>1404/09/30</t>
  </si>
  <si>
    <t>All</t>
  </si>
  <si>
    <t>1405/02/06</t>
  </si>
  <si>
    <t>1405/02/08</t>
  </si>
  <si>
    <t>1405/02/07</t>
  </si>
  <si>
    <t>1405/02/11</t>
  </si>
  <si>
    <t>1405/02/10</t>
  </si>
  <si>
    <t>1405/02/09</t>
  </si>
  <si>
    <t>1405/02/12</t>
  </si>
  <si>
    <t>1405/02/13</t>
  </si>
  <si>
    <t>1405/02/14</t>
  </si>
  <si>
    <t>ناخالص</t>
  </si>
  <si>
    <t>1405/02/16</t>
  </si>
  <si>
    <t>1405/02/15</t>
  </si>
  <si>
    <t>الحاقیه پ/50-1403-2</t>
  </si>
  <si>
    <t>الحاقیه پ/69-1403-2</t>
  </si>
  <si>
    <t>1405/02/20</t>
  </si>
  <si>
    <t>1405/02/19</t>
  </si>
  <si>
    <t>1405/02/17</t>
  </si>
  <si>
    <t>پ/01-1405</t>
  </si>
  <si>
    <t>پ/02-1405</t>
  </si>
  <si>
    <t>طوفان کویر</t>
  </si>
  <si>
    <t>گاز کربنیک نورین ابهر</t>
  </si>
  <si>
    <t>1405/02/22</t>
  </si>
  <si>
    <t>پ/03-1405</t>
  </si>
  <si>
    <t>راسا پایدار مصباح</t>
  </si>
  <si>
    <t>1405/02/21</t>
  </si>
  <si>
    <t>جمع سفارش مشتری</t>
  </si>
  <si>
    <t>الحاقیه پ/55-1403-2</t>
  </si>
  <si>
    <t>الحاقیه پ/58-1403-2</t>
  </si>
  <si>
    <t>الحاقیه پ/52-1403-2</t>
  </si>
  <si>
    <t>الحاقیه پ/65-1403-2</t>
  </si>
  <si>
    <t>الحاقیه پ/62-1403-2</t>
  </si>
  <si>
    <t>الحاقیه پ/54-1403-2</t>
  </si>
  <si>
    <t>الحاقیه پ/59-1403-2</t>
  </si>
  <si>
    <t>پ/92-1404-5</t>
  </si>
  <si>
    <t>1405/02/25</t>
  </si>
  <si>
    <t>1405/02/24</t>
  </si>
  <si>
    <t>1405/02/18</t>
  </si>
  <si>
    <t>1405/02/23</t>
  </si>
  <si>
    <t>1405/02/26</t>
  </si>
  <si>
    <t>1405/02/28</t>
  </si>
  <si>
    <t>1405/02/29</t>
  </si>
  <si>
    <t>گزارش مانده تعهدات مشتریان انجمن</t>
  </si>
  <si>
    <t>1405/02/30</t>
  </si>
  <si>
    <t>بار نیشابور</t>
  </si>
  <si>
    <t>1405/02/31</t>
  </si>
  <si>
    <t>1405/03/01</t>
  </si>
  <si>
    <t>1405/03/02</t>
  </si>
  <si>
    <t>1405/03/03</t>
  </si>
  <si>
    <t>1405/03/04</t>
  </si>
  <si>
    <t>پ/92-1404-6</t>
  </si>
  <si>
    <t>1405/03/05</t>
  </si>
  <si>
    <t>1405/03/06</t>
  </si>
  <si>
    <t>1405/03/07</t>
  </si>
  <si>
    <t>1405/03/11</t>
  </si>
  <si>
    <t>1405/02/27</t>
  </si>
  <si>
    <t>1405/03/10</t>
  </si>
  <si>
    <t>1405/03/09</t>
  </si>
  <si>
    <t>1405/03/08</t>
  </si>
  <si>
    <t>1405/03/14</t>
  </si>
  <si>
    <t>1405/03/13</t>
  </si>
  <si>
    <t>1405/03/12</t>
  </si>
  <si>
    <t>1404/10/01</t>
  </si>
  <si>
    <t>1405/03/16</t>
  </si>
  <si>
    <t>1405/03/19</t>
  </si>
  <si>
    <t>1405/03/17</t>
  </si>
  <si>
    <t>1405/03/21</t>
  </si>
  <si>
    <t>1405/03/20</t>
  </si>
  <si>
    <t>پ/92-1404-7</t>
  </si>
  <si>
    <t>1405/03/23</t>
  </si>
  <si>
    <t>1405/03/22</t>
  </si>
  <si>
    <t>1405/03/18</t>
  </si>
  <si>
    <t>1405/03/27</t>
  </si>
  <si>
    <t>1405/03/26</t>
  </si>
  <si>
    <t>1405/03/28</t>
  </si>
  <si>
    <t>پ/92-1404-8</t>
  </si>
  <si>
    <t>1405/03/30</t>
  </si>
  <si>
    <t>پ/18-1405</t>
  </si>
  <si>
    <t>چشمه بهشت</t>
  </si>
  <si>
    <t>1405/03/31</t>
  </si>
  <si>
    <t>1405/04/03</t>
  </si>
  <si>
    <t>پ/05-1405</t>
  </si>
  <si>
    <t>1405/04/02</t>
  </si>
  <si>
    <t>پ/06-1405</t>
  </si>
  <si>
    <t>پ/07-1405</t>
  </si>
  <si>
    <t>پ/08-1405</t>
  </si>
  <si>
    <t>پ/09-1405</t>
  </si>
  <si>
    <t>پ/10-1405</t>
  </si>
  <si>
    <t>پ/11-1405</t>
  </si>
  <si>
    <t>پ/12-1405</t>
  </si>
  <si>
    <t>پ/13-1405</t>
  </si>
  <si>
    <t>پ/14-1405</t>
  </si>
  <si>
    <t>پ/15-1405</t>
  </si>
  <si>
    <t>پ/16-1405</t>
  </si>
  <si>
    <t>پ/17-1405</t>
  </si>
  <si>
    <t>پ/19-1405</t>
  </si>
  <si>
    <t>برفاب گاز تبریز</t>
  </si>
  <si>
    <t>پ/21-1405</t>
  </si>
  <si>
    <t>پ/22-1405</t>
  </si>
  <si>
    <t>1405/04/06</t>
  </si>
  <si>
    <t>1405/04/16</t>
  </si>
  <si>
    <t>1405/04/17</t>
  </si>
  <si>
    <t>C:\Users\a.faraji\Desktop\فروش</t>
  </si>
  <si>
    <t>1405/04/20</t>
  </si>
  <si>
    <t>1405/04/19</t>
  </si>
  <si>
    <t>1405/04/18</t>
  </si>
  <si>
    <t>1405/04/21</t>
  </si>
  <si>
    <t>1405/04/23</t>
  </si>
  <si>
    <t>1405/04/24</t>
  </si>
  <si>
    <t>1405/04/26</t>
  </si>
  <si>
    <t>1405/04/27</t>
  </si>
  <si>
    <t>1405/04/28</t>
  </si>
  <si>
    <t>1405/04/31</t>
  </si>
  <si>
    <t>1405/04/30</t>
  </si>
  <si>
    <t>1405/05/02</t>
  </si>
  <si>
    <t>پ/23-1405</t>
  </si>
  <si>
    <t>پ/24-1405</t>
  </si>
  <si>
    <t>پ/25-1405</t>
  </si>
  <si>
    <t>1405/07/01</t>
  </si>
  <si>
    <t>1405/05/01</t>
  </si>
  <si>
    <t>1405/05/04</t>
  </si>
  <si>
    <t>1405/05/06</t>
  </si>
  <si>
    <t>1405/05/09</t>
  </si>
  <si>
    <t>1405/05/07</t>
  </si>
  <si>
    <t>1405/05/10</t>
  </si>
  <si>
    <t>1405/05/11</t>
  </si>
  <si>
    <t>1405/05/13</t>
  </si>
  <si>
    <t>پ/92-1404-9</t>
  </si>
  <si>
    <t>1405/05/14</t>
  </si>
  <si>
    <t>1405/05/17</t>
  </si>
  <si>
    <t>1405/05/18</t>
  </si>
  <si>
    <t>1405/05/20</t>
  </si>
  <si>
    <t>1405/05/23</t>
  </si>
  <si>
    <t>1405/05/22</t>
  </si>
  <si>
    <t>1405/05/25</t>
  </si>
  <si>
    <t>1405/05/24</t>
  </si>
  <si>
    <t>1405/05/26</t>
  </si>
  <si>
    <t>1405/05/27</t>
  </si>
  <si>
    <t>پ/92-1404-10</t>
  </si>
  <si>
    <t>1405/05/28</t>
  </si>
  <si>
    <t>1405/05/31</t>
  </si>
  <si>
    <t>1405/05/29</t>
  </si>
  <si>
    <t>پ/92-1404-11</t>
  </si>
  <si>
    <t>پ/26-1405</t>
  </si>
  <si>
    <t>1405/05/15</t>
  </si>
  <si>
    <t>1405/05/19</t>
  </si>
  <si>
    <t>1405/05/16</t>
  </si>
  <si>
    <t>1405/06/01</t>
  </si>
  <si>
    <t>1405/06/03</t>
  </si>
  <si>
    <t>1405/06/02</t>
  </si>
  <si>
    <t>1405/06/04</t>
  </si>
  <si>
    <t>1405/06/06</t>
  </si>
  <si>
    <t>1405/06/08</t>
  </si>
  <si>
    <t>1405/06/07</t>
  </si>
  <si>
    <t>پ/04-1405</t>
  </si>
  <si>
    <t>1405/06/05</t>
  </si>
  <si>
    <t>1405/06/10</t>
  </si>
  <si>
    <t>پ/27-1405</t>
  </si>
  <si>
    <t>پ/20-1405</t>
  </si>
  <si>
    <t>1405/06/11</t>
  </si>
  <si>
    <t>1405/06/14</t>
  </si>
  <si>
    <t>1405/06/13</t>
  </si>
  <si>
    <t>1405/06/12</t>
  </si>
  <si>
    <t>1405/06/15</t>
  </si>
  <si>
    <t>1405/06/16</t>
  </si>
  <si>
    <t>1405/06/18</t>
  </si>
  <si>
    <t>1405/06/17</t>
  </si>
  <si>
    <t>1405/06/20</t>
  </si>
  <si>
    <t>1405/06/19</t>
  </si>
  <si>
    <t>1405/06/21</t>
  </si>
  <si>
    <t>1405/06/22</t>
  </si>
  <si>
    <t>پ/92-1404-12</t>
  </si>
  <si>
    <t>1405/06/24</t>
  </si>
  <si>
    <t>1405/06/26</t>
  </si>
  <si>
    <t>1405/06/25</t>
  </si>
  <si>
    <t>پ/92-1404-13</t>
  </si>
  <si>
    <t>پ/28-1405</t>
  </si>
  <si>
    <t>1405/06/28</t>
  </si>
  <si>
    <t>1405/06/27</t>
  </si>
  <si>
    <t>1405/06/29</t>
  </si>
  <si>
    <t>1405/06/30</t>
  </si>
  <si>
    <t>1405/06/31</t>
  </si>
  <si>
    <t>1405/07/02</t>
  </si>
  <si>
    <t>1405/07/04</t>
  </si>
  <si>
    <t>1405/07/03</t>
  </si>
  <si>
    <t>1405/07/06</t>
  </si>
  <si>
    <t>1405/07/05</t>
  </si>
  <si>
    <t>1405/07/07</t>
  </si>
  <si>
    <t>1405/07/08</t>
  </si>
  <si>
    <t>1405/07/10</t>
  </si>
  <si>
    <t>1405/07/09</t>
  </si>
  <si>
    <t>پ/92-1404-14</t>
  </si>
  <si>
    <t>پ/29-1405</t>
  </si>
  <si>
    <t>1405/07/11</t>
  </si>
  <si>
    <t>1405/07/12</t>
  </si>
  <si>
    <t>1405/07/13</t>
  </si>
  <si>
    <t>1405/07/14</t>
  </si>
  <si>
    <t>1405/07/15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</si>
</sst>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1" formatCode="_ * #,##0_ ;_ * \-#,##0_ ;_ * &quot;-&quot;_ ;_ @_ "/>
    <numFmt numFmtId="43" formatCode="_ * #,##0.00_ ;_ * \-#,##0.00_ ;_ * &quot;-&quot;??_ ;_ @_ "/>
    <numFmt numFmtId="164" formatCode="_(* #,##0.00_);_(* \(#,##0.00\);_(* &quot;-&quot;??_);_(@_)"/>
    <numFmt numFmtId="165" formatCode="[$-960429]yyyy\/mm\/dd;@"/>
    <numFmt numFmtId="166" formatCode="_(* #,##0_);_(* \(#,##0\);_(* &quot;-&quot;??_);_(@_)"/>
    <numFmt numFmtId="167" formatCode="0.0%"/>
    <numFmt numFmtId="168" formatCode="#,##0.00,,"/>
    <numFmt numFmtId="169" formatCode="#,##0,"/>
    <numFmt numFmtId="170" formatCode="#0.00,"/>
    <numFmt numFmtId="171" formatCode="##,##0.00,,"/>
    <numFmt numFmtId="172" formatCode="#,##0.000,,"/>
    <numFmt numFmtId="173" formatCode="#,##0.0,"/>
    <numFmt numFmtId="174" formatCode="##,##0.00,,,"/>
    <numFmt numFmtId="175" formatCode="##,##0.000000,,"/>
  </numFmts>
  <fonts count="35">
    <font>
      <sz val="11"/>
      <color theme="1"/>
      <name val="Arial"/>
      <family val="2"/>
      <charset val="178"/>
      <scheme val="minor"/>
    </font>
    <font>
      <sz val="11"/>
      <color theme="1"/>
      <name val="Arial"/>
      <family val="2"/>
      <scheme val="minor"/>
    </font>
    <font>
      <b/>
      <sz val="11"/>
      <color theme="1"/>
      <name val="B Nazanin"/>
      <charset val="178"/>
    </font>
    <font>
      <sz val="8"/>
      <name val="Arial"/>
      <family val="2"/>
      <charset val="178"/>
      <scheme val="minor"/>
    </font>
    <font>
      <b/>
      <sz val="11"/>
      <color rgb="FF000000"/>
      <name val="B Nazanin"/>
      <charset val="178"/>
    </font>
    <font>
      <sz val="10"/>
      <name val="Tahoma"/>
      <family val="2"/>
    </font>
    <font>
      <sz val="20"/>
      <name val="B Titr"/>
      <charset val="178"/>
    </font>
    <font>
      <sz val="14"/>
      <name val="B Nazanin"/>
      <charset val="178"/>
    </font>
    <font>
      <sz val="12"/>
      <name val="B Titr"/>
      <charset val="178"/>
    </font>
    <font>
      <sz val="11"/>
      <name val="B Titr"/>
      <charset val="178"/>
    </font>
    <font>
      <b/>
      <sz val="10"/>
      <color theme="1"/>
      <name val="B Nazanin"/>
      <charset val="178"/>
    </font>
    <font>
      <b/>
      <sz val="14"/>
      <color theme="0"/>
      <name val="B Nazanin"/>
      <charset val="178"/>
    </font>
    <font>
      <b/>
      <sz val="9"/>
      <color theme="1"/>
      <name val="B Nazanin"/>
      <charset val="178"/>
    </font>
    <font>
      <sz val="11"/>
      <color theme="1"/>
      <name val="Arial"/>
      <family val="2"/>
      <charset val="178"/>
      <scheme val="minor"/>
    </font>
    <font>
      <sz val="10"/>
      <name val="B Titr"/>
      <charset val="178"/>
    </font>
    <font>
      <sz val="11"/>
      <color theme="1"/>
      <name val="Nazanin"/>
      <charset val="178"/>
    </font>
    <font>
      <sz val="10"/>
      <color theme="1"/>
      <name val="Nazanin"/>
      <charset val="178"/>
    </font>
    <font>
      <b/>
      <sz val="11"/>
      <color theme="1"/>
      <name val="Nazanin"/>
      <charset val="178"/>
    </font>
    <font>
      <b/>
      <sz val="11"/>
      <color theme="0"/>
      <name val="B Nazanin"/>
      <charset val="178"/>
    </font>
    <font>
      <b/>
      <sz val="12"/>
      <color theme="1"/>
      <name val="B Nazanin"/>
      <charset val="178"/>
    </font>
    <font>
      <b/>
      <sz val="11"/>
      <color rgb="FFFFFFFF"/>
      <name val="B Nazanin"/>
      <charset val="178"/>
    </font>
    <font>
      <sz val="11"/>
      <color rgb="FFFFFFFF"/>
      <name val="Arial"/>
      <family val="2"/>
      <charset val="178"/>
      <scheme val="minor"/>
    </font>
    <font>
      <b/>
      <sz val="14"/>
      <color theme="1"/>
      <name val="Arial"/>
      <family val="2"/>
      <scheme val="minor"/>
    </font>
    <font>
      <b/>
      <sz val="11"/>
      <color theme="3"/>
      <name val="B Nazanin"/>
      <charset val="178"/>
    </font>
    <font>
      <sz val="11"/>
      <color theme="3"/>
      <name val="Arial"/>
      <family val="2"/>
      <charset val="178"/>
      <scheme val="minor"/>
    </font>
    <font>
      <sz val="8"/>
      <color rgb="FF000000"/>
      <name val="Segoe UI"/>
      <family val="2"/>
    </font>
    <font>
      <b/>
      <sz val="12"/>
      <color rgb="FFFFFFFF"/>
      <name val="B Nazanin"/>
      <charset val="178"/>
    </font>
    <font>
      <b/>
      <sz val="12"/>
      <color rgb="FF000000"/>
      <name val="B Nazanin"/>
      <charset val="178"/>
    </font>
    <font>
      <b/>
      <sz val="14"/>
      <color theme="1" tint="0.499984740745262"/>
      <name val="Arial"/>
      <family val="2"/>
      <scheme val="minor"/>
    </font>
    <font>
      <b/>
      <sz val="9"/>
      <color rgb="FFFFFFFF"/>
      <name val="B Nazanin"/>
      <charset val="178"/>
    </font>
    <font>
      <sz val="8"/>
      <color rgb="FF091E42"/>
      <name val="Shabnam"/>
      <family val="2"/>
    </font>
    <font>
      <b/>
      <sz val="18"/>
      <color theme="1"/>
      <name val="B Nazanin"/>
      <charset val="178"/>
    </font>
    <font>
      <b/>
      <sz val="11"/>
      <color theme="1"/>
      <name val="Arial"/>
      <family val="2"/>
      <scheme val="minor"/>
    </font>
    <font>
      <b/>
      <sz val="16"/>
      <color theme="1"/>
      <name val="B Nazanin"/>
      <charset val="178"/>
    </font>
    <font>
      <b/>
      <sz val="14"/>
      <color rgb="FFFFFFFF"/>
      <name val="B Nazanin"/>
      <charset val="178"/>
    </font>
  </fonts>
  <fills count="4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EEA022"/>
        <bgColor indexed="64"/>
      </patternFill>
    </fill>
    <fill>
      <patternFill patternType="solid">
        <fgColor theme="0" tint="-0.249977111117893"/>
        <bgColor indexed="64"/>
      </patternFill>
    </fill>
    <fill>
      <patternFill patternType="solid">
        <fgColor rgb="FF1ACECA"/>
        <bgColor indexed="64"/>
      </patternFill>
    </fill>
    <fill>
      <patternFill patternType="solid">
        <fgColor rgb="FFFF00FF"/>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00FFCC"/>
        <bgColor indexed="64"/>
      </patternFill>
    </fill>
    <fill>
      <patternFill patternType="solid">
        <fgColor rgb="FF69FF69"/>
        <bgColor indexed="64"/>
      </patternFill>
    </fill>
    <fill>
      <patternFill patternType="solid">
        <fgColor rgb="FFE265FF"/>
        <bgColor indexed="64"/>
      </patternFill>
    </fill>
    <fill>
      <patternFill patternType="solid">
        <fgColor rgb="FFFB3C37"/>
        <bgColor indexed="64"/>
      </patternFill>
    </fill>
    <fill>
      <patternFill patternType="solid">
        <fgColor rgb="FFCFB9C9"/>
        <bgColor indexed="64"/>
      </patternFill>
    </fill>
    <fill>
      <patternFill patternType="solid">
        <fgColor rgb="FF00B0F0"/>
        <bgColor indexed="64"/>
      </patternFill>
    </fill>
    <fill>
      <patternFill patternType="solid">
        <fgColor rgb="FF00DA6D"/>
        <bgColor indexed="64"/>
      </patternFill>
    </fill>
    <fill>
      <patternFill patternType="solid">
        <fgColor rgb="FFFC4918"/>
        <bgColor indexed="64"/>
      </patternFill>
    </fill>
    <fill>
      <patternFill patternType="solid">
        <fgColor theme="9"/>
        <bgColor indexed="64"/>
      </patternFill>
    </fill>
    <fill>
      <patternFill patternType="solid">
        <fgColor theme="4" tint="0.79998168889431442"/>
        <bgColor indexed="64"/>
      </patternFill>
    </fill>
    <fill>
      <patternFill patternType="solid">
        <fgColor theme="5"/>
        <bgColor indexed="64"/>
      </patternFill>
    </fill>
    <fill>
      <patternFill patternType="solid">
        <fgColor theme="5"/>
        <bgColor theme="4" tint="0.79998168889431442"/>
      </patternFill>
    </fill>
    <fill>
      <patternFill patternType="solid">
        <fgColor rgb="FFFFFFFF"/>
        <bgColor indexed="64"/>
      </patternFill>
    </fill>
    <fill>
      <patternFill patternType="solid">
        <fgColor rgb="FFDDDDDD"/>
        <bgColor indexed="64"/>
      </patternFill>
    </fill>
    <fill>
      <patternFill patternType="solid">
        <fgColor theme="0"/>
        <bgColor theme="4" tint="0.79998168889431442"/>
      </patternFill>
    </fill>
    <fill>
      <patternFill patternType="solid">
        <fgColor rgb="FF2A2E32"/>
        <bgColor indexed="64"/>
      </patternFill>
    </fill>
    <fill>
      <patternFill patternType="solid">
        <fgColor theme="0" tint="0.39997558519241921"/>
        <bgColor indexed="64"/>
      </patternFill>
    </fill>
    <fill>
      <patternFill patternType="solid">
        <fgColor theme="2"/>
        <bgColor indexed="64"/>
      </patternFill>
    </fill>
    <fill>
      <patternFill patternType="solid">
        <fgColor theme="2" tint="-9.9978637043366805E-2"/>
        <bgColor indexed="64"/>
      </patternFill>
    </fill>
    <fill>
      <patternFill patternType="solid">
        <fgColor rgb="FF292A2F"/>
        <bgColor indexed="64"/>
      </patternFill>
    </fill>
    <fill>
      <patternFill patternType="solid">
        <fgColor theme="4" tint="0.79998168889431442"/>
        <bgColor theme="4" tint="0.79998168889431442"/>
      </patternFill>
    </fill>
    <fill>
      <patternFill patternType="solid">
        <fgColor theme="7"/>
        <bgColor indexed="64"/>
      </patternFill>
    </fill>
    <fill>
      <patternFill patternType="solid">
        <fgColor theme="8" tint="0.59999389629810485"/>
        <bgColor indexed="64"/>
      </patternFill>
    </fill>
    <fill>
      <patternFill patternType="solid">
        <fgColor theme="1" tint="0.749992370372631"/>
        <bgColor indexed="64"/>
      </patternFill>
    </fill>
    <fill>
      <patternFill patternType="solid">
        <fgColor theme="6"/>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indexed="64"/>
      </right>
      <top style="medium">
        <color indexed="64"/>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diagonal/>
    </border>
    <border>
      <left style="slantDashDot">
        <color auto="1"/>
      </left>
      <right style="slantDashDot">
        <color auto="1"/>
      </right>
      <top style="slantDashDot">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top/>
      <bottom style="thin">
        <color theme="4" tint="0.39997558519241921"/>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s>
  <cellStyleXfs count="7">
    <xf numFmtId="0" fontId="0" fillId="0" borderId="0"/>
    <xf numFmtId="0" fontId="1" fillId="0" borderId="0"/>
    <xf numFmtId="0" fontId="5" fillId="0" borderId="0">
      <alignment horizontal="right"/>
    </xf>
    <xf numFmtId="164"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cellStyleXfs>
  <cellXfs count="366">
    <xf numFmtId="0" fontId="0" fillId="0" borderId="0" xfId="0"/>
    <xf numFmtId="0" fontId="2" fillId="0" borderId="0" xfId="1" applyFont="1" applyAlignment="1">
      <alignment horizontal="center" vertical="center"/>
    </xf>
    <xf numFmtId="3" fontId="2" fillId="0" borderId="1" xfId="1" applyNumberFormat="1" applyFont="1" applyBorder="1" applyAlignment="1">
      <alignment horizontal="center" vertical="center"/>
    </xf>
    <xf numFmtId="0" fontId="2" fillId="0" borderId="0" xfId="1" applyFont="1" applyAlignment="1">
      <alignment horizontal="right" vertical="center"/>
    </xf>
    <xf numFmtId="0" fontId="0" fillId="0" borderId="0" xfId="0" applyAlignment="1">
      <alignment horizontal="left" indent="1"/>
    </xf>
    <xf numFmtId="3" fontId="4" fillId="0" borderId="1" xfId="1" applyNumberFormat="1" applyFont="1" applyBorder="1" applyAlignment="1">
      <alignment horizontal="center" vertical="center"/>
    </xf>
    <xf numFmtId="3" fontId="4" fillId="0" borderId="2" xfId="1" applyNumberFormat="1" applyFont="1" applyBorder="1" applyAlignment="1">
      <alignment horizontal="center" vertical="center"/>
    </xf>
    <xf numFmtId="0" fontId="7" fillId="0" borderId="0" xfId="2" applyFont="1" applyAlignment="1">
      <alignment horizontal="center" vertical="center"/>
    </xf>
    <xf numFmtId="0" fontId="7" fillId="4" borderId="0" xfId="2" applyFont="1" applyFill="1" applyAlignment="1">
      <alignment horizontal="center" vertical="center"/>
    </xf>
    <xf numFmtId="3" fontId="7" fillId="0" borderId="0" xfId="2" applyNumberFormat="1" applyFont="1" applyAlignment="1">
      <alignment horizontal="center" vertical="center"/>
    </xf>
    <xf numFmtId="0" fontId="2" fillId="8" borderId="1" xfId="1" applyFont="1" applyFill="1" applyBorder="1" applyAlignment="1">
      <alignment horizontal="center" vertical="center"/>
    </xf>
    <xf numFmtId="0" fontId="2" fillId="0" borderId="1" xfId="1" applyFont="1" applyBorder="1" applyAlignment="1">
      <alignment horizontal="center" vertical="center"/>
    </xf>
    <xf numFmtId="0" fontId="2" fillId="9" borderId="1" xfId="1" applyFont="1" applyFill="1" applyBorder="1" applyAlignment="1">
      <alignment horizontal="center" vertical="center"/>
    </xf>
    <xf numFmtId="0" fontId="2" fillId="9" borderId="10" xfId="1" applyFont="1" applyFill="1" applyBorder="1" applyAlignment="1">
      <alignment horizontal="center" vertical="center"/>
    </xf>
    <xf numFmtId="3" fontId="2" fillId="9" borderId="1" xfId="1" applyNumberFormat="1" applyFont="1" applyFill="1" applyBorder="1" applyAlignment="1">
      <alignment horizontal="center" vertical="center"/>
    </xf>
    <xf numFmtId="0" fontId="2" fillId="9" borderId="0" xfId="1" applyFont="1" applyFill="1" applyAlignment="1">
      <alignment horizontal="center" vertical="center"/>
    </xf>
    <xf numFmtId="0" fontId="10" fillId="0" borderId="17" xfId="1" applyFont="1" applyBorder="1" applyAlignment="1">
      <alignment horizontal="center" vertical="center" wrapText="1"/>
    </xf>
    <xf numFmtId="0" fontId="10" fillId="9" borderId="1" xfId="1" applyFont="1" applyFill="1" applyBorder="1" applyAlignment="1">
      <alignment horizontal="center" vertical="center" wrapText="1"/>
    </xf>
    <xf numFmtId="0" fontId="2" fillId="10" borderId="1" xfId="1" applyFont="1" applyFill="1" applyBorder="1" applyAlignment="1">
      <alignment horizontal="center" vertical="center"/>
    </xf>
    <xf numFmtId="0" fontId="2" fillId="10" borderId="10" xfId="1" applyFont="1" applyFill="1" applyBorder="1" applyAlignment="1">
      <alignment horizontal="center" vertical="center"/>
    </xf>
    <xf numFmtId="0" fontId="2" fillId="8" borderId="10" xfId="1" applyFont="1" applyFill="1" applyBorder="1" applyAlignment="1">
      <alignment horizontal="center" vertical="center"/>
    </xf>
    <xf numFmtId="3" fontId="2" fillId="8" borderId="1" xfId="1"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2" fillId="11" borderId="1" xfId="1" applyFont="1" applyFill="1" applyBorder="1" applyAlignment="1">
      <alignment horizontal="center" vertical="center"/>
    </xf>
    <xf numFmtId="0" fontId="2" fillId="11" borderId="10" xfId="1" applyFont="1" applyFill="1" applyBorder="1" applyAlignment="1">
      <alignment horizontal="center" vertical="center"/>
    </xf>
    <xf numFmtId="0" fontId="2" fillId="12" borderId="1" xfId="1" applyFont="1" applyFill="1" applyBorder="1" applyAlignment="1">
      <alignment horizontal="center" vertical="center"/>
    </xf>
    <xf numFmtId="0" fontId="2" fillId="12" borderId="10" xfId="1" applyFont="1" applyFill="1" applyBorder="1" applyAlignment="1">
      <alignment horizontal="center" vertical="center"/>
    </xf>
    <xf numFmtId="3" fontId="2" fillId="12" borderId="1" xfId="1" applyNumberFormat="1" applyFont="1" applyFill="1" applyBorder="1" applyAlignment="1">
      <alignment horizontal="center" vertical="center"/>
    </xf>
    <xf numFmtId="0" fontId="10" fillId="12" borderId="1" xfId="1" applyFont="1" applyFill="1" applyBorder="1" applyAlignment="1">
      <alignment horizontal="center" vertical="center" wrapText="1"/>
    </xf>
    <xf numFmtId="0" fontId="2" fillId="13" borderId="1" xfId="1" applyFont="1" applyFill="1" applyBorder="1" applyAlignment="1">
      <alignment horizontal="center" vertical="center"/>
    </xf>
    <xf numFmtId="0" fontId="2" fillId="13" borderId="10" xfId="1" applyFont="1" applyFill="1" applyBorder="1" applyAlignment="1">
      <alignment horizontal="center" vertical="center"/>
    </xf>
    <xf numFmtId="0" fontId="2" fillId="14" borderId="1" xfId="1" applyFont="1" applyFill="1" applyBorder="1" applyAlignment="1">
      <alignment horizontal="center" vertical="center"/>
    </xf>
    <xf numFmtId="0" fontId="2" fillId="14" borderId="10" xfId="1" applyFont="1" applyFill="1" applyBorder="1" applyAlignment="1">
      <alignment horizontal="center" vertical="center"/>
    </xf>
    <xf numFmtId="3" fontId="2" fillId="14" borderId="2" xfId="1" applyNumberFormat="1" applyFont="1" applyFill="1" applyBorder="1" applyAlignment="1">
      <alignment horizontal="center" vertical="center"/>
    </xf>
    <xf numFmtId="0" fontId="2" fillId="15" borderId="1" xfId="1" applyFont="1" applyFill="1" applyBorder="1" applyAlignment="1">
      <alignment horizontal="center" vertical="center"/>
    </xf>
    <xf numFmtId="0" fontId="2" fillId="15" borderId="10" xfId="1" applyFont="1" applyFill="1" applyBorder="1" applyAlignment="1">
      <alignment horizontal="center" vertical="center"/>
    </xf>
    <xf numFmtId="3" fontId="2" fillId="15" borderId="1" xfId="1" applyNumberFormat="1" applyFont="1" applyFill="1" applyBorder="1" applyAlignment="1">
      <alignment horizontal="center" vertical="center"/>
    </xf>
    <xf numFmtId="0" fontId="10" fillId="15" borderId="1" xfId="1" applyFont="1" applyFill="1" applyBorder="1" applyAlignment="1">
      <alignment horizontal="center" vertical="center" wrapText="1"/>
    </xf>
    <xf numFmtId="0" fontId="2" fillId="16" borderId="1" xfId="1" applyFont="1" applyFill="1" applyBorder="1" applyAlignment="1">
      <alignment horizontal="center" vertical="center"/>
    </xf>
    <xf numFmtId="0" fontId="2" fillId="16" borderId="10" xfId="1" applyFont="1" applyFill="1" applyBorder="1" applyAlignment="1">
      <alignment horizontal="center" vertical="center"/>
    </xf>
    <xf numFmtId="0" fontId="2" fillId="17" borderId="1" xfId="1" applyFont="1" applyFill="1" applyBorder="1" applyAlignment="1">
      <alignment horizontal="center" vertical="center"/>
    </xf>
    <xf numFmtId="0" fontId="2" fillId="17" borderId="10" xfId="1" applyFont="1" applyFill="1" applyBorder="1" applyAlignment="1">
      <alignment horizontal="center" vertical="center"/>
    </xf>
    <xf numFmtId="3" fontId="2" fillId="17" borderId="1" xfId="1" applyNumberFormat="1" applyFont="1" applyFill="1" applyBorder="1" applyAlignment="1">
      <alignment horizontal="center" vertical="center"/>
    </xf>
    <xf numFmtId="0" fontId="10" fillId="17" borderId="1" xfId="1" applyFont="1" applyFill="1" applyBorder="1" applyAlignment="1">
      <alignment horizontal="center" vertical="center" wrapText="1"/>
    </xf>
    <xf numFmtId="0" fontId="2" fillId="18" borderId="1" xfId="1" applyFont="1" applyFill="1" applyBorder="1" applyAlignment="1">
      <alignment horizontal="center" vertical="center"/>
    </xf>
    <xf numFmtId="0" fontId="2" fillId="18" borderId="10" xfId="1" applyFont="1" applyFill="1" applyBorder="1" applyAlignment="1">
      <alignment horizontal="center" vertical="center"/>
    </xf>
    <xf numFmtId="3" fontId="2" fillId="18" borderId="1" xfId="1" applyNumberFormat="1" applyFont="1" applyFill="1" applyBorder="1" applyAlignment="1">
      <alignment horizontal="center" vertical="center"/>
    </xf>
    <xf numFmtId="0" fontId="10" fillId="18" borderId="1" xfId="1" applyFont="1" applyFill="1" applyBorder="1" applyAlignment="1">
      <alignment horizontal="center" vertical="center"/>
    </xf>
    <xf numFmtId="0" fontId="2" fillId="19" borderId="1" xfId="1" applyFont="1" applyFill="1" applyBorder="1" applyAlignment="1">
      <alignment horizontal="center" vertical="center"/>
    </xf>
    <xf numFmtId="0" fontId="2" fillId="19" borderId="10" xfId="1" applyFont="1" applyFill="1" applyBorder="1" applyAlignment="1">
      <alignment horizontal="center" vertical="center"/>
    </xf>
    <xf numFmtId="0" fontId="2" fillId="20" borderId="1" xfId="1" applyFont="1" applyFill="1" applyBorder="1" applyAlignment="1">
      <alignment horizontal="center" vertical="center"/>
    </xf>
    <xf numFmtId="0" fontId="2" fillId="20" borderId="10" xfId="1" applyFont="1" applyFill="1" applyBorder="1" applyAlignment="1">
      <alignment horizontal="center" vertical="center"/>
    </xf>
    <xf numFmtId="3" fontId="2" fillId="20" borderId="1" xfId="1" applyNumberFormat="1" applyFont="1" applyFill="1" applyBorder="1" applyAlignment="1">
      <alignment horizontal="center" vertical="center"/>
    </xf>
    <xf numFmtId="0" fontId="2" fillId="21" borderId="1" xfId="1" applyFont="1" applyFill="1" applyBorder="1" applyAlignment="1">
      <alignment horizontal="center" vertical="center"/>
    </xf>
    <xf numFmtId="0" fontId="2" fillId="21" borderId="10" xfId="1" applyFont="1" applyFill="1" applyBorder="1" applyAlignment="1">
      <alignment horizontal="center" vertical="center"/>
    </xf>
    <xf numFmtId="3" fontId="2" fillId="21" borderId="1" xfId="1" applyNumberFormat="1" applyFont="1" applyFill="1" applyBorder="1" applyAlignment="1">
      <alignment horizontal="center" vertical="center"/>
    </xf>
    <xf numFmtId="0" fontId="2" fillId="22" borderId="1" xfId="1" applyFont="1" applyFill="1" applyBorder="1" applyAlignment="1">
      <alignment horizontal="center" vertical="center"/>
    </xf>
    <xf numFmtId="0" fontId="2" fillId="22" borderId="10" xfId="1" applyFont="1" applyFill="1" applyBorder="1" applyAlignment="1">
      <alignment horizontal="center" vertical="center"/>
    </xf>
    <xf numFmtId="3" fontId="2" fillId="22" borderId="1" xfId="1" applyNumberFormat="1" applyFont="1" applyFill="1" applyBorder="1" applyAlignment="1">
      <alignment horizontal="center" vertical="center"/>
    </xf>
    <xf numFmtId="0" fontId="2" fillId="23" borderId="1" xfId="1" applyFont="1" applyFill="1" applyBorder="1" applyAlignment="1">
      <alignment horizontal="center" vertical="center"/>
    </xf>
    <xf numFmtId="0" fontId="2" fillId="23" borderId="10" xfId="1" applyFont="1" applyFill="1" applyBorder="1" applyAlignment="1">
      <alignment horizontal="center" vertical="center"/>
    </xf>
    <xf numFmtId="3" fontId="2" fillId="23" borderId="1" xfId="1" applyNumberFormat="1" applyFont="1" applyFill="1" applyBorder="1" applyAlignment="1">
      <alignment horizontal="center" vertical="center"/>
    </xf>
    <xf numFmtId="0" fontId="2" fillId="24" borderId="1" xfId="1" applyFont="1" applyFill="1" applyBorder="1" applyAlignment="1">
      <alignment horizontal="center" vertical="center"/>
    </xf>
    <xf numFmtId="0" fontId="2" fillId="24" borderId="10" xfId="1" applyFont="1" applyFill="1" applyBorder="1" applyAlignment="1">
      <alignment horizontal="center" vertical="center"/>
    </xf>
    <xf numFmtId="3" fontId="2" fillId="24" borderId="1" xfId="1" applyNumberFormat="1" applyFont="1" applyFill="1" applyBorder="1" applyAlignment="1">
      <alignment horizontal="center" vertical="center"/>
    </xf>
    <xf numFmtId="0" fontId="2" fillId="25" borderId="1" xfId="1" applyFont="1" applyFill="1" applyBorder="1" applyAlignment="1">
      <alignment horizontal="center" vertical="center"/>
    </xf>
    <xf numFmtId="0" fontId="2" fillId="25" borderId="10" xfId="1" applyFont="1" applyFill="1" applyBorder="1" applyAlignment="1">
      <alignment horizontal="center" vertical="center"/>
    </xf>
    <xf numFmtId="3" fontId="2" fillId="25" borderId="1" xfId="1" applyNumberFormat="1" applyFont="1" applyFill="1" applyBorder="1" applyAlignment="1">
      <alignment horizontal="center" vertical="center"/>
    </xf>
    <xf numFmtId="0" fontId="2" fillId="26" borderId="1" xfId="1" applyFont="1" applyFill="1" applyBorder="1" applyAlignment="1">
      <alignment horizontal="center" vertical="center"/>
    </xf>
    <xf numFmtId="0" fontId="2" fillId="26" borderId="10" xfId="1" applyFont="1" applyFill="1" applyBorder="1" applyAlignment="1">
      <alignment horizontal="center" vertical="center"/>
    </xf>
    <xf numFmtId="3" fontId="2" fillId="26" borderId="1" xfId="1" applyNumberFormat="1" applyFont="1" applyFill="1" applyBorder="1" applyAlignment="1">
      <alignment horizontal="center" vertical="center"/>
    </xf>
    <xf numFmtId="0" fontId="2" fillId="10" borderId="14" xfId="1" applyFont="1" applyFill="1" applyBorder="1" applyAlignment="1">
      <alignment horizontal="center" vertical="center"/>
    </xf>
    <xf numFmtId="0" fontId="2" fillId="10" borderId="18" xfId="1" applyFont="1" applyFill="1" applyBorder="1" applyAlignment="1">
      <alignment horizontal="center" vertical="center"/>
    </xf>
    <xf numFmtId="0" fontId="2" fillId="10" borderId="15" xfId="1" applyFont="1" applyFill="1" applyBorder="1" applyAlignment="1">
      <alignment horizontal="center" vertical="center"/>
    </xf>
    <xf numFmtId="0" fontId="2" fillId="11" borderId="14" xfId="1" applyFont="1" applyFill="1" applyBorder="1" applyAlignment="1">
      <alignment horizontal="center" vertical="center"/>
    </xf>
    <xf numFmtId="0" fontId="2" fillId="11" borderId="15" xfId="1" applyFont="1" applyFill="1" applyBorder="1" applyAlignment="1">
      <alignment horizontal="center" vertical="center"/>
    </xf>
    <xf numFmtId="0" fontId="2" fillId="13" borderId="14" xfId="1" applyFont="1" applyFill="1" applyBorder="1" applyAlignment="1">
      <alignment horizontal="center" vertical="center"/>
    </xf>
    <xf numFmtId="0" fontId="2" fillId="13" borderId="15" xfId="1" applyFont="1" applyFill="1" applyBorder="1" applyAlignment="1">
      <alignment horizontal="center" vertical="center"/>
    </xf>
    <xf numFmtId="0" fontId="2" fillId="14" borderId="15" xfId="1" applyFont="1" applyFill="1" applyBorder="1" applyAlignment="1">
      <alignment horizontal="center" vertical="center"/>
    </xf>
    <xf numFmtId="0" fontId="2" fillId="11" borderId="18" xfId="1" applyFont="1" applyFill="1" applyBorder="1" applyAlignment="1">
      <alignment horizontal="center" vertical="center"/>
    </xf>
    <xf numFmtId="0" fontId="2" fillId="16" borderId="14" xfId="1" applyFont="1" applyFill="1" applyBorder="1" applyAlignment="1">
      <alignment horizontal="center" vertical="center"/>
    </xf>
    <xf numFmtId="0" fontId="2" fillId="16" borderId="15" xfId="1" applyFont="1" applyFill="1" applyBorder="1" applyAlignment="1">
      <alignment horizontal="center" vertical="center"/>
    </xf>
    <xf numFmtId="0" fontId="2" fillId="19" borderId="14" xfId="1" applyFont="1" applyFill="1" applyBorder="1" applyAlignment="1">
      <alignment horizontal="center" vertical="center"/>
    </xf>
    <xf numFmtId="0" fontId="2" fillId="19" borderId="15" xfId="1" applyFont="1" applyFill="1" applyBorder="1" applyAlignment="1">
      <alignment horizontal="center" vertical="center"/>
    </xf>
    <xf numFmtId="0" fontId="2" fillId="20" borderId="14" xfId="1" applyFont="1" applyFill="1" applyBorder="1" applyAlignment="1">
      <alignment horizontal="center" vertical="center"/>
    </xf>
    <xf numFmtId="0" fontId="2" fillId="20" borderId="18" xfId="1" applyFont="1" applyFill="1" applyBorder="1" applyAlignment="1">
      <alignment horizontal="center" vertical="center"/>
    </xf>
    <xf numFmtId="0" fontId="2" fillId="20" borderId="15" xfId="1" applyFont="1" applyFill="1" applyBorder="1" applyAlignment="1">
      <alignment horizontal="center" vertical="center"/>
    </xf>
    <xf numFmtId="0" fontId="10" fillId="20" borderId="1" xfId="1" applyFont="1" applyFill="1" applyBorder="1" applyAlignment="1">
      <alignment horizontal="center" vertical="center" wrapText="1"/>
    </xf>
    <xf numFmtId="0" fontId="2" fillId="27" borderId="1" xfId="1" applyFont="1" applyFill="1" applyBorder="1" applyAlignment="1">
      <alignment horizontal="center" vertical="center"/>
    </xf>
    <xf numFmtId="0" fontId="2" fillId="27" borderId="10" xfId="1" applyFont="1" applyFill="1" applyBorder="1" applyAlignment="1">
      <alignment horizontal="center" vertical="center"/>
    </xf>
    <xf numFmtId="0" fontId="2" fillId="27" borderId="14" xfId="1" applyFont="1" applyFill="1" applyBorder="1" applyAlignment="1">
      <alignment horizontal="center" vertical="center"/>
    </xf>
    <xf numFmtId="0" fontId="2" fillId="27" borderId="15" xfId="1" applyFont="1" applyFill="1" applyBorder="1" applyAlignment="1">
      <alignment horizontal="center" vertical="center"/>
    </xf>
    <xf numFmtId="0" fontId="11" fillId="3" borderId="6" xfId="2" applyFont="1" applyFill="1" applyBorder="1" applyAlignment="1">
      <alignment horizontal="center" vertical="center"/>
    </xf>
    <xf numFmtId="3" fontId="11" fillId="3" borderId="6" xfId="2" applyNumberFormat="1" applyFont="1" applyFill="1" applyBorder="1" applyAlignment="1">
      <alignment horizontal="center" vertical="center"/>
    </xf>
    <xf numFmtId="3" fontId="11" fillId="3" borderId="7" xfId="2" applyNumberFormat="1" applyFont="1" applyFill="1" applyBorder="1" applyAlignment="1">
      <alignment horizontal="center" vertical="center"/>
    </xf>
    <xf numFmtId="49" fontId="8" fillId="2" borderId="11" xfId="2" applyNumberFormat="1" applyFont="1" applyFill="1" applyBorder="1" applyAlignment="1">
      <alignment horizontal="center" vertical="center"/>
    </xf>
    <xf numFmtId="49" fontId="9" fillId="4" borderId="19" xfId="1" applyNumberFormat="1" applyFont="1" applyFill="1" applyBorder="1" applyAlignment="1">
      <alignment horizontal="center" vertical="center"/>
    </xf>
    <xf numFmtId="3" fontId="9" fillId="4" borderId="19" xfId="1" applyNumberFormat="1" applyFont="1" applyFill="1" applyBorder="1" applyAlignment="1">
      <alignment horizontal="center" vertical="center"/>
    </xf>
    <xf numFmtId="0" fontId="2" fillId="0" borderId="1" xfId="1" applyFont="1" applyBorder="1" applyAlignment="1">
      <alignment horizontal="right" vertical="center"/>
    </xf>
    <xf numFmtId="3" fontId="12" fillId="0" borderId="1" xfId="1" applyNumberFormat="1" applyFont="1" applyBorder="1" applyAlignment="1">
      <alignment horizontal="center" vertical="center"/>
    </xf>
    <xf numFmtId="3" fontId="10" fillId="0" borderId="1" xfId="1" applyNumberFormat="1" applyFont="1" applyBorder="1" applyAlignment="1">
      <alignment horizontal="center" vertical="center"/>
    </xf>
    <xf numFmtId="0" fontId="10" fillId="2" borderId="1" xfId="1" applyFont="1" applyFill="1" applyBorder="1" applyAlignment="1">
      <alignment horizontal="right" vertical="center"/>
    </xf>
    <xf numFmtId="0" fontId="10" fillId="0" borderId="1" xfId="1" applyFont="1" applyBorder="1" applyAlignment="1">
      <alignment horizontal="right" vertical="center"/>
    </xf>
    <xf numFmtId="0" fontId="2" fillId="28" borderId="0" xfId="0" applyFont="1" applyFill="1"/>
    <xf numFmtId="0" fontId="2" fillId="4" borderId="0" xfId="0" applyFont="1" applyFill="1"/>
    <xf numFmtId="0" fontId="14" fillId="2" borderId="8" xfId="2" applyFont="1" applyFill="1" applyBorder="1" applyAlignment="1">
      <alignment horizontal="center" vertical="center"/>
    </xf>
    <xf numFmtId="0" fontId="14" fillId="4" borderId="9" xfId="2" applyFont="1" applyFill="1" applyBorder="1" applyAlignment="1">
      <alignment horizontal="center" vertical="center"/>
    </xf>
    <xf numFmtId="3" fontId="14" fillId="5" borderId="9" xfId="2" applyNumberFormat="1" applyFont="1" applyFill="1" applyBorder="1" applyAlignment="1">
      <alignment horizontal="center" vertical="center"/>
    </xf>
    <xf numFmtId="3" fontId="14" fillId="6" borderId="9" xfId="2" applyNumberFormat="1" applyFont="1" applyFill="1" applyBorder="1" applyAlignment="1">
      <alignment horizontal="center" vertical="center"/>
    </xf>
    <xf numFmtId="3" fontId="14" fillId="7" borderId="9" xfId="2" applyNumberFormat="1" applyFont="1" applyFill="1" applyBorder="1" applyAlignment="1">
      <alignment horizontal="center" vertical="center"/>
    </xf>
    <xf numFmtId="0" fontId="14" fillId="2" borderId="12" xfId="2" applyFont="1" applyFill="1" applyBorder="1" applyAlignment="1">
      <alignment horizontal="center" vertical="center"/>
    </xf>
    <xf numFmtId="0" fontId="14" fillId="4" borderId="6" xfId="2" applyFont="1" applyFill="1" applyBorder="1" applyAlignment="1">
      <alignment horizontal="center" vertical="center"/>
    </xf>
    <xf numFmtId="3" fontId="14" fillId="5" borderId="6" xfId="2" applyNumberFormat="1" applyFont="1" applyFill="1" applyBorder="1" applyAlignment="1">
      <alignment horizontal="center" vertical="center"/>
    </xf>
    <xf numFmtId="3" fontId="14" fillId="6" borderId="6" xfId="2" applyNumberFormat="1" applyFont="1" applyFill="1" applyBorder="1" applyAlignment="1">
      <alignment horizontal="center" vertical="center"/>
    </xf>
    <xf numFmtId="3" fontId="14" fillId="7" borderId="6" xfId="2" applyNumberFormat="1" applyFont="1" applyFill="1" applyBorder="1" applyAlignment="1">
      <alignment horizontal="center" vertical="center"/>
    </xf>
    <xf numFmtId="3" fontId="2" fillId="2" borderId="1" xfId="1" applyNumberFormat="1" applyFont="1" applyFill="1" applyBorder="1" applyAlignment="1">
      <alignment horizontal="center" vertical="center"/>
    </xf>
    <xf numFmtId="166" fontId="0" fillId="0" borderId="0" xfId="0" applyNumberFormat="1"/>
    <xf numFmtId="0" fontId="2" fillId="0" borderId="0" xfId="0" applyFont="1" applyAlignment="1">
      <alignment horizontal="right" vertical="center"/>
    </xf>
    <xf numFmtId="0" fontId="2" fillId="0" borderId="0" xfId="0" applyFont="1" applyAlignment="1">
      <alignment horizontal="center" vertical="center"/>
    </xf>
    <xf numFmtId="0" fontId="2" fillId="19" borderId="0" xfId="1" applyFont="1" applyFill="1" applyAlignment="1">
      <alignment horizontal="left" vertical="center"/>
    </xf>
    <xf numFmtId="0" fontId="2" fillId="32" borderId="0" xfId="0" applyFont="1" applyFill="1"/>
    <xf numFmtId="0" fontId="23" fillId="0" borderId="0" xfId="1" applyFont="1" applyAlignment="1">
      <alignment horizontal="center" vertical="center"/>
    </xf>
    <xf numFmtId="0" fontId="24" fillId="0" borderId="0" xfId="0" applyFont="1"/>
    <xf numFmtId="0" fontId="0" fillId="35" borderId="0" xfId="0" applyFill="1"/>
    <xf numFmtId="0" fontId="21" fillId="35" borderId="0" xfId="0" applyFont="1" applyFill="1" applyAlignment="1">
      <alignment horizontal="right" vertical="center" indent="1"/>
    </xf>
    <xf numFmtId="0" fontId="18" fillId="35" borderId="0" xfId="0" applyFont="1" applyFill="1"/>
    <xf numFmtId="0" fontId="20" fillId="35" borderId="0" xfId="0" applyFont="1" applyFill="1" applyAlignment="1">
      <alignment horizontal="right" indent="1"/>
    </xf>
    <xf numFmtId="0" fontId="0" fillId="36" borderId="0" xfId="0" applyFill="1"/>
    <xf numFmtId="0" fontId="12" fillId="36" borderId="0" xfId="0" applyFont="1" applyFill="1" applyAlignment="1">
      <alignment horizontal="center" vertical="center"/>
    </xf>
    <xf numFmtId="0" fontId="12" fillId="36" borderId="0" xfId="0" applyFont="1" applyFill="1" applyAlignment="1">
      <alignment horizontal="right" vertical="center" readingOrder="2"/>
    </xf>
    <xf numFmtId="0" fontId="12" fillId="36" borderId="0" xfId="0" applyFont="1" applyFill="1" applyAlignment="1">
      <alignment horizontal="center" vertical="center" readingOrder="2"/>
    </xf>
    <xf numFmtId="0" fontId="15" fillId="36" borderId="0" xfId="0" applyFont="1" applyFill="1" applyAlignment="1">
      <alignment horizontal="center" vertical="center"/>
    </xf>
    <xf numFmtId="0" fontId="16" fillId="36" borderId="0" xfId="0" applyFont="1" applyFill="1" applyAlignment="1">
      <alignment vertical="center"/>
    </xf>
    <xf numFmtId="166" fontId="15" fillId="36" borderId="0" xfId="3" applyNumberFormat="1" applyFont="1" applyFill="1" applyBorder="1" applyAlignment="1">
      <alignment horizontal="right" vertical="center"/>
    </xf>
    <xf numFmtId="166" fontId="15" fillId="36" borderId="0" xfId="3" applyNumberFormat="1" applyFont="1" applyFill="1" applyBorder="1" applyAlignment="1">
      <alignment vertical="center"/>
    </xf>
    <xf numFmtId="9" fontId="17" fillId="36" borderId="0" xfId="4" applyFont="1" applyFill="1" applyBorder="1" applyAlignment="1">
      <alignment horizontal="right" vertical="center"/>
    </xf>
    <xf numFmtId="167" fontId="17" fillId="36" borderId="0" xfId="4" applyNumberFormat="1" applyFont="1" applyFill="1" applyBorder="1" applyAlignment="1">
      <alignment horizontal="center" vertical="center"/>
    </xf>
    <xf numFmtId="166" fontId="19" fillId="37" borderId="0" xfId="3" applyNumberFormat="1" applyFont="1" applyFill="1" applyBorder="1" applyAlignment="1">
      <alignment horizontal="center" vertical="center"/>
    </xf>
    <xf numFmtId="0" fontId="0" fillId="38" borderId="0" xfId="0" applyFill="1"/>
    <xf numFmtId="0" fontId="0" fillId="39" borderId="0" xfId="0" applyFill="1"/>
    <xf numFmtId="166" fontId="19" fillId="12" borderId="0" xfId="3" applyNumberFormat="1" applyFont="1" applyFill="1" applyBorder="1" applyAlignment="1">
      <alignment horizontal="center" vertical="center"/>
    </xf>
    <xf numFmtId="9" fontId="10" fillId="37" borderId="0" xfId="4" applyFont="1" applyFill="1" applyBorder="1" applyAlignment="1">
      <alignment horizontal="right" vertical="center"/>
    </xf>
    <xf numFmtId="9" fontId="10" fillId="12" borderId="0" xfId="4" applyFont="1" applyFill="1" applyBorder="1" applyAlignment="1">
      <alignment horizontal="right" vertical="center"/>
    </xf>
    <xf numFmtId="166" fontId="2" fillId="0" borderId="0" xfId="3" applyNumberFormat="1" applyFont="1" applyAlignment="1">
      <alignment horizontal="right" vertical="center"/>
    </xf>
    <xf numFmtId="166" fontId="2" fillId="0" borderId="0" xfId="0" applyNumberFormat="1" applyFont="1" applyAlignment="1">
      <alignment horizontal="right" vertical="center"/>
    </xf>
    <xf numFmtId="166" fontId="2" fillId="0" borderId="0" xfId="1" applyNumberFormat="1" applyFont="1" applyAlignment="1">
      <alignment horizontal="right" vertical="center"/>
    </xf>
    <xf numFmtId="0" fontId="26" fillId="0" borderId="0" xfId="1" applyFont="1" applyAlignment="1">
      <alignment horizontal="center" vertical="center"/>
    </xf>
    <xf numFmtId="0" fontId="19" fillId="0" borderId="0" xfId="1" applyFont="1" applyAlignment="1">
      <alignment horizontal="center" vertical="center"/>
    </xf>
    <xf numFmtId="3" fontId="19" fillId="0" borderId="1" xfId="1" applyNumberFormat="1" applyFont="1" applyBorder="1" applyAlignment="1">
      <alignment horizontal="center" vertical="center"/>
    </xf>
    <xf numFmtId="0" fontId="27" fillId="0" borderId="0" xfId="1" applyFont="1" applyAlignment="1">
      <alignment horizontal="center" vertical="center"/>
    </xf>
    <xf numFmtId="0" fontId="19" fillId="0" borderId="1" xfId="1" applyFont="1" applyBorder="1" applyAlignment="1">
      <alignment horizontal="center" vertical="center"/>
    </xf>
    <xf numFmtId="165" fontId="19" fillId="0" borderId="1" xfId="1" applyNumberFormat="1" applyFont="1" applyBorder="1" applyAlignment="1">
      <alignment horizontal="center" vertical="center"/>
    </xf>
    <xf numFmtId="0" fontId="26" fillId="41" borderId="0" xfId="1" applyFont="1" applyFill="1" applyAlignment="1">
      <alignment horizontal="center" vertical="center"/>
    </xf>
    <xf numFmtId="0" fontId="0" fillId="42" borderId="0" xfId="0" applyFill="1"/>
    <xf numFmtId="0" fontId="2" fillId="29" borderId="0" xfId="0" applyFont="1" applyFill="1"/>
    <xf numFmtId="0" fontId="2" fillId="34" borderId="1" xfId="0" applyFont="1" applyFill="1" applyBorder="1"/>
    <xf numFmtId="0" fontId="2" fillId="40" borderId="30" xfId="0" applyFont="1" applyFill="1" applyBorder="1"/>
    <xf numFmtId="0" fontId="2" fillId="40" borderId="0" xfId="0" applyFont="1" applyFill="1"/>
    <xf numFmtId="0" fontId="2" fillId="0" borderId="0" xfId="0" applyFont="1"/>
    <xf numFmtId="0" fontId="2" fillId="0" borderId="0" xfId="0" pivotButton="1" applyFont="1"/>
    <xf numFmtId="0" fontId="2" fillId="0" borderId="0" xfId="0" applyFont="1" applyAlignment="1">
      <alignment horizontal="right"/>
    </xf>
    <xf numFmtId="0" fontId="2" fillId="30" borderId="0" xfId="0" applyFont="1" applyFill="1"/>
    <xf numFmtId="0" fontId="10" fillId="0" borderId="0" xfId="0" applyFont="1"/>
    <xf numFmtId="0" fontId="2" fillId="0" borderId="3" xfId="0" applyFont="1" applyBorder="1"/>
    <xf numFmtId="3" fontId="2" fillId="0" borderId="31" xfId="0" applyNumberFormat="1" applyFont="1" applyBorder="1"/>
    <xf numFmtId="0" fontId="2" fillId="0" borderId="0" xfId="0" applyFont="1" applyAlignment="1">
      <alignment horizontal="right" readingOrder="2"/>
    </xf>
    <xf numFmtId="0" fontId="2" fillId="4" borderId="1" xfId="0" applyFont="1" applyFill="1" applyBorder="1"/>
    <xf numFmtId="0" fontId="2" fillId="0" borderId="1" xfId="0" applyFont="1" applyBorder="1"/>
    <xf numFmtId="9" fontId="2" fillId="0" borderId="0" xfId="4" applyFont="1"/>
    <xf numFmtId="170" fontId="2" fillId="0" borderId="0" xfId="0" applyNumberFormat="1" applyFont="1"/>
    <xf numFmtId="166" fontId="2" fillId="0" borderId="0" xfId="0" applyNumberFormat="1" applyFont="1"/>
    <xf numFmtId="167" fontId="2" fillId="0" borderId="0" xfId="4" applyNumberFormat="1" applyFont="1"/>
    <xf numFmtId="167" fontId="2" fillId="0" borderId="0" xfId="0" applyNumberFormat="1" applyFont="1"/>
    <xf numFmtId="0" fontId="2" fillId="0" borderId="1" xfId="0" applyFont="1" applyBorder="1" applyAlignment="1">
      <alignment horizontal="right"/>
    </xf>
    <xf numFmtId="166" fontId="2" fillId="0" borderId="1" xfId="0" applyNumberFormat="1" applyFont="1" applyBorder="1"/>
    <xf numFmtId="9" fontId="2" fillId="0" borderId="1" xfId="4" applyFont="1" applyBorder="1"/>
    <xf numFmtId="9" fontId="2" fillId="0" borderId="0" xfId="4" applyFont="1" applyBorder="1"/>
    <xf numFmtId="168" fontId="2" fillId="0" borderId="1" xfId="0" applyNumberFormat="1" applyFont="1" applyBorder="1"/>
    <xf numFmtId="0" fontId="2" fillId="0" borderId="13" xfId="0" applyFont="1" applyBorder="1"/>
    <xf numFmtId="166" fontId="2" fillId="0" borderId="1" xfId="3" applyNumberFormat="1" applyFont="1" applyBorder="1"/>
    <xf numFmtId="166" fontId="2" fillId="0" borderId="0" xfId="3" applyNumberFormat="1" applyFont="1"/>
    <xf numFmtId="168" fontId="2" fillId="0" borderId="0" xfId="0" applyNumberFormat="1" applyFont="1"/>
    <xf numFmtId="169" fontId="2" fillId="0" borderId="0" xfId="0" applyNumberFormat="1" applyFont="1"/>
    <xf numFmtId="171" fontId="2" fillId="0" borderId="1" xfId="0" applyNumberFormat="1" applyFont="1" applyBorder="1"/>
    <xf numFmtId="166" fontId="2" fillId="0" borderId="0" xfId="3" applyNumberFormat="1" applyFont="1" applyBorder="1"/>
    <xf numFmtId="0" fontId="2" fillId="0" borderId="14" xfId="0" applyFont="1" applyBorder="1"/>
    <xf numFmtId="0" fontId="2" fillId="0" borderId="17" xfId="0" applyFont="1" applyBorder="1"/>
    <xf numFmtId="0" fontId="2" fillId="0" borderId="18" xfId="0" applyFont="1" applyBorder="1"/>
    <xf numFmtId="0" fontId="2" fillId="0" borderId="28" xfId="0" applyFont="1" applyBorder="1"/>
    <xf numFmtId="171" fontId="2" fillId="0" borderId="0" xfId="0" applyNumberFormat="1" applyFont="1"/>
    <xf numFmtId="0" fontId="2" fillId="0" borderId="29" xfId="0" applyFont="1" applyBorder="1"/>
    <xf numFmtId="0" fontId="29" fillId="35" borderId="0" xfId="0" applyFont="1" applyFill="1" applyAlignment="1">
      <alignment horizontal="right" vertical="center" indent="1"/>
    </xf>
    <xf numFmtId="166" fontId="2" fillId="37" borderId="0" xfId="3" applyNumberFormat="1" applyFont="1" applyFill="1" applyBorder="1" applyAlignment="1">
      <alignment horizontal="center" vertical="center"/>
    </xf>
    <xf numFmtId="9" fontId="26" fillId="0" borderId="0" xfId="4" applyFont="1" applyAlignment="1">
      <alignment horizontal="center" vertical="center"/>
    </xf>
    <xf numFmtId="9" fontId="27" fillId="0" borderId="0" xfId="4" applyFont="1" applyAlignment="1">
      <alignment horizontal="center" vertical="center"/>
    </xf>
    <xf numFmtId="9" fontId="19" fillId="0" borderId="0" xfId="4" applyFont="1" applyAlignment="1">
      <alignment horizontal="center" vertical="center"/>
    </xf>
    <xf numFmtId="0" fontId="19" fillId="37" borderId="0" xfId="0" applyFont="1" applyFill="1" applyAlignment="1">
      <alignment horizontal="center" vertical="center"/>
    </xf>
    <xf numFmtId="165" fontId="19" fillId="37" borderId="0" xfId="0" applyNumberFormat="1" applyFont="1" applyFill="1" applyAlignment="1">
      <alignment horizontal="center" vertical="center"/>
    </xf>
    <xf numFmtId="0" fontId="19" fillId="12" borderId="14" xfId="0" applyFont="1" applyFill="1" applyBorder="1" applyAlignment="1">
      <alignment horizontal="center" vertical="center"/>
    </xf>
    <xf numFmtId="0" fontId="19" fillId="12" borderId="32" xfId="0" applyFont="1" applyFill="1" applyBorder="1" applyAlignment="1">
      <alignment horizontal="center" vertical="center"/>
    </xf>
    <xf numFmtId="165" fontId="19" fillId="12" borderId="32" xfId="0" applyNumberFormat="1" applyFont="1" applyFill="1" applyBorder="1" applyAlignment="1">
      <alignment horizontal="center" vertical="center"/>
    </xf>
    <xf numFmtId="166" fontId="2" fillId="12" borderId="32" xfId="3" applyNumberFormat="1" applyFont="1" applyFill="1" applyBorder="1" applyAlignment="1">
      <alignment horizontal="center" vertical="center"/>
    </xf>
    <xf numFmtId="166" fontId="19" fillId="12" borderId="32" xfId="3" applyNumberFormat="1" applyFont="1" applyFill="1" applyBorder="1" applyAlignment="1">
      <alignment horizontal="center" vertical="center"/>
    </xf>
    <xf numFmtId="0" fontId="19" fillId="37" borderId="18" xfId="0" applyFont="1" applyFill="1" applyBorder="1" applyAlignment="1">
      <alignment horizontal="center" vertical="center"/>
    </xf>
    <xf numFmtId="0" fontId="19" fillId="12" borderId="18" xfId="0" applyFont="1" applyFill="1" applyBorder="1" applyAlignment="1">
      <alignment horizontal="center" vertical="center"/>
    </xf>
    <xf numFmtId="0" fontId="19" fillId="12" borderId="0" xfId="0" applyFont="1" applyFill="1" applyAlignment="1">
      <alignment horizontal="center" vertical="center"/>
    </xf>
    <xf numFmtId="165" fontId="19" fillId="12" borderId="0" xfId="0" applyNumberFormat="1" applyFont="1" applyFill="1" applyAlignment="1">
      <alignment horizontal="center" vertical="center"/>
    </xf>
    <xf numFmtId="166" fontId="19" fillId="12" borderId="28" xfId="3" applyNumberFormat="1" applyFont="1" applyFill="1" applyBorder="1" applyAlignment="1">
      <alignment horizontal="center" vertical="center"/>
    </xf>
    <xf numFmtId="166" fontId="19" fillId="37" borderId="28" xfId="3" applyNumberFormat="1" applyFont="1" applyFill="1" applyBorder="1" applyAlignment="1">
      <alignment horizontal="center" vertical="center"/>
    </xf>
    <xf numFmtId="0" fontId="19" fillId="37" borderId="15" xfId="0" applyFont="1" applyFill="1" applyBorder="1" applyAlignment="1">
      <alignment horizontal="center" vertical="center"/>
    </xf>
    <xf numFmtId="0" fontId="19" fillId="37" borderId="33" xfId="0" applyFont="1" applyFill="1" applyBorder="1" applyAlignment="1">
      <alignment horizontal="center" vertical="center"/>
    </xf>
    <xf numFmtId="165" fontId="19" fillId="37" borderId="33" xfId="0" applyNumberFormat="1" applyFont="1" applyFill="1" applyBorder="1" applyAlignment="1">
      <alignment horizontal="center" vertical="center"/>
    </xf>
    <xf numFmtId="166" fontId="19" fillId="37" borderId="33" xfId="3" applyNumberFormat="1" applyFont="1" applyFill="1" applyBorder="1" applyAlignment="1">
      <alignment horizontal="center" vertical="center"/>
    </xf>
    <xf numFmtId="9" fontId="10" fillId="37" borderId="33" xfId="4" applyFont="1" applyFill="1" applyBorder="1" applyAlignment="1">
      <alignment horizontal="right" vertical="center"/>
    </xf>
    <xf numFmtId="166" fontId="19" fillId="37" borderId="29" xfId="3" applyNumberFormat="1" applyFont="1" applyFill="1" applyBorder="1" applyAlignment="1">
      <alignment horizontal="center" vertical="center"/>
    </xf>
    <xf numFmtId="10" fontId="2" fillId="0" borderId="0" xfId="0" applyNumberFormat="1" applyFont="1"/>
    <xf numFmtId="43" fontId="0" fillId="38" borderId="0" xfId="0" applyNumberFormat="1" applyFill="1"/>
    <xf numFmtId="172" fontId="2" fillId="0" borderId="0" xfId="4" applyNumberFormat="1" applyFont="1" applyBorder="1"/>
    <xf numFmtId="0" fontId="21" fillId="0" borderId="0" xfId="0" applyFont="1"/>
    <xf numFmtId="166" fontId="2" fillId="0" borderId="0" xfId="5" applyNumberFormat="1" applyFont="1"/>
    <xf numFmtId="164" fontId="2" fillId="0" borderId="0" xfId="3" applyFont="1"/>
    <xf numFmtId="173" fontId="2" fillId="0" borderId="0" xfId="0" applyNumberFormat="1" applyFont="1"/>
    <xf numFmtId="174" fontId="2" fillId="0" borderId="0" xfId="0" applyNumberFormat="1" applyFont="1"/>
    <xf numFmtId="0" fontId="19" fillId="0" borderId="11" xfId="1" applyFont="1" applyBorder="1" applyAlignment="1">
      <alignment horizontal="center" vertical="center"/>
    </xf>
    <xf numFmtId="3" fontId="19" fillId="0" borderId="11" xfId="1" applyNumberFormat="1" applyFont="1" applyBorder="1" applyAlignment="1">
      <alignment horizontal="center" vertical="center"/>
    </xf>
    <xf numFmtId="9" fontId="27" fillId="0" borderId="0" xfId="4" applyFont="1" applyBorder="1" applyAlignment="1">
      <alignment horizontal="center" vertical="center"/>
    </xf>
    <xf numFmtId="0" fontId="2" fillId="30" borderId="1" xfId="0" applyFont="1" applyFill="1" applyBorder="1" applyAlignment="1">
      <alignment vertical="center"/>
    </xf>
    <xf numFmtId="0" fontId="2" fillId="30" borderId="1" xfId="0" applyFont="1" applyFill="1" applyBorder="1" applyAlignment="1">
      <alignment horizontal="center" vertical="center"/>
    </xf>
    <xf numFmtId="0" fontId="12" fillId="30" borderId="1" xfId="0" applyFont="1" applyFill="1" applyBorder="1" applyAlignment="1">
      <alignment horizontal="center" vertical="center"/>
    </xf>
    <xf numFmtId="0" fontId="2" fillId="31" borderId="1" xfId="0" applyFont="1" applyFill="1" applyBorder="1" applyAlignment="1">
      <alignment horizontal="center" vertical="center"/>
    </xf>
    <xf numFmtId="0" fontId="2" fillId="30" borderId="1" xfId="0" applyFont="1" applyFill="1" applyBorder="1" applyAlignment="1">
      <alignment horizontal="center" vertical="center" readingOrder="2"/>
    </xf>
    <xf numFmtId="3" fontId="2" fillId="0" borderId="0" xfId="0" applyNumberFormat="1" applyFont="1"/>
    <xf numFmtId="165" fontId="27" fillId="0" borderId="11" xfId="1" applyNumberFormat="1" applyFont="1" applyBorder="1" applyAlignment="1">
      <alignment horizontal="center" vertical="center"/>
    </xf>
    <xf numFmtId="165" fontId="27" fillId="0" borderId="1" xfId="1" applyNumberFormat="1" applyFont="1" applyBorder="1" applyAlignment="1">
      <alignment horizontal="center" vertical="center"/>
    </xf>
    <xf numFmtId="41" fontId="2" fillId="0" borderId="0" xfId="6" applyFont="1"/>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30" fillId="0" borderId="0" xfId="0" applyFont="1"/>
    <xf numFmtId="0" fontId="2" fillId="40" borderId="1" xfId="0" applyFont="1" applyFill="1" applyBorder="1" applyAlignment="1">
      <alignment horizontal="center" vertical="center"/>
    </xf>
    <xf numFmtId="0" fontId="32" fillId="38" borderId="0" xfId="0" applyFont="1" applyFill="1"/>
    <xf numFmtId="0" fontId="19" fillId="8" borderId="1" xfId="1" applyFont="1" applyFill="1" applyBorder="1" applyAlignment="1">
      <alignment horizontal="center" vertical="center"/>
    </xf>
    <xf numFmtId="3" fontId="19" fillId="8" borderId="1" xfId="1" applyNumberFormat="1" applyFont="1" applyFill="1" applyBorder="1" applyAlignment="1">
      <alignment horizontal="center" vertical="center"/>
    </xf>
    <xf numFmtId="0" fontId="27" fillId="8" borderId="0" xfId="1" applyFont="1" applyFill="1" applyAlignment="1">
      <alignment horizontal="center" vertical="center"/>
    </xf>
    <xf numFmtId="165" fontId="27" fillId="8" borderId="1" xfId="1" applyNumberFormat="1" applyFont="1" applyFill="1" applyBorder="1" applyAlignment="1">
      <alignment horizontal="center" vertical="center"/>
    </xf>
    <xf numFmtId="9" fontId="27" fillId="8" borderId="0" xfId="4" applyFont="1" applyFill="1" applyAlignment="1">
      <alignment horizontal="center" vertical="center"/>
    </xf>
    <xf numFmtId="3" fontId="0" fillId="0" borderId="0" xfId="0" applyNumberFormat="1"/>
    <xf numFmtId="165" fontId="19" fillId="0" borderId="0" xfId="1" applyNumberFormat="1" applyFont="1" applyAlignment="1">
      <alignment horizontal="center" vertical="center"/>
    </xf>
    <xf numFmtId="175" fontId="2" fillId="0" borderId="1" xfId="0" applyNumberFormat="1" applyFont="1" applyBorder="1"/>
    <xf numFmtId="3" fontId="19" fillId="8" borderId="11" xfId="1" applyNumberFormat="1" applyFont="1" applyFill="1" applyBorder="1" applyAlignment="1">
      <alignment horizontal="center" vertical="center"/>
    </xf>
    <xf numFmtId="3" fontId="2" fillId="0" borderId="0" xfId="1" applyNumberFormat="1" applyFont="1" applyAlignment="1">
      <alignment horizontal="right" vertical="center"/>
    </xf>
    <xf numFmtId="3" fontId="2" fillId="0" borderId="0" xfId="0" applyNumberFormat="1" applyFont="1" applyAlignment="1">
      <alignment horizontal="right" vertical="center"/>
    </xf>
    <xf numFmtId="0" fontId="0" fillId="0" borderId="0" xfId="0" applyAlignment="1">
      <alignment horizontal="center" vertical="center"/>
    </xf>
    <xf numFmtId="0" fontId="19" fillId="0" borderId="29" xfId="1" applyFont="1"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33" fillId="0" borderId="1" xfId="1" applyFont="1" applyBorder="1" applyAlignment="1">
      <alignment horizontal="center" vertical="center"/>
    </xf>
    <xf numFmtId="3" fontId="33" fillId="0" borderId="1" xfId="0" applyNumberFormat="1" applyFont="1" applyBorder="1" applyAlignment="1">
      <alignment horizontal="center" vertical="center"/>
    </xf>
    <xf numFmtId="3" fontId="33" fillId="8" borderId="2" xfId="0" applyNumberFormat="1" applyFont="1" applyFill="1" applyBorder="1" applyAlignment="1">
      <alignment horizontal="center" vertical="center"/>
    </xf>
    <xf numFmtId="3" fontId="33" fillId="8" borderId="1" xfId="0" applyNumberFormat="1" applyFont="1" applyFill="1" applyBorder="1" applyAlignment="1">
      <alignment horizontal="center" vertical="center"/>
    </xf>
    <xf numFmtId="0" fontId="33" fillId="8" borderId="11" xfId="1" applyFont="1" applyFill="1" applyBorder="1" applyAlignment="1">
      <alignment horizontal="center" vertical="center"/>
    </xf>
    <xf numFmtId="3" fontId="33" fillId="8" borderId="11" xfId="0" applyNumberFormat="1" applyFont="1" applyFill="1" applyBorder="1" applyAlignment="1">
      <alignment horizontal="center" vertical="center"/>
    </xf>
    <xf numFmtId="3" fontId="33" fillId="43" borderId="11" xfId="0" applyNumberFormat="1" applyFont="1" applyFill="1" applyBorder="1" applyAlignment="1">
      <alignment horizontal="center" vertical="center"/>
    </xf>
    <xf numFmtId="3" fontId="33" fillId="0" borderId="2" xfId="0" applyNumberFormat="1" applyFont="1" applyBorder="1" applyAlignment="1">
      <alignment horizontal="center" vertical="center"/>
    </xf>
    <xf numFmtId="166" fontId="22" fillId="30" borderId="0" xfId="3" applyNumberFormat="1" applyFont="1" applyFill="1" applyAlignment="1">
      <alignment horizontal="center" vertical="center"/>
    </xf>
    <xf numFmtId="166" fontId="0" fillId="39" borderId="0" xfId="3" applyNumberFormat="1" applyFont="1" applyFill="1" applyAlignment="1">
      <alignment horizontal="center" vertical="center"/>
    </xf>
    <xf numFmtId="166" fontId="22" fillId="0" borderId="0" xfId="3" applyNumberFormat="1" applyFont="1" applyFill="1" applyAlignment="1">
      <alignment horizontal="center" vertical="center"/>
    </xf>
    <xf numFmtId="166" fontId="28" fillId="33" borderId="0" xfId="3" applyNumberFormat="1" applyFont="1" applyFill="1" applyAlignment="1">
      <alignment horizontal="center" vertical="center"/>
    </xf>
    <xf numFmtId="0" fontId="31" fillId="0" borderId="11" xfId="0" applyFont="1" applyBorder="1" applyAlignment="1">
      <alignment horizontal="center" vertical="center"/>
    </xf>
    <xf numFmtId="0" fontId="31" fillId="0" borderId="13" xfId="0" applyFont="1" applyBorder="1" applyAlignment="1">
      <alignment horizontal="center" vertical="center"/>
    </xf>
    <xf numFmtId="0" fontId="31" fillId="0" borderId="2" xfId="0" applyFont="1" applyBorder="1" applyAlignment="1">
      <alignment horizontal="center" vertical="center"/>
    </xf>
    <xf numFmtId="0" fontId="33" fillId="44" borderId="18" xfId="1" applyFont="1" applyFill="1" applyBorder="1" applyAlignment="1">
      <alignment horizontal="center" vertical="center"/>
    </xf>
    <xf numFmtId="0" fontId="33" fillId="44" borderId="0" xfId="1" applyFont="1" applyFill="1" applyAlignment="1">
      <alignment horizontal="center" vertical="center"/>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5" xfId="2" applyFont="1" applyBorder="1" applyAlignment="1">
      <alignment horizontal="center" vertical="center"/>
    </xf>
    <xf numFmtId="3" fontId="7" fillId="0" borderId="20" xfId="2" applyNumberFormat="1" applyFont="1" applyBorder="1" applyAlignment="1">
      <alignment horizontal="right" vertical="center"/>
    </xf>
    <xf numFmtId="3" fontId="7" fillId="0" borderId="21" xfId="2" applyNumberFormat="1" applyFont="1" applyBorder="1" applyAlignment="1">
      <alignment horizontal="right" vertical="center"/>
    </xf>
    <xf numFmtId="3" fontId="7" fillId="0" borderId="22" xfId="2" applyNumberFormat="1" applyFont="1" applyBorder="1" applyAlignment="1">
      <alignment horizontal="right" vertical="center"/>
    </xf>
    <xf numFmtId="3" fontId="7" fillId="0" borderId="23" xfId="2" applyNumberFormat="1" applyFont="1" applyBorder="1" applyAlignment="1">
      <alignment horizontal="right" vertical="center"/>
    </xf>
    <xf numFmtId="3" fontId="7" fillId="0" borderId="0" xfId="2" applyNumberFormat="1" applyFont="1" applyAlignment="1">
      <alignment horizontal="right" vertical="center"/>
    </xf>
    <xf numFmtId="3" fontId="7" fillId="0" borderId="24" xfId="2" applyNumberFormat="1" applyFont="1" applyBorder="1" applyAlignment="1">
      <alignment horizontal="right" vertical="center"/>
    </xf>
    <xf numFmtId="3" fontId="7" fillId="0" borderId="25" xfId="2" applyNumberFormat="1" applyFont="1" applyBorder="1" applyAlignment="1">
      <alignment horizontal="right" vertical="center"/>
    </xf>
    <xf numFmtId="3" fontId="7" fillId="0" borderId="26" xfId="2" applyNumberFormat="1" applyFont="1" applyBorder="1" applyAlignment="1">
      <alignment horizontal="right" vertical="center"/>
    </xf>
    <xf numFmtId="3" fontId="7" fillId="0" borderId="27" xfId="2" applyNumberFormat="1" applyFont="1" applyBorder="1" applyAlignment="1">
      <alignment horizontal="right" vertical="center"/>
    </xf>
    <xf numFmtId="0" fontId="2" fillId="20" borderId="13" xfId="1" applyFont="1" applyFill="1" applyBorder="1" applyAlignment="1">
      <alignment horizontal="center" vertical="center"/>
    </xf>
    <xf numFmtId="0" fontId="2" fillId="0" borderId="11" xfId="1" applyFont="1" applyBorder="1" applyAlignment="1">
      <alignment horizontal="center" vertical="center" wrapText="1"/>
    </xf>
    <xf numFmtId="0" fontId="2" fillId="0" borderId="2" xfId="1" applyFont="1" applyBorder="1" applyAlignment="1">
      <alignment horizontal="center" vertical="center" wrapText="1"/>
    </xf>
    <xf numFmtId="0" fontId="2" fillId="11" borderId="11" xfId="1" applyFont="1" applyFill="1" applyBorder="1" applyAlignment="1">
      <alignment horizontal="center" vertical="center"/>
    </xf>
    <xf numFmtId="0" fontId="2" fillId="11" borderId="13" xfId="1" applyFont="1" applyFill="1" applyBorder="1" applyAlignment="1">
      <alignment horizontal="center" vertical="center"/>
    </xf>
    <xf numFmtId="0" fontId="2" fillId="11" borderId="2" xfId="1" applyFont="1" applyFill="1" applyBorder="1" applyAlignment="1">
      <alignment horizontal="center" vertical="center"/>
    </xf>
    <xf numFmtId="0" fontId="2" fillId="16" borderId="11" xfId="1" applyFont="1" applyFill="1" applyBorder="1" applyAlignment="1">
      <alignment horizontal="center" vertical="center"/>
    </xf>
    <xf numFmtId="0" fontId="2" fillId="16" borderId="2" xfId="1" applyFont="1" applyFill="1" applyBorder="1" applyAlignment="1">
      <alignment horizontal="center" vertical="center"/>
    </xf>
    <xf numFmtId="0" fontId="2" fillId="0" borderId="18" xfId="1" applyFont="1" applyBorder="1" applyAlignment="1">
      <alignment horizontal="center" vertical="center"/>
    </xf>
    <xf numFmtId="0" fontId="2" fillId="27" borderId="11" xfId="1" applyFont="1" applyFill="1" applyBorder="1" applyAlignment="1">
      <alignment horizontal="center" vertical="center"/>
    </xf>
    <xf numFmtId="0" fontId="2" fillId="27" borderId="2" xfId="1" applyFont="1" applyFill="1" applyBorder="1" applyAlignment="1">
      <alignment horizontal="center" vertical="center"/>
    </xf>
    <xf numFmtId="3" fontId="2" fillId="13" borderId="11" xfId="1" applyNumberFormat="1" applyFont="1" applyFill="1" applyBorder="1" applyAlignment="1">
      <alignment horizontal="center" vertical="center"/>
    </xf>
    <xf numFmtId="3" fontId="2" fillId="13" borderId="2" xfId="1" applyNumberFormat="1" applyFont="1" applyFill="1" applyBorder="1" applyAlignment="1">
      <alignment horizontal="center" vertical="center"/>
    </xf>
    <xf numFmtId="0" fontId="10" fillId="13" borderId="11" xfId="1" applyFont="1" applyFill="1" applyBorder="1" applyAlignment="1">
      <alignment horizontal="center" vertical="center" wrapText="1"/>
    </xf>
    <xf numFmtId="0" fontId="10" fillId="13" borderId="2" xfId="1" applyFont="1" applyFill="1" applyBorder="1" applyAlignment="1">
      <alignment horizontal="center" vertical="center" wrapText="1"/>
    </xf>
    <xf numFmtId="0" fontId="2" fillId="13" borderId="11" xfId="1" applyFont="1" applyFill="1" applyBorder="1" applyAlignment="1">
      <alignment horizontal="center" vertical="center"/>
    </xf>
    <xf numFmtId="0" fontId="2" fillId="13" borderId="2" xfId="1" applyFont="1" applyFill="1" applyBorder="1" applyAlignment="1">
      <alignment horizontal="center" vertical="center"/>
    </xf>
    <xf numFmtId="3" fontId="10" fillId="19" borderId="11" xfId="1" applyNumberFormat="1" applyFont="1" applyFill="1" applyBorder="1" applyAlignment="1">
      <alignment horizontal="center" vertical="center"/>
    </xf>
    <xf numFmtId="3" fontId="10" fillId="19" borderId="2" xfId="1" applyNumberFormat="1" applyFont="1" applyFill="1" applyBorder="1" applyAlignment="1">
      <alignment horizontal="center" vertical="center"/>
    </xf>
    <xf numFmtId="3" fontId="2" fillId="19" borderId="11" xfId="1" applyNumberFormat="1" applyFont="1" applyFill="1" applyBorder="1" applyAlignment="1">
      <alignment horizontal="center" vertical="center"/>
    </xf>
    <xf numFmtId="3" fontId="2" fillId="19" borderId="2" xfId="1" applyNumberFormat="1" applyFont="1" applyFill="1" applyBorder="1" applyAlignment="1">
      <alignment horizontal="center" vertical="center"/>
    </xf>
    <xf numFmtId="0" fontId="10" fillId="20" borderId="11" xfId="1" applyFont="1" applyFill="1" applyBorder="1" applyAlignment="1">
      <alignment horizontal="center" vertical="center"/>
    </xf>
    <xf numFmtId="0" fontId="10" fillId="20" borderId="13" xfId="1" applyFont="1" applyFill="1" applyBorder="1" applyAlignment="1">
      <alignment horizontal="center" vertical="center"/>
    </xf>
    <xf numFmtId="0" fontId="10" fillId="20" borderId="2" xfId="1" applyFont="1" applyFill="1" applyBorder="1" applyAlignment="1">
      <alignment horizontal="center" vertical="center"/>
    </xf>
    <xf numFmtId="0" fontId="2" fillId="20" borderId="11" xfId="1" applyFont="1" applyFill="1" applyBorder="1" applyAlignment="1">
      <alignment horizontal="center" vertical="center"/>
    </xf>
    <xf numFmtId="0" fontId="2" fillId="20" borderId="2" xfId="1" applyFont="1" applyFill="1" applyBorder="1" applyAlignment="1">
      <alignment horizontal="center" vertical="center"/>
    </xf>
    <xf numFmtId="3" fontId="2" fillId="20" borderId="11" xfId="1" applyNumberFormat="1" applyFont="1" applyFill="1" applyBorder="1" applyAlignment="1">
      <alignment horizontal="center" vertical="center"/>
    </xf>
    <xf numFmtId="3" fontId="2" fillId="20" borderId="13" xfId="1" applyNumberFormat="1" applyFont="1" applyFill="1" applyBorder="1" applyAlignment="1">
      <alignment horizontal="center" vertical="center"/>
    </xf>
    <xf numFmtId="3" fontId="2" fillId="20" borderId="2" xfId="1" applyNumberFormat="1" applyFont="1" applyFill="1" applyBorder="1" applyAlignment="1">
      <alignment horizontal="center" vertical="center"/>
    </xf>
    <xf numFmtId="0" fontId="10" fillId="11" borderId="11" xfId="1" applyFont="1" applyFill="1" applyBorder="1" applyAlignment="1">
      <alignment horizontal="center" vertical="center" wrapText="1"/>
    </xf>
    <xf numFmtId="0" fontId="10" fillId="11" borderId="13" xfId="1" applyFont="1" applyFill="1" applyBorder="1" applyAlignment="1">
      <alignment horizontal="center" vertical="center" wrapText="1"/>
    </xf>
    <xf numFmtId="0" fontId="10" fillId="11" borderId="2" xfId="1" applyFont="1" applyFill="1" applyBorder="1" applyAlignment="1">
      <alignment horizontal="center" vertical="center" wrapText="1"/>
    </xf>
    <xf numFmtId="3" fontId="2" fillId="16" borderId="11" xfId="1" applyNumberFormat="1" applyFont="1" applyFill="1" applyBorder="1" applyAlignment="1">
      <alignment horizontal="center" vertical="center"/>
    </xf>
    <xf numFmtId="3" fontId="2" fillId="16" borderId="2" xfId="1" applyNumberFormat="1" applyFont="1" applyFill="1" applyBorder="1" applyAlignment="1">
      <alignment horizontal="center" vertical="center"/>
    </xf>
    <xf numFmtId="3" fontId="10" fillId="16" borderId="11" xfId="1" applyNumberFormat="1" applyFont="1" applyFill="1" applyBorder="1" applyAlignment="1">
      <alignment horizontal="center" vertical="center" wrapText="1"/>
    </xf>
    <xf numFmtId="3" fontId="10" fillId="16" borderId="2" xfId="1" applyNumberFormat="1" applyFont="1" applyFill="1" applyBorder="1" applyAlignment="1">
      <alignment horizontal="center" vertical="center" wrapText="1"/>
    </xf>
    <xf numFmtId="3" fontId="2" fillId="11" borderId="11" xfId="1" applyNumberFormat="1" applyFont="1" applyFill="1" applyBorder="1" applyAlignment="1">
      <alignment horizontal="center" vertical="center"/>
    </xf>
    <xf numFmtId="3" fontId="2" fillId="11" borderId="13" xfId="1" applyNumberFormat="1" applyFont="1" applyFill="1" applyBorder="1" applyAlignment="1">
      <alignment horizontal="center" vertical="center"/>
    </xf>
    <xf numFmtId="3" fontId="2" fillId="11" borderId="2" xfId="1" applyNumberFormat="1" applyFont="1" applyFill="1" applyBorder="1" applyAlignment="1">
      <alignment horizontal="center" vertical="center"/>
    </xf>
    <xf numFmtId="0" fontId="10" fillId="27" borderId="11" xfId="1" applyFont="1" applyFill="1" applyBorder="1" applyAlignment="1">
      <alignment horizontal="center" vertical="center" wrapText="1"/>
    </xf>
    <xf numFmtId="0" fontId="10" fillId="27" borderId="2" xfId="1" applyFont="1" applyFill="1" applyBorder="1" applyAlignment="1">
      <alignment horizontal="center" vertical="center" wrapText="1"/>
    </xf>
    <xf numFmtId="3" fontId="2" fillId="27" borderId="11" xfId="1" applyNumberFormat="1" applyFont="1" applyFill="1" applyBorder="1" applyAlignment="1">
      <alignment horizontal="center" vertical="center"/>
    </xf>
    <xf numFmtId="3" fontId="2" fillId="27" borderId="2" xfId="1" applyNumberFormat="1" applyFont="1" applyFill="1" applyBorder="1" applyAlignment="1">
      <alignment horizontal="center" vertical="center"/>
    </xf>
    <xf numFmtId="0" fontId="2" fillId="0" borderId="11" xfId="1" applyFont="1" applyBorder="1" applyAlignment="1">
      <alignment horizontal="center" vertical="center"/>
    </xf>
    <xf numFmtId="0" fontId="2" fillId="0" borderId="2" xfId="1" applyFont="1" applyBorder="1" applyAlignment="1">
      <alignment horizontal="center" vertical="center"/>
    </xf>
    <xf numFmtId="0" fontId="2" fillId="0" borderId="16" xfId="1" applyFont="1" applyBorder="1" applyAlignment="1">
      <alignment horizontal="center" vertical="center"/>
    </xf>
    <xf numFmtId="0" fontId="2" fillId="0" borderId="1" xfId="1" applyFont="1" applyBorder="1" applyAlignment="1">
      <alignment horizontal="center" vertical="center"/>
    </xf>
    <xf numFmtId="0" fontId="2" fillId="10" borderId="1" xfId="1" applyFont="1" applyFill="1" applyBorder="1" applyAlignment="1">
      <alignment horizontal="center" vertical="center" wrapText="1"/>
    </xf>
    <xf numFmtId="3" fontId="2" fillId="10" borderId="11" xfId="1" applyNumberFormat="1" applyFont="1" applyFill="1" applyBorder="1" applyAlignment="1">
      <alignment horizontal="center" vertical="center"/>
    </xf>
    <xf numFmtId="3" fontId="2" fillId="10" borderId="13" xfId="1" applyNumberFormat="1" applyFont="1" applyFill="1" applyBorder="1" applyAlignment="1">
      <alignment horizontal="center" vertical="center"/>
    </xf>
    <xf numFmtId="3" fontId="2" fillId="10" borderId="2" xfId="1" applyNumberFormat="1" applyFont="1" applyFill="1" applyBorder="1" applyAlignment="1">
      <alignment horizontal="center" vertical="center"/>
    </xf>
    <xf numFmtId="0" fontId="10" fillId="10" borderId="11" xfId="1" applyFont="1" applyFill="1" applyBorder="1" applyAlignment="1">
      <alignment horizontal="center" vertical="center" wrapText="1"/>
    </xf>
    <xf numFmtId="0" fontId="10" fillId="10" borderId="13" xfId="1" applyFont="1" applyFill="1" applyBorder="1" applyAlignment="1">
      <alignment horizontal="center" vertical="center" wrapText="1"/>
    </xf>
    <xf numFmtId="0" fontId="10" fillId="10" borderId="2" xfId="1" applyFont="1" applyFill="1" applyBorder="1" applyAlignment="1">
      <alignment horizontal="center" vertical="center" wrapText="1"/>
    </xf>
    <xf numFmtId="0" fontId="2" fillId="7" borderId="11" xfId="1" applyFont="1" applyFill="1" applyBorder="1" applyAlignment="1">
      <alignment horizontal="center" vertical="center"/>
    </xf>
    <xf numFmtId="0" fontId="2" fillId="7" borderId="2" xfId="1" applyFont="1" applyFill="1" applyBorder="1" applyAlignment="1">
      <alignment horizontal="center" vertical="center"/>
    </xf>
    <xf numFmtId="0" fontId="2" fillId="8" borderId="1" xfId="1" applyFont="1" applyFill="1" applyBorder="1" applyAlignment="1">
      <alignment horizontal="center" vertical="center"/>
    </xf>
    <xf numFmtId="0" fontId="19" fillId="0" borderId="1" xfId="1" applyNumberFormat="1" applyFont="1" applyFill="1" applyBorder="1" applyAlignment="1">
      <alignment horizontal="center" vertical="center"/>
    </xf>
    <xf numFmtId="0" fontId="19" fillId="8" borderId="1" xfId="1" applyNumberFormat="1" applyFont="1" applyFill="1" applyBorder="1" applyAlignment="1">
      <alignment horizontal="center" vertical="center"/>
    </xf>
    <xf numFmtId="3" fontId="19" fillId="0" borderId="1" xfId="1" applyNumberFormat="1" applyFont="1" applyFill="1" applyBorder="1" applyAlignment="1">
      <alignment horizontal="center" vertical="center"/>
    </xf>
    <xf numFmtId="0" fontId="27" fillId="0" borderId="0" xfId="1" applyNumberFormat="1" applyFont="1" applyFill="1" applyAlignment="1">
      <alignment horizontal="center" vertical="center"/>
    </xf>
    <xf numFmtId="9" fontId="27" fillId="0" borderId="0" xfId="4" applyNumberFormat="1" applyFont="1" applyAlignment="1">
      <alignment horizontal="center" vertical="center"/>
    </xf>
    <xf numFmtId="0" fontId="19" fillId="8" borderId="11" xfId="0" applyNumberFormat="1" applyFont="1" applyFill="1" applyBorder="1" applyAlignment="1" applyProtection="1">
      <alignment horizontal="center" vertical="center"/>
    </xf>
    <xf numFmtId="0" fontId="19" fillId="0" borderId="11" xfId="0" applyNumberFormat="1" applyFont="1" applyFill="1" applyBorder="1" applyAlignment="1" applyProtection="1">
      <alignment horizontal="center" vertical="center"/>
    </xf>
    <xf numFmtId="165" fontId="19" fillId="0" borderId="11" xfId="0" applyNumberFormat="1" applyFont="1" applyFill="1" applyBorder="1" applyAlignment="1" applyProtection="1">
      <alignment horizontal="center" vertical="center"/>
    </xf>
    <xf numFmtId="3" fontId="19" fillId="0" borderId="11"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165" fontId="27" fillId="0" borderId="11" xfId="0" applyNumberFormat="1" applyFont="1" applyFill="1" applyBorder="1" applyAlignment="1" applyProtection="1">
      <alignment horizontal="center" vertical="center"/>
    </xf>
    <xf numFmtId="9" fontId="27" fillId="0" borderId="0" xfId="0" applyNumberFormat="1" applyFont="1" applyBorder="1" applyAlignment="1">
      <alignment horizontal="center" vertical="center"/>
    </xf>
    <xf numFmtId="0" fontId="0" fillId="0" borderId="0" xfId="0" applyNumberFormat="1"/>
    <xf numFmtId="0" fontId="2" fillId="0" borderId="0" xfId="0" applyNumberFormat="1" applyFont="1"/>
    <xf numFmtId="166" fontId="22" fillId="32" borderId="0" xfId="3" applyNumberFormat="1" applyFont="1" applyFill="1" applyAlignment="1">
      <alignment horizontal="center" vertical="center"/>
    </xf>
    <xf numFmtId="166" fontId="28" fillId="32" borderId="0" xfId="3" applyNumberFormat="1" applyFont="1" applyFill="1" applyAlignment="1">
      <alignment horizontal="center" vertical="center"/>
    </xf>
    <xf numFmtId="0" fontId="2" fillId="0" borderId="0" xfId="1" applyNumberFormat="1" applyFont="1" applyAlignment="1">
      <alignment horizontal="right" vertical="center"/>
    </xf>
    <xf numFmtId="0" fontId="2" fillId="0" borderId="0" xfId="0" applyNumberFormat="1" applyFont="1" applyAlignment="1">
      <alignment horizontal="right" vertical="center"/>
    </xf>
    <xf numFmtId="0" fontId="24" fillId="0" borderId="0" xfId="0" applyNumberFormat="1" applyFont="1"/>
    <xf numFmtId="0" fontId="2" fillId="0" borderId="1" xfId="0" applyNumberFormat="1" applyFont="1" applyBorder="1"/>
    <xf numFmtId="0" fontId="2" fillId="0" borderId="10" xfId="0" applyNumberFormat="1" applyFont="1" applyBorder="1"/>
    <xf numFmtId="0" fontId="34" fillId="35" borderId="0" xfId="0" applyFont="1" applyFill="1" applyAlignment="1">
      <alignment horizontal="center"/>
    </xf>
    <xf numFmtId="0" fontId="34" fillId="35" borderId="0" xfId="0" applyFont="1" applyFill="1" applyAlignment="1">
      <alignment horizontal="center" vertical="center"/>
    </xf>
  </cellXfs>
  <cellStyles count="7">
    <cellStyle name="Comma" xfId="3" builtinId="3"/>
    <cellStyle name="Comma [0]" xfId="6" builtinId="6"/>
    <cellStyle name="Comma 2" xfId="5" xr:uid="{8997ACA7-EAEE-4B6B-A7FD-5939247CE761}"/>
    <cellStyle name="Normal" xfId="0" builtinId="0"/>
    <cellStyle name="Normal 2" xfId="1" xr:uid="{4623FB5A-070C-4399-83B4-EB82C136C0A4}"/>
    <cellStyle name="Normal 2 2" xfId="2" xr:uid="{FB9835C7-C18D-4D01-A838-92EAE97FF0F4}"/>
    <cellStyle name="Percent" xfId="4" builtinId="5"/>
  </cellStyles>
  <dxfs count="828">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4" formatCode="0.00%"/>
    </dxf>
    <dxf>
      <numFmt numFmtId="166" formatCode="_(* #,##0_);_(* \(#,##0\);_(* &quot;-&quot;??_);_(@_)"/>
    </dxf>
    <dxf>
      <alignment readingOrder="2"/>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68" formatCode="#,##0.00,,"/>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color rgb="FF9C0006"/>
      </font>
      <fill>
        <patternFill>
          <bgColor rgb="FFFFC7CE"/>
        </patternFill>
      </fill>
    </dxf>
    <dxf>
      <numFmt numFmtId="166" formatCode="_(* #,##0_);_(* \(#,##0\);_(* &quot;-&quot;??_);_(@_)"/>
    </dxf>
    <dxf>
      <numFmt numFmtId="168" formatCode="#,##0.00,,"/>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4" formatCode="0.00%"/>
    </dxf>
    <dxf>
      <numFmt numFmtId="166" formatCode="_(* #,##0_);_(* \(#,##0\);_(* &quot;-&quot;??_);_(@_)"/>
    </dxf>
    <dxf>
      <alignment readingOrder="2"/>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font>
        <b/>
        <strike val="0"/>
        <outline val="0"/>
        <shadow val="0"/>
        <u val="none"/>
        <vertAlign val="baseline"/>
        <sz val="11"/>
        <color theme="1"/>
        <name val="B Nazanin"/>
        <charset val="178"/>
        <scheme val="none"/>
      </font>
      <numFmt numFmtId="3" formatCode="#,##0"/>
      <alignment horizontal="right" vertical="center" textRotation="0" wrapText="0" indent="0" justifyLastLine="0" shrinkToFit="0" readingOrder="0"/>
    </dxf>
    <dxf>
      <font>
        <b/>
        <strike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dxf>
    <dxf>
      <font>
        <b/>
        <strike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dxf>
    <dxf>
      <font>
        <b/>
        <strike val="0"/>
        <outline val="0"/>
        <shadow val="0"/>
        <u val="none"/>
        <vertAlign val="baseline"/>
        <sz val="11"/>
        <color theme="1"/>
        <name val="B Nazanin"/>
        <charset val="178"/>
        <scheme val="none"/>
      </font>
      <numFmt numFmtId="166" formatCode="_(* #,##0_);_(* \(#,##0\);_(* &quot;-&quot;??_);_(@_)"/>
      <alignment horizontal="right" vertical="center" textRotation="0" wrapText="0" indent="0" justifyLastLine="0" shrinkToFit="0" readingOrder="0"/>
    </dxf>
    <dxf>
      <font>
        <b/>
        <strike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dxf>
    <dxf>
      <font>
        <b/>
        <strike val="0"/>
        <outline val="0"/>
        <shadow val="0"/>
        <u val="none"/>
        <vertAlign val="baseline"/>
        <sz val="11"/>
        <color theme="1"/>
        <name val="B Nazanin"/>
        <charset val="178"/>
        <scheme val="none"/>
      </font>
      <alignment horizontal="right" vertical="center" textRotation="0" wrapText="0" indent="0" justifyLastLine="0" shrinkToFit="0" readingOrder="0"/>
    </dxf>
    <dxf>
      <font>
        <b/>
        <strike val="0"/>
        <outline val="0"/>
        <shadow val="0"/>
        <u val="none"/>
        <vertAlign val="baseline"/>
        <sz val="11"/>
        <color theme="1"/>
        <name val="B Nazanin"/>
        <charset val="178"/>
        <scheme val="none"/>
      </font>
      <numFmt numFmtId="166" formatCode="_(* #,##0_);_(* \(#,##0\);_(* &quot;-&quot;??_);_(@_)"/>
      <alignment horizontal="right" vertical="center" textRotation="0" wrapText="0" indent="0" justifyLastLine="0" shrinkToFit="0" readingOrder="0"/>
    </dxf>
    <dxf>
      <numFmt numFmtId="0" formatCode="General"/>
    </dxf>
    <dxf>
      <font>
        <b/>
        <strike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dxf>
    <dxf>
      <font>
        <b/>
        <strike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4" formatCode="0.00%"/>
    </dxf>
    <dxf>
      <numFmt numFmtId="166" formatCode="_(* #,##0_);_(* \(#,##0\);_(* &quot;-&quot;??_);_(@_)"/>
    </dxf>
    <dxf>
      <alignment readingOrder="2"/>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68" formatCode="#,##0.00,,"/>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8" formatCode="#,##0.00,,"/>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4" formatCode="0.00%"/>
    </dxf>
    <dxf>
      <numFmt numFmtId="166" formatCode="_(* #,##0_);_(* \(#,##0\);_(* &quot;-&quot;??_);_(@_)"/>
    </dxf>
    <dxf>
      <alignment readingOrder="2"/>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66" formatCode="_(* #,##0_);_(* \(#,##0\);_(* &quot;-&quot;??_);_(@_)"/>
    </dxf>
    <dxf>
      <numFmt numFmtId="166" formatCode="_(* #,##0_);_(* \(#,##0\);_(* &quot;-&quot;??_);_(@_)"/>
    </dxf>
    <dxf>
      <numFmt numFmtId="170" formatCode="#0.00,"/>
    </dxf>
    <dxf>
      <numFmt numFmtId="170" formatCode="#0.00,"/>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4" formatCode="0.00%"/>
    </dxf>
    <dxf>
      <numFmt numFmtId="166" formatCode="_(* #,##0_);_(* \(#,##0\);_(* &quot;-&quot;??_);_(@_)"/>
    </dxf>
    <dxf>
      <alignment readingOrder="2"/>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thin">
          <color indexed="64"/>
        </right>
        <top style="thin">
          <color indexed="64"/>
        </top>
        <bottom style="thin">
          <color indexed="64"/>
        </bottom>
        <vertical style="thin">
          <color indexed="64"/>
        </vertical>
        <horizontal style="thin">
          <color indexed="64"/>
        </horizontal>
      </border>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numFmt numFmtId="166" formatCode="_(* #,##0_);_(* \(#,##0\);_(* &quot;-&quot;??_);_(@_)"/>
    </dxf>
    <dxf>
      <numFmt numFmtId="166" formatCode="_(* #,##0_);_(* \(#,##0\);_(* &quot;-&quot;??_);_(@_)"/>
    </dxf>
    <dxf>
      <numFmt numFmtId="166" formatCode="_(* #,##0_);_(* \(#,##0\);_(* &quot;-&quot;??_);_(@_)"/>
    </dxf>
    <dxf>
      <numFmt numFmtId="166" formatCode="_(* #,##0_);_(* \(#,##0\);_(* &quot;-&quot;??_);_(@_)"/>
    </dxf>
    <dxf>
      <numFmt numFmtId="168" formatCode="#,##0.00,,"/>
    </dxf>
    <dxf>
      <numFmt numFmtId="168" formatCode="#,##0.00,,"/>
    </dxf>
    <dxf>
      <numFmt numFmtId="169" formatCode="#,##0,"/>
    </dxf>
    <dxf>
      <numFmt numFmtId="169" formatCode="#,##0,"/>
    </dxf>
    <dxf>
      <numFmt numFmtId="169" formatCode="#,##0,"/>
    </dxf>
    <dxf>
      <numFmt numFmtId="169" formatCode="#,##0,"/>
    </dxf>
    <dxf>
      <font>
        <name val="B Nazanin"/>
        <charset val="178"/>
        <scheme val="none"/>
      </font>
    </dxf>
    <dxf>
      <font>
        <name val="B Nazanin"/>
        <charset val="178"/>
        <scheme val="none"/>
      </font>
    </dxf>
    <dxf>
      <font>
        <name val="B Nazanin"/>
        <charset val="178"/>
        <scheme val="none"/>
      </font>
    </dxf>
    <dxf>
      <font>
        <b/>
      </font>
    </dxf>
    <dxf>
      <font>
        <b/>
      </font>
    </dxf>
    <dxf>
      <font>
        <b/>
      </font>
    </dxf>
    <dxf>
      <numFmt numFmtId="166" formatCode="_(* #,##0_);_(* \(#,##0\);_(* &quot;-&quot;??_);_(@_)"/>
    </dxf>
    <dxf>
      <numFmt numFmtId="168" formatCode="#,##0.00,,"/>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b/>
        <i val="0"/>
        <strike val="0"/>
        <condense val="0"/>
        <extend val="0"/>
        <outline val="0"/>
        <shadow val="0"/>
        <u val="none"/>
        <vertAlign val="baseline"/>
        <sz val="12"/>
        <color theme="1"/>
        <name val="B Nazanin"/>
        <charset val="178"/>
        <scheme val="none"/>
      </font>
      <numFmt numFmtId="0" formatCode="General"/>
      <fill>
        <patternFill patternType="solid">
          <fgColor indexed="64"/>
          <bgColor rgb="FFFFFF0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strike val="0"/>
        <outline val="0"/>
        <shadow val="0"/>
        <u val="none"/>
        <vertAlign val="baseline"/>
        <sz val="12"/>
        <color theme="1"/>
        <name val="B Nazanin"/>
        <charset val="178"/>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13" formatCode="0%"/>
      <alignment horizontal="center" vertical="center" textRotation="0" wrapText="0" indent="0" justifyLastLine="0" shrinkToFit="0" readingOrder="0"/>
      <border diagonalUp="0" diagonalDown="0" outline="0">
        <left/>
        <right/>
        <top/>
        <bottom/>
      </border>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165" formatCode="[$-960429]yyyy\/mm\/dd;@"/>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rgb="FF000000"/>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theme="1"/>
        <name val="B Nazanin"/>
        <charset val="178"/>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i val="0"/>
        <strike val="0"/>
        <condense val="0"/>
        <extend val="0"/>
        <outline val="0"/>
        <shadow val="0"/>
        <u val="none"/>
        <vertAlign val="baseline"/>
        <sz val="12"/>
        <color theme="1"/>
        <name val="B Nazanin"/>
        <charset val="178"/>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i val="0"/>
        <strike val="0"/>
        <condense val="0"/>
        <extend val="0"/>
        <outline val="0"/>
        <shadow val="0"/>
        <u val="none"/>
        <vertAlign val="baseline"/>
        <sz val="12"/>
        <color theme="1"/>
        <name val="B Nazanin"/>
        <charset val="178"/>
        <scheme val="none"/>
      </font>
      <numFmt numFmtId="165" formatCode="[$-960429]yyyy\/mm\/dd;@"/>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i val="0"/>
        <strike val="0"/>
        <condense val="0"/>
        <extend val="0"/>
        <outline val="0"/>
        <shadow val="0"/>
        <u val="none"/>
        <vertAlign val="baseline"/>
        <sz val="12"/>
        <color theme="1"/>
        <name val="B Nazanin"/>
        <charset val="178"/>
        <scheme val="none"/>
      </font>
      <numFmt numFmtId="0" formatCode="General"/>
      <fill>
        <patternFill patternType="solid">
          <fgColor indexed="64"/>
          <bgColor rgb="FFFFFF0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i val="0"/>
        <strike val="0"/>
        <condense val="0"/>
        <extend val="0"/>
        <outline val="0"/>
        <shadow val="0"/>
        <u val="none"/>
        <vertAlign val="baseline"/>
        <sz val="12"/>
        <color theme="1"/>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protection locked="1" hidden="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13" formatCode="0%"/>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165" formatCode="[$-960429]yyyy\/mm\/dd;@"/>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numFmt numFmtId="0" formatCode="General"/>
      <alignment horizontal="center" vertical="center" textRotation="0" wrapText="0" indent="0" justifyLastLine="0" shrinkToFit="0" readingOrder="0"/>
    </dxf>
    <dxf>
      <font>
        <b/>
        <strike val="0"/>
        <outline val="0"/>
        <shadow val="0"/>
        <u val="none"/>
        <vertAlign val="baseline"/>
        <sz val="12"/>
        <color theme="1"/>
        <name val="B Nazanin"/>
        <charset val="178"/>
        <scheme val="none"/>
      </font>
      <numFmt numFmtId="3"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u val="none"/>
        <vertAlign val="baseline"/>
        <sz val="12"/>
        <color theme="1"/>
        <name val="B Nazanin"/>
        <charset val="178"/>
        <scheme val="none"/>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theme="1"/>
        <name val="B Nazanin"/>
        <charset val="178"/>
        <scheme val="none"/>
      </font>
      <numFmt numFmtId="165" formatCode="[$-960429]yyyy\/mm\/dd;@"/>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theme="1"/>
        <name val="B Nazanin"/>
        <charset val="178"/>
        <scheme val="none"/>
      </font>
      <numFmt numFmtId="0" formatCode="General"/>
      <fill>
        <patternFill patternType="solid">
          <fgColor indexed="64"/>
          <bgColor rgb="FFFFFF0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u val="none"/>
        <vertAlign val="baseline"/>
        <sz val="12"/>
        <color theme="1"/>
        <name val="B Nazanin"/>
        <charset val="178"/>
        <scheme val="none"/>
      </font>
      <numFmt numFmtId="0" formatCode="Genera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B Titr"/>
        <charset val="178"/>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bottom/>
        <vertical style="thin">
          <color indexed="64"/>
        </vertical>
        <horizontal style="thin">
          <color indexed="64"/>
        </horizontal>
      </border>
    </dxf>
    <dxf>
      <font>
        <b val="0"/>
        <i val="0"/>
        <strike val="0"/>
        <condense val="0"/>
        <extend val="0"/>
        <outline val="0"/>
        <shadow val="0"/>
        <u val="none"/>
        <vertAlign val="baseline"/>
        <sz val="10"/>
        <color auto="1"/>
        <name val="B Titr"/>
        <charset val="178"/>
        <scheme val="none"/>
      </font>
      <numFmt numFmtId="3" formatCode="#,##0"/>
      <fill>
        <patternFill patternType="solid">
          <fgColor indexed="64"/>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B Titr"/>
        <charset val="178"/>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auto="1"/>
        <name val="B Titr"/>
        <charset val="178"/>
        <scheme val="none"/>
      </font>
      <numFmt numFmtId="3" formatCode="#,##0"/>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B Titr"/>
        <charset val="178"/>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auto="1"/>
        <name val="B Titr"/>
        <charset val="178"/>
        <scheme val="none"/>
      </font>
      <numFmt numFmtId="3" formatCode="#,##0"/>
      <fill>
        <patternFill patternType="solid">
          <fgColor indexed="64"/>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B Titr"/>
        <charset val="178"/>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auto="1"/>
        <name val="B Titr"/>
        <charset val="178"/>
        <scheme val="none"/>
      </font>
      <numFmt numFmtId="3" formatCode="#,##0"/>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B Titr"/>
        <charset val="178"/>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slantDashDot">
          <color auto="1"/>
        </left>
        <right style="slantDashDot">
          <color auto="1"/>
        </right>
        <top style="slantDashDot">
          <color auto="1"/>
        </top>
        <bottom style="slantDashDot">
          <color auto="1"/>
        </bottom>
        <vertical/>
        <horizontal/>
      </border>
    </dxf>
    <dxf>
      <font>
        <b val="0"/>
        <i val="0"/>
        <strike val="0"/>
        <condense val="0"/>
        <extend val="0"/>
        <outline val="0"/>
        <shadow val="0"/>
        <u val="none"/>
        <vertAlign val="baseline"/>
        <sz val="10"/>
        <color auto="1"/>
        <name val="B Titr"/>
        <charset val="178"/>
        <scheme val="none"/>
      </font>
      <numFmt numFmtId="3" formatCode="#,##0"/>
      <fill>
        <patternFill patternType="solid">
          <fgColor indexed="64"/>
          <bgColor theme="9"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2"/>
        <color auto="1"/>
        <name val="B Titr"/>
        <charset val="178"/>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auto="1"/>
        <name val="B Titr"/>
        <charset val="178"/>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2"/>
        <color auto="1"/>
        <name val="B Titr"/>
        <charset val="178"/>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B Titr"/>
        <charset val="178"/>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medium">
          <color indexed="64"/>
        </left>
        <right style="thin">
          <color indexed="64"/>
        </right>
        <top style="medium">
          <color indexed="64"/>
        </top>
        <bottom style="medium">
          <color indexed="64"/>
        </bottom>
      </border>
    </dxf>
    <dxf>
      <border>
        <top style="thin">
          <color indexed="64"/>
        </top>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border outline="0">
        <right style="thin">
          <color rgb="FF000000"/>
        </right>
      </border>
    </dxf>
    <dxf>
      <font>
        <strike val="0"/>
        <outline val="0"/>
        <shadow val="0"/>
        <u val="none"/>
        <vertAlign val="baseline"/>
        <sz val="10"/>
        <color auto="1"/>
        <name val="B Titr"/>
        <charset val="178"/>
        <scheme val="none"/>
      </font>
    </dxf>
    <dxf>
      <border outline="0">
        <bottom style="thin">
          <color rgb="FF000000"/>
        </bottom>
      </border>
    </dxf>
    <dxf>
      <font>
        <strike val="0"/>
        <outline val="0"/>
        <shadow val="0"/>
        <u val="none"/>
        <vertAlign val="baseline"/>
        <sz val="14"/>
        <color theme="0"/>
        <name val="B Nazanin"/>
        <charset val="178"/>
        <scheme val="none"/>
      </font>
      <fill>
        <patternFill>
          <fgColor indexed="64"/>
          <bgColor theme="1"/>
        </patternFill>
      </fill>
    </dxf>
    <dxf>
      <font>
        <b/>
        <strike val="0"/>
        <outline val="0"/>
        <shadow val="0"/>
        <u val="none"/>
        <vertAlign val="baseline"/>
        <sz val="11"/>
        <color rgb="FF000000"/>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rgb="FF000000"/>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rgb="FF000000"/>
        <name val="B Nazanin"/>
        <charset val="178"/>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rgb="FF000000"/>
        <name val="B Nazanin"/>
        <charset val="178"/>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rgb="FF000000"/>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dxf>
    <dxf>
      <font>
        <b/>
        <strike val="0"/>
        <outline val="0"/>
        <shadow val="0"/>
        <u val="none"/>
        <vertAlign val="baseline"/>
        <sz val="11"/>
        <color theme="1"/>
        <name val="B Nazanin"/>
        <charset val="178"/>
        <scheme val="none"/>
      </font>
      <numFmt numFmtId="3" formatCode="#,##0"/>
      <alignment horizontal="center"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dxf>
    <dxf>
      <font>
        <b/>
        <i val="0"/>
        <strike val="0"/>
        <condense val="0"/>
        <extend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11"/>
        <color theme="1"/>
        <name val="B Nazanin"/>
        <charset val="178"/>
        <scheme val="none"/>
      </font>
      <numFmt numFmtId="0" formatCode="General"/>
      <alignment horizontal="righ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dxf>
    <dxf>
      <font>
        <b/>
        <strike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strike val="0"/>
        <outline val="0"/>
        <shadow val="0"/>
        <u val="none"/>
        <vertAlign val="baseline"/>
        <sz val="11"/>
        <color rgb="FF000000"/>
        <name val="B Nazanin"/>
        <charset val="178"/>
        <scheme val="none"/>
      </font>
      <alignment horizontal="center" vertical="center" textRotation="0" wrapText="0" indent="0" justifyLastLine="0" shrinkToFit="0" readingOrder="0"/>
    </dxf>
    <dxf>
      <font>
        <b/>
        <strike val="0"/>
        <outline val="0"/>
        <shadow val="0"/>
        <u val="none"/>
        <vertAlign val="baseline"/>
        <sz val="11"/>
        <color theme="1"/>
        <name val="B Nazanin"/>
        <charset val="178"/>
        <scheme val="none"/>
      </font>
      <alignment horizontal="center" vertical="center" textRotation="0" wrapText="0" indent="0" justifyLastLine="0" shrinkToFit="0" readingOrder="0"/>
    </dxf>
    <dxf>
      <font>
        <b/>
        <strike val="0"/>
        <outline val="0"/>
        <shadow val="0"/>
        <u val="none"/>
        <vertAlign val="baseline"/>
        <sz val="12"/>
        <color rgb="FF000000"/>
        <name val="B Nazanin"/>
        <charset val="178"/>
        <scheme val="none"/>
      </font>
      <alignment horizontal="center" vertical="center" textRotation="0" wrapText="0" indent="0" justifyLastLine="0" shrinkToFit="0" readingOrder="0"/>
    </dxf>
    <dxf>
      <font>
        <b/>
        <strike val="0"/>
        <outline val="0"/>
        <shadow val="0"/>
        <u val="none"/>
        <vertAlign val="baseline"/>
        <sz val="12"/>
        <color rgb="FFFFFFFF"/>
        <name val="B Nazanin"/>
        <charset val="178"/>
        <scheme val="none"/>
      </font>
      <alignment horizontal="center" vertical="center" textRotation="0" wrapText="0" indent="0" justifyLastLine="0" shrinkToFit="0" readingOrder="0"/>
    </dxf>
    <dxf>
      <font>
        <b/>
        <strike val="0"/>
        <outline val="0"/>
        <shadow val="0"/>
        <u val="none"/>
        <vertAlign val="baseline"/>
        <sz val="16"/>
        <color theme="1"/>
        <name val="B Nazanin"/>
        <charset val="178"/>
        <scheme val="none"/>
      </font>
      <numFmt numFmtId="3" formatCode="#,##0"/>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6"/>
        <color theme="1"/>
        <name val="B Nazanin"/>
        <charset val="178"/>
        <scheme val="none"/>
      </font>
      <numFmt numFmtId="3"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u val="none"/>
        <vertAlign val="baseline"/>
        <sz val="16"/>
        <color theme="1"/>
        <name val="B Nazanin"/>
        <charset val="178"/>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6"/>
        <color theme="1"/>
        <name val="B Nazanin"/>
        <charset val="178"/>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6"/>
        <color theme="1"/>
        <name val="B Nazanin"/>
        <charset val="178"/>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6"/>
        <color theme="1"/>
        <name val="B Nazanin"/>
        <charset val="178"/>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auto="1"/>
        </top>
      </border>
    </dxf>
    <dxf>
      <border outline="0">
        <left style="thin">
          <color auto="1"/>
        </left>
        <right style="thin">
          <color auto="1"/>
        </right>
        <top style="thin">
          <color auto="1"/>
        </top>
        <bottom style="thin">
          <color auto="1"/>
        </bottom>
      </border>
    </dxf>
    <dxf>
      <font>
        <strike val="0"/>
        <outline val="0"/>
        <shadow val="0"/>
        <u val="none"/>
        <vertAlign val="baseline"/>
        <sz val="16"/>
        <color theme="1"/>
        <name val="B Nazanin"/>
        <charset val="178"/>
        <scheme val="none"/>
      </font>
    </dxf>
    <dxf>
      <border outline="0">
        <bottom style="thin">
          <color auto="1"/>
        </bottom>
      </border>
    </dxf>
    <dxf>
      <alignment horizontal="center" vertical="center" textRotation="0" wrapText="0" indent="0" justifyLastLine="0" shrinkToFit="0" readingOrder="0"/>
      <border diagonalUp="0" diagonalDown="0" outline="0">
        <left style="thin">
          <color auto="1"/>
        </left>
        <right style="thin">
          <color auto="1"/>
        </right>
        <top/>
        <bottom/>
      </border>
    </dxf>
    <dxf>
      <numFmt numFmtId="0" formatCode="General"/>
    </dxf>
    <dxf>
      <numFmt numFmtId="0" formatCode="General"/>
    </dxf>
    <dxf>
      <font>
        <b/>
        <name val="B Nazanin"/>
        <charset val="178"/>
        <scheme val="none"/>
      </font>
      <numFmt numFmtId="166" formatCode="_(* #,##0_);_(* \(#,##0\);_(* &quot;-&quot;??_);_(@_)"/>
    </dxf>
    <dxf>
      <font>
        <b/>
        <i val="0"/>
        <strike val="0"/>
        <condense val="0"/>
        <extend val="0"/>
        <outline val="0"/>
        <shadow val="0"/>
        <u val="none"/>
        <vertAlign val="baseline"/>
        <sz val="11"/>
        <color theme="1"/>
        <name val="B Nazanin"/>
        <charset val="178"/>
        <scheme val="none"/>
      </font>
    </dxf>
    <dxf>
      <font>
        <strike val="0"/>
        <outline val="0"/>
        <shadow val="0"/>
        <u val="none"/>
        <vertAlign val="baseline"/>
        <sz val="11"/>
        <color rgb="FFFFFFFF"/>
        <name val="Calibri"/>
        <family val="2"/>
        <charset val="178"/>
        <scheme val="minor"/>
      </font>
    </dxf>
    <dxf>
      <font>
        <b/>
        <i val="0"/>
        <strike val="0"/>
        <condense val="0"/>
        <extend val="0"/>
        <outline val="0"/>
        <shadow val="0"/>
        <u val="none"/>
        <vertAlign val="baseline"/>
        <sz val="11"/>
        <color theme="1"/>
        <name val="B Nazanin"/>
        <charset val="178"/>
        <scheme val="none"/>
      </font>
      <fill>
        <patternFill patternType="solid">
          <fgColor indexed="64"/>
          <bgColor theme="0" tint="-0.14999847407452621"/>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fill>
        <patternFill patternType="solid">
          <fgColor indexed="64"/>
          <bgColor theme="0" tint="-0.14999847407452621"/>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numFmt numFmtId="166" formatCode="_(* #,##0_);_(* \(#,##0\);_(* &quot;-&quot;??_);_(@_)"/>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numFmt numFmtId="166" formatCode="_(* #,##0_);_(* \(#,##0\);_(* &quot;-&quot;??_);_(@_)"/>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right" vertical="center" textRotation="0" wrapText="0" indent="0" justifyLastLine="0" shrinkToFit="0" readingOrder="0"/>
    </dxf>
    <dxf>
      <font>
        <b/>
        <strike val="0"/>
        <outline val="0"/>
        <shadow val="0"/>
        <u val="none"/>
        <vertAlign val="baseline"/>
        <sz val="11"/>
        <color theme="1"/>
        <name val="B Nazanin"/>
        <charset val="178"/>
        <scheme val="none"/>
      </font>
      <alignment horizontal="right" vertical="center" textRotation="0" wrapText="0" indent="0" justifyLastLine="0" shrinkToFit="0" readingOrder="0"/>
    </dxf>
    <dxf>
      <font>
        <b/>
        <i val="0"/>
        <strike val="0"/>
        <condense val="0"/>
        <extend val="0"/>
        <outline val="0"/>
        <shadow val="0"/>
        <u val="none"/>
        <vertAlign val="baseline"/>
        <sz val="11"/>
        <color theme="3"/>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outline="0">
        <left style="thin">
          <color auto="1"/>
        </left>
        <right/>
        <top style="thin">
          <color auto="1"/>
        </top>
        <bottom style="thin">
          <color auto="1"/>
        </bottom>
      </border>
    </dxf>
    <dxf>
      <font>
        <b/>
        <i val="0"/>
        <strike val="0"/>
        <condense val="0"/>
        <extend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B Nazanin"/>
        <charset val="178"/>
        <scheme val="none"/>
      </font>
      <numFmt numFmtId="0" formatCode="Genera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dxf>
    <dxf>
      <font>
        <b/>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1"/>
        <color theme="1"/>
        <name val="B Nazanin"/>
        <charset val="178"/>
        <scheme val="none"/>
      </font>
      <numFmt numFmtId="172" formatCode="#,##0.000,,"/>
    </dxf>
    <dxf>
      <font>
        <b/>
        <i val="0"/>
        <strike val="0"/>
        <condense val="0"/>
        <extend val="0"/>
        <outline val="0"/>
        <shadow val="0"/>
        <u val="none"/>
        <vertAlign val="baseline"/>
        <sz val="11"/>
        <color theme="1"/>
        <name val="B Nazanin"/>
        <charset val="178"/>
        <scheme val="none"/>
      </font>
    </dxf>
    <dxf>
      <font>
        <b/>
        <i val="0"/>
        <strike val="0"/>
        <condense val="0"/>
        <extend val="0"/>
        <outline val="0"/>
        <shadow val="0"/>
        <u val="none"/>
        <vertAlign val="baseline"/>
        <sz val="11"/>
        <color theme="1"/>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numFmt numFmtId="166" formatCode="_(* #,##0_);_(* \(#,##0\);_(* &quot;-&quot;??_);_(@_)"/>
    </dxf>
    <dxf>
      <numFmt numFmtId="166" formatCode="_(* #,##0_);_(* \(#,##0\);_(* &quot;-&quot;??_);_(@_)"/>
    </dxf>
    <dxf>
      <font>
        <b/>
      </font>
    </dxf>
    <dxf>
      <font>
        <b/>
      </font>
    </dxf>
    <dxf>
      <font>
        <b/>
      </font>
    </dxf>
    <dxf>
      <font>
        <name val="B Nazanin"/>
        <charset val="178"/>
        <scheme val="none"/>
      </font>
    </dxf>
    <dxf>
      <font>
        <name val="B Nazanin"/>
        <charset val="178"/>
        <scheme val="none"/>
      </font>
    </dxf>
    <dxf>
      <font>
        <name val="B Nazanin"/>
        <charset val="178"/>
        <scheme val="none"/>
      </font>
    </dxf>
    <dxf>
      <numFmt numFmtId="169" formatCode="#,##0,"/>
    </dxf>
    <dxf>
      <numFmt numFmtId="169" formatCode="#,##0,"/>
    </dxf>
    <dxf>
      <numFmt numFmtId="169" formatCode="#,##0,"/>
    </dxf>
    <dxf>
      <numFmt numFmtId="169" formatCode="#,##0,"/>
    </dxf>
    <dxf>
      <numFmt numFmtId="168" formatCode="#,##0.00,,"/>
    </dxf>
    <dxf>
      <numFmt numFmtId="168" formatCode="#,##0.00,,"/>
    </dxf>
    <dxf>
      <numFmt numFmtId="166" formatCode="_(* #,##0_);_(* \(#,##0\);_(* &quot;-&quot;??_);_(@_)"/>
    </dxf>
    <dxf>
      <numFmt numFmtId="166" formatCode="_(* #,##0_);_(* \(#,##0\);_(* &quot;-&quot;??_);_(@_)"/>
    </dxf>
    <dxf>
      <numFmt numFmtId="166" formatCode="_(* #,##0_);_(* \(#,##0\);_(* &quot;-&quot;??_);_(@_)"/>
    </dxf>
    <dxf>
      <numFmt numFmtId="166" formatCode="_(* #,##0_);_(* \(#,##0\);_(* &quot;-&quot;??_);_(@_)"/>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numFmt numFmtId="168" formatCode="#,##0.00,,"/>
    </dxf>
    <dxf>
      <numFmt numFmtId="166" formatCode="_(* #,##0_);_(* \(#,##0\);_(* &quot;-&quot;??_);_(@_)"/>
    </dxf>
    <dxf>
      <font>
        <b/>
      </font>
    </dxf>
    <dxf>
      <font>
        <b/>
      </font>
    </dxf>
    <dxf>
      <font>
        <b/>
      </font>
    </dxf>
    <dxf>
      <font>
        <name val="B Nazanin"/>
        <charset val="178"/>
        <scheme val="none"/>
      </font>
    </dxf>
    <dxf>
      <font>
        <name val="B Nazanin"/>
        <charset val="178"/>
        <scheme val="none"/>
      </font>
    </dxf>
    <dxf>
      <font>
        <name val="B Nazanin"/>
        <charset val="178"/>
        <scheme val="none"/>
      </font>
    </dxf>
    <dxf>
      <numFmt numFmtId="170" formatCode="#0.00,"/>
    </dxf>
    <dxf>
      <numFmt numFmtId="170" formatCode="#0.00,"/>
    </dxf>
    <dxf>
      <numFmt numFmtId="166" formatCode="_(* #,##0_);_(* \(#,##0\);_(* &quot;-&quot;??_);_(@_)"/>
    </dxf>
    <dxf>
      <numFmt numFmtId="166" formatCode="_(* #,##0_);_(* \(#,##0\);_(* &quot;-&quot;??_);_(@_)"/>
    </dxf>
    <dxf>
      <numFmt numFmtId="166" formatCode="_(* #,##0_);_(* \(#,##0\);_(* &quot;-&quot;??_);_(@_)"/>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name val="B Nazanin"/>
        <charset val="178"/>
        <scheme val="none"/>
      </font>
    </dxf>
    <dxf>
      <font>
        <name val="B Nazanin"/>
        <charset val="178"/>
        <scheme val="none"/>
      </font>
    </dxf>
    <dxf>
      <font>
        <name val="B Nazanin"/>
        <charset val="178"/>
        <scheme val="none"/>
      </font>
    </dxf>
    <dxf>
      <numFmt numFmtId="169" formatCode="#,##0,"/>
    </dxf>
    <dxf>
      <numFmt numFmtId="169" formatCode="#,##0,"/>
    </dxf>
    <dxf>
      <numFmt numFmtId="169" formatCode="#,##0,"/>
    </dxf>
    <dxf>
      <numFmt numFmtId="169" formatCode="#,##0,"/>
    </dxf>
    <dxf>
      <numFmt numFmtId="168" formatCode="#,##0.00,,"/>
    </dxf>
    <dxf>
      <numFmt numFmtId="168" formatCode="#,##0.00,,"/>
    </dxf>
    <dxf>
      <numFmt numFmtId="166" formatCode="_(* #,##0_);_(* \(#,##0\);_(* &quot;-&quot;??_);_(@_)"/>
    </dxf>
    <dxf>
      <numFmt numFmtId="166" formatCode="_(* #,##0_);_(* \(#,##0\);_(* &quot;-&quot;??_);_(@_)"/>
    </dxf>
    <dxf>
      <numFmt numFmtId="166" formatCode="_(* #,##0_);_(* \(#,##0\);_(* &quot;-&quot;??_);_(@_)"/>
    </dxf>
    <dxf>
      <numFmt numFmtId="166" formatCode="_(* #,##0_);_(* \(#,##0\);_(* &quot;-&quot;??_);_(@_)"/>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border>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right"/>
    </dxf>
    <dxf>
      <alignment readingOrder="2"/>
    </dxf>
    <dxf>
      <numFmt numFmtId="166" formatCode="_(* #,##0_);_(* \(#,##0\);_(* &quot;-&quot;??_);_(@_)"/>
    </dxf>
    <dxf>
      <numFmt numFmtId="14" formatCode="0.00%"/>
    </dxf>
    <dxf>
      <numFmt numFmtId="166" formatCode="_(* #,##0_);_(* \(#,##0\);_(* &quot;-&quot;??_);_(@_)"/>
    </dxf>
    <dxf>
      <font>
        <b/>
      </font>
    </dxf>
    <dxf>
      <font>
        <b/>
      </font>
    </dxf>
    <dxf>
      <font>
        <b/>
      </font>
    </dxf>
    <dxf>
      <font>
        <b/>
      </font>
    </dxf>
    <dxf>
      <font>
        <b/>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name val="B Nazanin"/>
        <charset val="178"/>
        <scheme val="none"/>
      </font>
    </dxf>
    <dxf>
      <font>
        <b/>
        <i val="0"/>
        <name val="SamanBank"/>
        <charset val="178"/>
        <scheme val="none"/>
      </font>
      <fill>
        <patternFill>
          <bgColor theme="0" tint="-4.9989318521683403E-2"/>
        </patternFill>
      </fill>
      <border diagonalUp="0" diagonalDown="0">
        <left/>
        <right/>
        <top/>
        <bottom/>
        <vertical/>
        <horizontal/>
      </border>
    </dxf>
    <dxf>
      <font>
        <b/>
        <i val="0"/>
        <name val="SamanBank"/>
        <charset val="178"/>
        <scheme val="none"/>
      </font>
      <fill>
        <patternFill>
          <bgColor theme="0" tint="-4.9989318521683403E-2"/>
        </patternFill>
      </fill>
      <border diagonalUp="0" diagonalDown="0">
        <left/>
        <right/>
        <top/>
        <bottom/>
        <vertical/>
        <horizontal/>
      </border>
    </dxf>
    <dxf>
      <font>
        <b/>
        <i val="0"/>
        <name val="SamanBank"/>
        <charset val="178"/>
        <scheme val="none"/>
      </font>
      <fill>
        <patternFill>
          <bgColor theme="0" tint="-4.9989318521683403E-2"/>
        </patternFill>
      </fill>
      <border diagonalUp="0" diagonalDown="0">
        <left/>
        <right/>
        <top/>
        <bottom/>
        <vertical/>
        <horizontal/>
      </border>
    </dxf>
    <dxf>
      <font>
        <b/>
        <i val="0"/>
        <name val="SamanBank"/>
        <charset val="178"/>
        <scheme val="none"/>
      </font>
      <fill>
        <patternFill>
          <bgColor theme="0" tint="-4.9989318521683403E-2"/>
        </patternFill>
      </fill>
      <border diagonalUp="0" diagonalDown="0">
        <left/>
        <right/>
        <top/>
        <bottom/>
        <vertical/>
        <horizontal/>
      </border>
    </dxf>
    <dxf>
      <font>
        <b/>
        <i val="0"/>
        <sz val="11"/>
        <color theme="1"/>
        <name val="Koodak"/>
        <charset val="178"/>
        <scheme val="none"/>
      </font>
      <border>
        <bottom style="thin">
          <color theme="6"/>
        </bottom>
        <vertical/>
        <horizontal/>
      </border>
    </dxf>
    <dxf>
      <font>
        <color theme="1"/>
      </font>
      <fill>
        <patternFill>
          <bgColor theme="2" tint="-9.9948118533890809E-2"/>
        </patternFill>
      </fill>
      <border diagonalUp="0" diagonalDown="0">
        <left/>
        <right/>
        <top/>
        <bottom/>
        <vertical/>
        <horizontal/>
      </border>
    </dxf>
    <dxf>
      <fill>
        <patternFill>
          <bgColor theme="0" tint="-4.9989318521683403E-2"/>
        </patternFill>
      </fill>
    </dxf>
    <dxf>
      <font>
        <color theme="0"/>
      </font>
      <fill>
        <patternFill>
          <bgColor rgb="FF339966"/>
        </patternFill>
      </fill>
    </dxf>
  </dxfs>
  <tableStyles count="6" defaultTableStyle="TableStyleMedium2" defaultPivotStyle="PivotStyleLight16">
    <tableStyle name="CustomTableStyle" pivot="0" count="2" xr9:uid="{DC278539-D8BC-47B7-B2B9-174B738B49FC}">
      <tableStyleElement type="headerRow" dxfId="827"/>
      <tableStyleElement type="firstRowStripe" dxfId="826"/>
    </tableStyle>
    <tableStyle name="myslicer" pivot="0" table="0" count="10" xr9:uid="{7C677348-E836-4374-A418-14809BA49339}">
      <tableStyleElement type="wholeTable" dxfId="825"/>
      <tableStyleElement type="headerRow" dxfId="824"/>
    </tableStyle>
    <tableStyle name="Slicer Style 1 3" pivot="0" table="0" count="3" xr9:uid="{7B884F42-5141-47D1-8AB7-128373FC6B6C}">
      <tableStyleElement type="wholeTable" dxfId="823"/>
    </tableStyle>
    <tableStyle name="Slicer Style 1 3 2" pivot="0" table="0" count="3" xr9:uid="{5DDA4879-2901-44E6-A928-72C8585256F1}">
      <tableStyleElement type="wholeTable" dxfId="822"/>
    </tableStyle>
    <tableStyle name="Slicer Style 1 3 3" pivot="0" table="0" count="3" xr9:uid="{43B71C9B-D357-49D1-9C52-AF82D649F670}">
      <tableStyleElement type="wholeTable" dxfId="821"/>
    </tableStyle>
    <tableStyle name="Slicer Style 1 3 4" pivot="0" table="0" count="3" xr9:uid="{43122387-54F0-4658-99A0-3C237175FD59}">
      <tableStyleElement type="wholeTable" dxfId="820"/>
    </tableStyle>
  </tableStyles>
  <colors>
    <mruColors>
      <color rgb="FFFFFFFF"/>
      <color rgb="FF61D6FF"/>
      <color rgb="FF000000"/>
      <color rgb="FFFF0000"/>
      <color rgb="FFD7355F"/>
      <color rgb="FF3A3F44"/>
      <color rgb="FF292A2F"/>
      <color rgb="FF2E3236"/>
      <color rgb="FFBEE2DE"/>
      <color rgb="FFB0BAC0"/>
    </mruColors>
  </colors>
  <extLst>
    <ext xmlns:x14="http://schemas.microsoft.com/office/spreadsheetml/2009/9/main" uri="{46F421CA-312F-682f-3DD2-61675219B42D}">
      <x14:dxfs count="16">
        <dxf>
          <font>
            <b/>
            <i val="0"/>
            <color theme="0"/>
            <name val="SamanBank"/>
            <charset val="178"/>
            <scheme val="none"/>
          </font>
          <fill>
            <patternFill>
              <bgColor theme="2"/>
            </patternFill>
          </fill>
          <border diagonalUp="0" diagonalDown="0">
            <left/>
            <right/>
            <top/>
            <bottom/>
            <vertical/>
            <horizontal/>
          </border>
        </dxf>
        <dxf>
          <font>
            <b/>
            <i val="0"/>
            <name val="SamanBank"/>
            <charset val="178"/>
            <scheme val="none"/>
          </font>
          <fill>
            <patternFill>
              <bgColor theme="3" tint="0.79998168889431442"/>
            </patternFill>
          </fill>
          <border diagonalUp="0" diagonalDown="0">
            <left/>
            <right/>
            <top/>
            <bottom/>
            <vertical/>
            <horizontal/>
          </border>
        </dxf>
        <dxf>
          <font>
            <b/>
            <i val="0"/>
            <color theme="0"/>
            <name val="SamanBank"/>
            <charset val="178"/>
            <scheme val="none"/>
          </font>
          <fill>
            <patternFill>
              <bgColor theme="2"/>
            </patternFill>
          </fill>
          <border diagonalUp="0" diagonalDown="0">
            <left/>
            <right/>
            <top/>
            <bottom/>
            <vertical/>
            <horizontal/>
          </border>
        </dxf>
        <dxf>
          <font>
            <b/>
            <i val="0"/>
            <name val="SamanBank"/>
            <charset val="178"/>
            <scheme val="none"/>
          </font>
          <fill>
            <patternFill>
              <bgColor theme="3" tint="0.79998168889431442"/>
            </patternFill>
          </fill>
          <border diagonalUp="0" diagonalDown="0">
            <left/>
            <right/>
            <top/>
            <bottom/>
            <vertical/>
            <horizontal/>
          </border>
        </dxf>
        <dxf>
          <font>
            <b/>
            <i val="0"/>
            <color theme="0"/>
            <name val="SamanBank"/>
            <charset val="178"/>
            <scheme val="none"/>
          </font>
          <fill>
            <patternFill>
              <bgColor theme="2"/>
            </patternFill>
          </fill>
          <border diagonalUp="0" diagonalDown="0">
            <left/>
            <right/>
            <top/>
            <bottom/>
            <vertical/>
            <horizontal/>
          </border>
        </dxf>
        <dxf>
          <font>
            <b/>
            <i val="0"/>
            <name val="SamanBank"/>
            <charset val="178"/>
            <scheme val="none"/>
          </font>
          <fill>
            <patternFill>
              <bgColor theme="3" tint="0.79998168889431442"/>
            </patternFill>
          </fill>
          <border diagonalUp="0" diagonalDown="0">
            <left/>
            <right/>
            <top/>
            <bottom/>
            <vertical/>
            <horizontal/>
          </border>
        </dxf>
        <dxf>
          <font>
            <b/>
            <i val="0"/>
            <color theme="0"/>
            <name val="SamanBank"/>
            <charset val="178"/>
            <scheme val="none"/>
          </font>
          <fill>
            <patternFill>
              <bgColor theme="2"/>
            </patternFill>
          </fill>
          <border diagonalUp="0" diagonalDown="0">
            <left/>
            <right/>
            <top/>
            <bottom/>
            <vertical/>
            <horizontal/>
          </border>
        </dxf>
        <dxf>
          <font>
            <b/>
            <i val="0"/>
            <name val="SamanBank"/>
            <charset val="178"/>
            <scheme val="none"/>
          </font>
          <fill>
            <patternFill>
              <bgColor theme="3" tint="0.79998168889431442"/>
            </patternFill>
          </fill>
          <border diagonalUp="0" diagonalDown="0">
            <left/>
            <right/>
            <top/>
            <bottom/>
            <vertical/>
            <horizontal/>
          </border>
        </dxf>
        <dxf>
          <font>
            <color rgb="FF000000"/>
            <name val="Nazanin"/>
            <charset val="178"/>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0"/>
            <color rgb="FF000000"/>
            <name val="Koodak"/>
            <charset val="178"/>
            <scheme val="none"/>
          </font>
          <fill>
            <gradientFill degree="90">
              <stop position="0">
                <color rgb="FFF8E162"/>
              </stop>
              <stop position="1">
                <color rgb="FFFCF7E0"/>
              </stop>
            </gradientFill>
          </fill>
          <border diagonalUp="0" diagonalDown="0">
            <left/>
            <right/>
            <top/>
            <bottom/>
            <vertical/>
            <horizontal/>
          </border>
        </dxf>
        <dxf>
          <font>
            <sz val="10"/>
            <color rgb="FF000000"/>
            <name val="Koodak"/>
            <charset val="178"/>
            <scheme val="none"/>
          </font>
          <fill>
            <gradientFill degree="90">
              <stop position="0">
                <color rgb="FFF8E162"/>
              </stop>
              <stop position="1">
                <color rgb="FFFCF7E0"/>
              </stop>
            </gradientFill>
          </fill>
          <border diagonalUp="0" diagonalDown="0">
            <left/>
            <right/>
            <top/>
            <bottom/>
            <vertical/>
            <horizontal/>
          </border>
        </dxf>
        <dxf>
          <font>
            <color theme="6" tint="-0.249977111117893"/>
            <name val="B Nazanin"/>
            <charset val="178"/>
            <scheme val="none"/>
          </font>
          <fill>
            <patternFill patternType="solid">
              <fgColor theme="6" tint="0.59999389629810485"/>
              <bgColor theme="6" tint="0.59999389629810485"/>
            </patternFill>
          </fill>
          <border>
            <left style="thin">
              <color theme="6" tint="0.59999389629810485"/>
            </left>
            <right style="thin">
              <color theme="6" tint="0.59999389629810485"/>
            </right>
            <top style="thin">
              <color theme="6" tint="0.59999389629810485"/>
            </top>
            <bottom style="thin">
              <color theme="6" tint="0.59999389629810485"/>
            </bottom>
            <vertical/>
            <horizontal/>
          </border>
        </dxf>
        <dxf>
          <font>
            <b/>
            <i val="0"/>
            <sz val="11"/>
            <color rgb="FFFFFFFF"/>
            <name val="B Koodak"/>
            <charset val="178"/>
            <scheme val="none"/>
          </font>
          <fill>
            <gradientFill degree="90">
              <stop position="0">
                <color theme="7" tint="-0.25098422193060094"/>
              </stop>
              <stop position="0.5">
                <color theme="7"/>
              </stop>
              <stop position="1">
                <color theme="7" tint="-0.25098422193060094"/>
              </stop>
            </gradientFill>
          </fill>
          <border diagonalUp="0" diagonalDown="0">
            <left/>
            <right/>
            <top/>
            <bottom/>
            <vertical/>
            <horizontal/>
          </border>
        </dxf>
        <dxf>
          <font>
            <color rgb="FF959595"/>
            <name val="Nazanin"/>
            <charset val="178"/>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b/>
            <i val="0"/>
            <sz val="10"/>
            <color rgb="FFFFFFFF"/>
            <name val="B Koodak"/>
            <charset val="178"/>
            <scheme val="none"/>
          </font>
          <fill>
            <patternFill patternType="solid">
              <fgColor rgb="FFC0C0C0"/>
              <bgColor rgb="FF464850"/>
            </patternFill>
          </fill>
          <border diagonalUp="0" diagonalDown="0">
            <left/>
            <right/>
            <top/>
            <bottom/>
            <vertical/>
            <horizontal/>
          </border>
        </dxf>
      </x14:dxfs>
    </ext>
    <ext xmlns:x14="http://schemas.microsoft.com/office/spreadsheetml/2009/9/main" uri="{EB79DEF2-80B8-43e5-95BD-54CBDDF9020C}">
      <x14:slicerStyles defaultSlicerStyle="SlicerStyleLight1">
        <x14:slicerStyle name="myslicer">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 Style 1 3">
          <x14:slicerStyleElements>
            <x14:slicerStyleElement type="unselectedItemWithData" dxfId="7"/>
            <x14:slicerStyleElement type="selectedItemWithData" dxfId="6"/>
          </x14:slicerStyleElements>
        </x14:slicerStyle>
        <x14:slicerStyle name="Slicer Style 1 3 2">
          <x14:slicerStyleElements>
            <x14:slicerStyleElement type="unselectedItemWithData" dxfId="5"/>
            <x14:slicerStyleElement type="selectedItemWithData" dxfId="4"/>
          </x14:slicerStyleElements>
        </x14:slicerStyle>
        <x14:slicerStyle name="Slicer Style 1 3 3">
          <x14:slicerStyleElements>
            <x14:slicerStyleElement type="unselectedItemWithData" dxfId="3"/>
            <x14:slicerStyleElement type="selectedItemWithData" dxfId="2"/>
          </x14:slicerStyleElements>
        </x14:slicerStyle>
        <x14:slicerStyle name="Slicer Style 1 3 4">
          <x14:slicerStyleElements>
            <x14:slicerStyleElement type="unselectedItemWithData" dxfId="1"/>
            <x14:slicerStyleElement type="selectedItemWith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pivotCacheDefinition" Target="pivotCache/pivotCacheDefinition8.xml"/><Relationship Id="rId26" Type="http://schemas.openxmlformats.org/officeDocument/2006/relationships/sheetMetadata" Target="metadata.xml"/><Relationship Id="rId39" Type="http://schemas.openxmlformats.org/officeDocument/2006/relationships/customXml" Target="../customXml/item11.xml"/><Relationship Id="rId21" Type="http://schemas.microsoft.com/office/2007/relationships/slicerCache" Target="slicerCaches/slicerCache1.xml"/><Relationship Id="rId34" Type="http://schemas.openxmlformats.org/officeDocument/2006/relationships/customXml" Target="../customXml/item6.xml"/><Relationship Id="rId42" Type="http://schemas.openxmlformats.org/officeDocument/2006/relationships/customXml" Target="../customXml/item14.xml"/><Relationship Id="rId47" Type="http://schemas.openxmlformats.org/officeDocument/2006/relationships/customXml" Target="../customXml/item19.xml"/><Relationship Id="rId50" Type="http://schemas.openxmlformats.org/officeDocument/2006/relationships/customXml" Target="../customXml/item2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9" Type="http://schemas.openxmlformats.org/officeDocument/2006/relationships/customXml" Target="../customXml/item1.xml"/><Relationship Id="rId11" Type="http://schemas.openxmlformats.org/officeDocument/2006/relationships/pivotCacheDefinition" Target="pivotCache/pivotCacheDefinition1.xml"/><Relationship Id="rId24" Type="http://schemas.openxmlformats.org/officeDocument/2006/relationships/styles" Target="styles.xml"/><Relationship Id="rId32" Type="http://schemas.openxmlformats.org/officeDocument/2006/relationships/customXml" Target="../customXml/item4.xml"/><Relationship Id="rId37" Type="http://schemas.openxmlformats.org/officeDocument/2006/relationships/customXml" Target="../customXml/item9.xml"/><Relationship Id="rId40" Type="http://schemas.openxmlformats.org/officeDocument/2006/relationships/customXml" Target="../customXml/item12.xml"/><Relationship Id="rId45" Type="http://schemas.openxmlformats.org/officeDocument/2006/relationships/customXml" Target="../customXml/item17.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openxmlformats.org/officeDocument/2006/relationships/connections" Target="connections.xml"/><Relationship Id="rId28" Type="http://schemas.openxmlformats.org/officeDocument/2006/relationships/calcChain" Target="calcChain.xml"/><Relationship Id="rId36" Type="http://schemas.openxmlformats.org/officeDocument/2006/relationships/customXml" Target="../customXml/item8.xml"/><Relationship Id="rId49" Type="http://schemas.openxmlformats.org/officeDocument/2006/relationships/customXml" Target="../customXml/item21.xml"/><Relationship Id="rId10" Type="http://schemas.openxmlformats.org/officeDocument/2006/relationships/worksheet" Target="worksheets/sheet10.xml"/><Relationship Id="rId19" Type="http://schemas.openxmlformats.org/officeDocument/2006/relationships/pivotCacheDefinition" Target="pivotCache/pivotCacheDefinition9.xml"/><Relationship Id="rId31" Type="http://schemas.openxmlformats.org/officeDocument/2006/relationships/customXml" Target="../customXml/item3.xml"/><Relationship Id="rId44" Type="http://schemas.openxmlformats.org/officeDocument/2006/relationships/customXml" Target="../customXml/item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openxmlformats.org/officeDocument/2006/relationships/theme" Target="theme/theme1.xml"/><Relationship Id="rId27" Type="http://schemas.openxmlformats.org/officeDocument/2006/relationships/powerPivotData" Target="model/item.data"/><Relationship Id="rId30" Type="http://schemas.openxmlformats.org/officeDocument/2006/relationships/customXml" Target="../customXml/item2.xml"/><Relationship Id="rId35" Type="http://schemas.openxmlformats.org/officeDocument/2006/relationships/customXml" Target="../customXml/item7.xml"/><Relationship Id="rId43" Type="http://schemas.openxmlformats.org/officeDocument/2006/relationships/customXml" Target="../customXml/item15.xml"/><Relationship Id="rId48" Type="http://schemas.openxmlformats.org/officeDocument/2006/relationships/customXml" Target="../customXml/item2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openxmlformats.org/officeDocument/2006/relationships/sharedStrings" Target="sharedStrings.xml"/><Relationship Id="rId33" Type="http://schemas.openxmlformats.org/officeDocument/2006/relationships/customXml" Target="../customXml/item5.xml"/><Relationship Id="rId38" Type="http://schemas.openxmlformats.org/officeDocument/2006/relationships/customXml" Target="../customXml/item10.xml"/><Relationship Id="rId46" Type="http://schemas.openxmlformats.org/officeDocument/2006/relationships/customXml" Target="../customXml/item18.xml"/><Relationship Id="rId20" Type="http://schemas.openxmlformats.org/officeDocument/2006/relationships/pivotCacheDefinition" Target="pivotCache/pivotCacheDefinition10.xml"/><Relationship Id="rId41"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spPr>
            <a:solidFill>
              <a:srgbClr val="69FF69"/>
            </a:solidFill>
            <a:ln>
              <a:solidFill>
                <a:srgbClr val="92D050"/>
              </a:solidFill>
            </a:ln>
            <a:effectLst/>
          </c:spPr>
          <c:invertIfNegative val="0"/>
          <c:dLbls>
            <c:dLbl>
              <c:idx val="0"/>
              <c:layout>
                <c:manualLayout>
                  <c:x val="0.22072337596693203"/>
                  <c:y val="-2.68336692824212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0.45732408448943884"/>
                      <c:h val="0.42236262805858943"/>
                    </c:manualLayout>
                  </c15:layout>
                </c:ext>
                <c:ext xmlns:c16="http://schemas.microsoft.com/office/drawing/2014/chart" uri="{C3380CC4-5D6E-409C-BE32-E72D297353CC}">
                  <c16:uniqueId val="{00000002-660B-4339-A129-C4009D13888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calc!$AK$7</c:f>
              <c:numCache>
                <c:formatCode>0.0%</c:formatCode>
                <c:ptCount val="1"/>
                <c:pt idx="0">
                  <c:v>0.92394370419969873</c:v>
                </c:pt>
              </c:numCache>
            </c:numRef>
          </c:val>
          <c:extLst>
            <c:ext xmlns:c16="http://schemas.microsoft.com/office/drawing/2014/chart" uri="{C3380CC4-5D6E-409C-BE32-E72D297353CC}">
              <c16:uniqueId val="{00000000-660B-4339-A129-C4009D138887}"/>
            </c:ext>
          </c:extLst>
        </c:ser>
        <c:ser>
          <c:idx val="1"/>
          <c:order val="1"/>
          <c:spPr>
            <a:solidFill>
              <a:srgbClr val="FFFFFF"/>
            </a:solidFill>
            <a:ln>
              <a:solidFill>
                <a:schemeClr val="tx1">
                  <a:lumMod val="50000"/>
                  <a:lumOff val="50000"/>
                </a:schemeClr>
              </a:solidFill>
            </a:ln>
            <a:effectLst/>
          </c:spPr>
          <c:invertIfNegative val="0"/>
          <c:val>
            <c:numRef>
              <c:f>calc!$AL$7</c:f>
              <c:numCache>
                <c:formatCode>0.0%</c:formatCode>
                <c:ptCount val="1"/>
                <c:pt idx="0">
                  <c:v>7.6056295800301266E-2</c:v>
                </c:pt>
              </c:numCache>
            </c:numRef>
          </c:val>
          <c:extLst>
            <c:ext xmlns:c16="http://schemas.microsoft.com/office/drawing/2014/chart" uri="{C3380CC4-5D6E-409C-BE32-E72D297353CC}">
              <c16:uniqueId val="{00000001-660B-4339-A129-C4009D138887}"/>
            </c:ext>
          </c:extLst>
        </c:ser>
        <c:dLbls>
          <c:showLegendKey val="0"/>
          <c:showVal val="0"/>
          <c:showCatName val="0"/>
          <c:showSerName val="0"/>
          <c:showPercent val="0"/>
          <c:showBubbleSize val="0"/>
        </c:dLbls>
        <c:gapWidth val="0"/>
        <c:overlap val="100"/>
        <c:axId val="1752065104"/>
        <c:axId val="508712432"/>
      </c:barChart>
      <c:catAx>
        <c:axId val="1752065104"/>
        <c:scaling>
          <c:orientation val="minMax"/>
        </c:scaling>
        <c:delete val="1"/>
        <c:axPos val="r"/>
        <c:majorTickMark val="out"/>
        <c:minorTickMark val="none"/>
        <c:tickLblPos val="nextTo"/>
        <c:crossAx val="508712432"/>
        <c:crosses val="autoZero"/>
        <c:auto val="1"/>
        <c:lblAlgn val="ctr"/>
        <c:lblOffset val="100"/>
        <c:noMultiLvlLbl val="0"/>
      </c:catAx>
      <c:valAx>
        <c:axId val="508712432"/>
        <c:scaling>
          <c:orientation val="maxMin"/>
          <c:max val="1"/>
          <c:min val="0"/>
        </c:scaling>
        <c:delete val="1"/>
        <c:axPos val="b"/>
        <c:numFmt formatCode="0.0%" sourceLinked="1"/>
        <c:majorTickMark val="out"/>
        <c:minorTickMark val="none"/>
        <c:tickLblPos val="nextTo"/>
        <c:crossAx val="1752065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585571819205405"/>
          <c:y val="9.9047682551520924E-2"/>
          <c:w val="0.6610673103989062"/>
          <c:h val="0.86610631529252158"/>
        </c:manualLayout>
      </c:layout>
      <c:doughnutChart>
        <c:varyColors val="1"/>
        <c:ser>
          <c:idx val="0"/>
          <c:order val="0"/>
          <c:spPr>
            <a:ln>
              <a:noFill/>
            </a:ln>
          </c:spPr>
          <c:dPt>
            <c:idx val="0"/>
            <c:bubble3D val="0"/>
            <c:spPr>
              <a:gradFill flip="none" rotWithShape="1">
                <a:gsLst>
                  <a:gs pos="0">
                    <a:schemeClr val="accent3">
                      <a:lumMod val="50000"/>
                    </a:schemeClr>
                  </a:gs>
                  <a:gs pos="64000">
                    <a:srgbClr val="00DA6D"/>
                  </a:gs>
                  <a:gs pos="35000">
                    <a:srgbClr val="69FF69">
                      <a:shade val="67500"/>
                      <a:satMod val="115000"/>
                    </a:srgbClr>
                  </a:gs>
                  <a:gs pos="100000">
                    <a:srgbClr val="FFC000"/>
                  </a:gs>
                </a:gsLst>
                <a:lin ang="10800000" scaled="1"/>
                <a:tileRect/>
              </a:gradFill>
              <a:ln w="3175">
                <a:solidFill>
                  <a:schemeClr val="tx1">
                    <a:lumMod val="50000"/>
                    <a:lumOff val="50000"/>
                  </a:schemeClr>
                </a:solidFill>
              </a:ln>
              <a:effectLst/>
            </c:spPr>
            <c:extLst>
              <c:ext xmlns:c16="http://schemas.microsoft.com/office/drawing/2014/chart" uri="{C3380CC4-5D6E-409C-BE32-E72D297353CC}">
                <c16:uniqueId val="{00000001-303F-405B-95B6-D25150352B39}"/>
              </c:ext>
            </c:extLst>
          </c:dPt>
          <c:dPt>
            <c:idx val="1"/>
            <c:bubble3D val="0"/>
            <c:spPr>
              <a:gradFill flip="none" rotWithShape="1">
                <a:gsLst>
                  <a:gs pos="0">
                    <a:srgbClr val="DDDDDD">
                      <a:shade val="30000"/>
                      <a:satMod val="115000"/>
                    </a:srgbClr>
                  </a:gs>
                  <a:gs pos="50000">
                    <a:srgbClr val="DDDDDD">
                      <a:shade val="67500"/>
                      <a:satMod val="115000"/>
                    </a:srgbClr>
                  </a:gs>
                  <a:gs pos="100000">
                    <a:srgbClr val="DDDDDD">
                      <a:shade val="100000"/>
                      <a:satMod val="115000"/>
                    </a:srgbClr>
                  </a:gs>
                </a:gsLst>
                <a:lin ang="2700000" scaled="1"/>
                <a:tileRect/>
              </a:gradFill>
              <a:ln w="3175">
                <a:solidFill>
                  <a:schemeClr val="tx1">
                    <a:lumMod val="50000"/>
                    <a:lumOff val="50000"/>
                  </a:schemeClr>
                </a:solidFill>
              </a:ln>
              <a:effectLst/>
            </c:spPr>
            <c:extLst>
              <c:ext xmlns:c16="http://schemas.microsoft.com/office/drawing/2014/chart" uri="{C3380CC4-5D6E-409C-BE32-E72D297353CC}">
                <c16:uniqueId val="{00000003-303F-405B-95B6-D25150352B39}"/>
              </c:ext>
            </c:extLst>
          </c:dPt>
          <c:val>
            <c:numRef>
              <c:f>calc!$U$8:$V$8</c:f>
              <c:numCache>
                <c:formatCode>0.0%</c:formatCode>
                <c:ptCount val="2"/>
                <c:pt idx="0">
                  <c:v>0.405599110254175</c:v>
                </c:pt>
                <c:pt idx="1">
                  <c:v>0.59440088974582506</c:v>
                </c:pt>
              </c:numCache>
            </c:numRef>
          </c:val>
          <c:extLst>
            <c:ext xmlns:c16="http://schemas.microsoft.com/office/drawing/2014/chart" uri="{C3380CC4-5D6E-409C-BE32-E72D297353CC}">
              <c16:uniqueId val="{00000006-303F-405B-95B6-D25150352B39}"/>
            </c:ext>
          </c:extLst>
        </c:ser>
        <c:dLbls>
          <c:showLegendKey val="0"/>
          <c:showVal val="0"/>
          <c:showCatName val="0"/>
          <c:showSerName val="0"/>
          <c:showPercent val="0"/>
          <c:showBubbleSize val="0"/>
          <c:showLeaderLines val="1"/>
        </c:dLbls>
        <c:firstSliceAng val="270"/>
        <c:holeSize val="68"/>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10738838721892487"/>
          <c:w val="1"/>
          <c:h val="0.62930505181228091"/>
        </c:manualLayout>
      </c:layout>
      <c:barChart>
        <c:barDir val="col"/>
        <c:grouping val="clustered"/>
        <c:varyColors val="0"/>
        <c:ser>
          <c:idx val="0"/>
          <c:order val="0"/>
          <c:tx>
            <c:strRef>
              <c:f>calc!$BU$7</c:f>
              <c:strCache>
                <c:ptCount val="1"/>
                <c:pt idx="0">
                  <c:v>میزان سفارش(هزار تن)</c:v>
                </c:pt>
              </c:strCache>
            </c:strRef>
          </c:tx>
          <c:spPr>
            <a:solidFill>
              <a:schemeClr val="bg2"/>
            </a:solidFill>
            <a:ln w="38100">
              <a:solidFill>
                <a:schemeClr val="bg2"/>
              </a:solidFill>
            </a:ln>
            <a:effectLst/>
          </c:spPr>
          <c:invertIfNegative val="0"/>
          <c:dLbls>
            <c:dLbl>
              <c:idx val="0"/>
              <c:tx>
                <c:rich>
                  <a:bodyPr/>
                  <a:lstStyle/>
                  <a:p>
                    <a:fld id="{CCEFC8A3-AE6B-48C5-84AC-6D488E3DA097}"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0C-4CF3-AC9C-6B662B40ECD0}"/>
                </c:ext>
              </c:extLst>
            </c:dLbl>
            <c:dLbl>
              <c:idx val="1"/>
              <c:tx>
                <c:rich>
                  <a:bodyPr/>
                  <a:lstStyle/>
                  <a:p>
                    <a:fld id="{6F768B38-46A2-4CA7-B5A7-F0D2D74FB699}"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90C-4CF3-AC9C-6B662B40ECD0}"/>
                </c:ext>
              </c:extLst>
            </c:dLbl>
            <c:dLbl>
              <c:idx val="2"/>
              <c:tx>
                <c:rich>
                  <a:bodyPr/>
                  <a:lstStyle/>
                  <a:p>
                    <a:fld id="{F282C4BA-14A4-44AA-8022-19AFE5D0B191}"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90C-4CF3-AC9C-6B662B40ECD0}"/>
                </c:ext>
              </c:extLst>
            </c:dLbl>
            <c:dLbl>
              <c:idx val="3"/>
              <c:tx>
                <c:rich>
                  <a:bodyPr/>
                  <a:lstStyle/>
                  <a:p>
                    <a:fld id="{9C245413-A312-4D8F-BE1C-7AFE05986AED}"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90C-4CF3-AC9C-6B662B40ECD0}"/>
                </c:ext>
              </c:extLst>
            </c:dLbl>
            <c:dLbl>
              <c:idx val="4"/>
              <c:tx>
                <c:rich>
                  <a:bodyPr/>
                  <a:lstStyle/>
                  <a:p>
                    <a:fld id="{781E8290-F4C8-4003-802E-9D31EA7751EA}"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90C-4CF3-AC9C-6B662B40ECD0}"/>
                </c:ext>
              </c:extLst>
            </c:dLbl>
            <c:dLbl>
              <c:idx val="5"/>
              <c:tx>
                <c:rich>
                  <a:bodyPr/>
                  <a:lstStyle/>
                  <a:p>
                    <a:fld id="{AAAA07D3-639C-4697-8BF2-D6451A1620F3}"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90C-4CF3-AC9C-6B662B40ECD0}"/>
                </c:ext>
              </c:extLst>
            </c:dLbl>
            <c:dLbl>
              <c:idx val="6"/>
              <c:tx>
                <c:rich>
                  <a:bodyPr/>
                  <a:lstStyle/>
                  <a:p>
                    <a:fld id="{4F1EF575-4919-45A8-A322-A0FC06699461}"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90C-4CF3-AC9C-6B662B40ECD0}"/>
                </c:ext>
              </c:extLst>
            </c:dLbl>
            <c:dLbl>
              <c:idx val="7"/>
              <c:tx>
                <c:rich>
                  <a:bodyPr/>
                  <a:lstStyle/>
                  <a:p>
                    <a:fld id="{66CA223E-4C23-4B87-AF6C-CDFD211ACA8B}"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90C-4CF3-AC9C-6B662B40ECD0}"/>
                </c:ext>
              </c:extLst>
            </c:dLbl>
            <c:dLbl>
              <c:idx val="8"/>
              <c:tx>
                <c:rich>
                  <a:bodyPr/>
                  <a:lstStyle/>
                  <a:p>
                    <a:fld id="{A083399B-B146-430E-99AC-9796F2B1CA7F}"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90C-4CF3-AC9C-6B662B40ECD0}"/>
                </c:ext>
              </c:extLst>
            </c:dLbl>
            <c:dLbl>
              <c:idx val="9"/>
              <c:tx>
                <c:rich>
                  <a:bodyPr/>
                  <a:lstStyle/>
                  <a:p>
                    <a:fld id="{87BA7793-D555-439A-949D-4148BEEE119B}"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90C-4CF3-AC9C-6B662B40ECD0}"/>
                </c:ext>
              </c:extLst>
            </c:dLbl>
            <c:dLbl>
              <c:idx val="10"/>
              <c:tx>
                <c:rich>
                  <a:bodyPr/>
                  <a:lstStyle/>
                  <a:p>
                    <a:fld id="{7946BB16-92A3-43CB-8B37-31923941E914}"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90C-4CF3-AC9C-6B662B40ECD0}"/>
                </c:ext>
              </c:extLst>
            </c:dLbl>
            <c:dLbl>
              <c:idx val="11"/>
              <c:tx>
                <c:rich>
                  <a:bodyPr/>
                  <a:lstStyle/>
                  <a:p>
                    <a:fld id="{5E5FD14B-F759-45D6-A385-08BCB3751B78}"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90C-4CF3-AC9C-6B662B40ECD0}"/>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calc!$BT$8:$BT$19</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calc!$BU$8:$BU$19</c:f>
              <c:numCache>
                <c:formatCode>##,##0.00,,</c:formatCode>
                <c:ptCount val="12"/>
                <c:pt idx="0">
                  <c:v>0</c:v>
                </c:pt>
                <c:pt idx="1">
                  <c:v>9309093</c:v>
                </c:pt>
                <c:pt idx="2">
                  <c:v>100000</c:v>
                </c:pt>
                <c:pt idx="3">
                  <c:v>600000</c:v>
                </c:pt>
                <c:pt idx="4">
                  <c:v>100000</c:v>
                </c:pt>
                <c:pt idx="5">
                  <c:v>450000</c:v>
                </c:pt>
                <c:pt idx="6">
                  <c:v>0</c:v>
                </c:pt>
                <c:pt idx="7">
                  <c:v>0</c:v>
                </c:pt>
                <c:pt idx="8">
                  <c:v>0</c:v>
                </c:pt>
                <c:pt idx="9">
                  <c:v>0</c:v>
                </c:pt>
                <c:pt idx="10">
                  <c:v>0</c:v>
                </c:pt>
                <c:pt idx="11">
                  <c:v>0</c:v>
                </c:pt>
              </c:numCache>
            </c:numRef>
          </c:val>
          <c:extLst>
            <c:ext xmlns:c15="http://schemas.microsoft.com/office/drawing/2012/chart" uri="{02D57815-91ED-43cb-92C2-25804820EDAC}">
              <c15:datalabelsRange>
                <c15:f>calc!$BU$8:$BU$19</c15:f>
                <c15:dlblRangeCache>
                  <c:ptCount val="12"/>
                  <c:pt idx="1">
                    <c:v>9.31</c:v>
                  </c:pt>
                  <c:pt idx="2">
                    <c:v>0.10</c:v>
                  </c:pt>
                  <c:pt idx="3">
                    <c:v>0.60</c:v>
                  </c:pt>
                  <c:pt idx="4">
                    <c:v>0.10</c:v>
                  </c:pt>
                  <c:pt idx="5">
                    <c:v>0.45</c:v>
                  </c:pt>
                </c15:dlblRangeCache>
              </c15:datalabelsRange>
            </c:ext>
            <c:ext xmlns:c16="http://schemas.microsoft.com/office/drawing/2014/chart" uri="{C3380CC4-5D6E-409C-BE32-E72D297353CC}">
              <c16:uniqueId val="{00000000-590C-4CF3-AC9C-6B662B40ECD0}"/>
            </c:ext>
          </c:extLst>
        </c:ser>
        <c:ser>
          <c:idx val="2"/>
          <c:order val="1"/>
          <c:tx>
            <c:strRef>
              <c:f>calc!$BW$7</c:f>
              <c:strCache>
                <c:ptCount val="1"/>
                <c:pt idx="0">
                  <c:v>مانده تعهدات</c:v>
                </c:pt>
              </c:strCache>
            </c:strRef>
          </c:tx>
          <c:spPr>
            <a:solidFill>
              <a:schemeClr val="accent2"/>
            </a:solidFill>
            <a:ln w="28575">
              <a:solidFill>
                <a:srgbClr val="CD354E"/>
              </a:solidFill>
            </a:ln>
            <a:effectLst/>
          </c:spPr>
          <c:invertIfNegative val="0"/>
          <c:dLbls>
            <c:dLbl>
              <c:idx val="0"/>
              <c:tx>
                <c:rich>
                  <a:bodyPr/>
                  <a:lstStyle/>
                  <a:p>
                    <a:fld id="{3B893A77-66DA-45DA-9944-318A71941101}" type="CELLRANGE">
                      <a:rPr lang="fa-IR" b="0" u="none">
                        <a:solidFill>
                          <a:srgbClr val="FFFF00"/>
                        </a:solidFill>
                      </a:rP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590C-4CF3-AC9C-6B662B40ECD0}"/>
                </c:ext>
              </c:extLst>
            </c:dLbl>
            <c:dLbl>
              <c:idx val="1"/>
              <c:layout>
                <c:manualLayout>
                  <c:x val="2.518106727947667E-3"/>
                  <c:y val="-5.5921959195084758E-3"/>
                </c:manualLayout>
              </c:layout>
              <c:tx>
                <c:rich>
                  <a:bodyPr rot="0" spcFirstLastPara="1" vertOverflow="ellipsis" vert="horz" wrap="square" lIns="38100" tIns="19050" rIns="38100" bIns="19050" anchor="ctr" anchorCtr="1">
                    <a:noAutofit/>
                  </a:bodyPr>
                  <a:lstStyle/>
                  <a:p>
                    <a:pPr>
                      <a:defRPr lang="fa-IR" sz="1050" b="1" i="0" u="none" strike="noStrike" kern="1200" baseline="0">
                        <a:solidFill>
                          <a:srgbClr val="FFFF00"/>
                        </a:solidFill>
                        <a:latin typeface="+mn-lt"/>
                        <a:ea typeface="+mn-ea"/>
                        <a:cs typeface="+mn-cs"/>
                      </a:defRPr>
                    </a:pPr>
                    <a:fld id="{5DE7F94A-3F0C-4AFE-9077-6F823CA5D396}" type="CELLRANGE">
                      <a:rPr lang="fa-IR"/>
                      <a:pPr>
                        <a:defRPr lang="fa-IR" sz="1050" b="1">
                          <a:solidFill>
                            <a:srgbClr val="FFFF00"/>
                          </a:solidFill>
                        </a:defRPr>
                      </a:pPr>
                      <a:t>[CELLRANGE]</a:t>
                    </a:fld>
                    <a:endParaRPr lang="fa-IR"/>
                  </a:p>
                </c:rich>
              </c:tx>
              <c:spPr>
                <a:noFill/>
                <a:ln>
                  <a:noFill/>
                </a:ln>
                <a:effectLst/>
              </c:spPr>
              <c:txPr>
                <a:bodyPr rot="0" spcFirstLastPara="1" vertOverflow="ellipsis" vert="horz" wrap="square" lIns="38100" tIns="19050" rIns="38100" bIns="19050" anchor="ctr" anchorCtr="1">
                  <a:noAutofit/>
                </a:bodyPr>
                <a:lstStyle/>
                <a:p>
                  <a:pPr>
                    <a:defRPr lang="fa-IR" sz="1050" b="1" i="0" u="none" strike="noStrike" kern="1200" baseline="0">
                      <a:solidFill>
                        <a:srgbClr val="FFFF00"/>
                      </a:solidFill>
                      <a:latin typeface="+mn-lt"/>
                      <a:ea typeface="+mn-ea"/>
                      <a:cs typeface="+mn-cs"/>
                    </a:defRPr>
                  </a:pPr>
                  <a:endParaRPr lang="fa-IR"/>
                </a:p>
              </c:txPr>
              <c:showLegendKey val="0"/>
              <c:showVal val="0"/>
              <c:showCatName val="0"/>
              <c:showSerName val="0"/>
              <c:showPercent val="0"/>
              <c:showBubbleSize val="0"/>
              <c:extLst>
                <c:ext xmlns:c15="http://schemas.microsoft.com/office/drawing/2012/chart" uri="{CE6537A1-D6FC-4f65-9D91-7224C49458BB}">
                  <c15:layout>
                    <c:manualLayout>
                      <c:w val="5.1412270668984128E-2"/>
                      <c:h val="8.0295987379254835E-2"/>
                    </c:manualLayout>
                  </c15:layout>
                  <c15:dlblFieldTable/>
                  <c15:showDataLabelsRange val="1"/>
                </c:ext>
                <c:ext xmlns:c16="http://schemas.microsoft.com/office/drawing/2014/chart" uri="{C3380CC4-5D6E-409C-BE32-E72D297353CC}">
                  <c16:uniqueId val="{00000012-590C-4CF3-AC9C-6B662B40ECD0}"/>
                </c:ext>
              </c:extLst>
            </c:dLbl>
            <c:dLbl>
              <c:idx val="2"/>
              <c:tx>
                <c:rich>
                  <a:bodyPr rot="0" spcFirstLastPara="1" vertOverflow="ellipsis" vert="horz" wrap="square" lIns="38100" tIns="19050" rIns="38100" bIns="19050" anchor="ctr" anchorCtr="0">
                    <a:spAutoFit/>
                  </a:bodyPr>
                  <a:lstStyle/>
                  <a:p>
                    <a:pPr algn="ctr" rtl="1">
                      <a:defRPr lang="en-US" sz="1050" b="1" i="0" u="none" strike="noStrike" kern="1200" baseline="0">
                        <a:solidFill>
                          <a:srgbClr val="FFFF00"/>
                        </a:solidFill>
                        <a:latin typeface="+mn-lt"/>
                        <a:ea typeface="+mn-ea"/>
                        <a:cs typeface="+mn-cs"/>
                      </a:defRPr>
                    </a:pPr>
                    <a:fld id="{9D47F97B-3B97-4AD1-8C0E-BEE0E91DFCF9}" type="CELLRANGE">
                      <a:rPr lang="fa-IR"/>
                      <a:pPr algn="ctr" rtl="1">
                        <a:defRPr lang="en-US" sz="1050" b="1">
                          <a:solidFill>
                            <a:srgbClr val="FFFF00"/>
                          </a:solidFill>
                        </a:defRPr>
                      </a:pPr>
                      <a:t>[CELLRANGE]</a:t>
                    </a:fld>
                    <a:endParaRPr lang="fa-IR"/>
                  </a:p>
                </c:rich>
              </c:tx>
              <c:spPr>
                <a:noFill/>
                <a:ln>
                  <a:noFill/>
                </a:ln>
                <a:effectLst/>
              </c:spPr>
              <c:txPr>
                <a:bodyPr rot="0" spcFirstLastPara="1" vertOverflow="ellipsis" vert="horz" wrap="square" lIns="38100" tIns="19050" rIns="38100" bIns="19050" anchor="ctr" anchorCtr="0">
                  <a:spAutoFit/>
                </a:bodyPr>
                <a:lstStyle/>
                <a:p>
                  <a:pPr algn="ctr" rtl="1">
                    <a:defRPr lang="en-US" sz="1050" b="1" i="0" u="none" strike="noStrike" kern="1200" baseline="0">
                      <a:solidFill>
                        <a:srgbClr val="FFFF00"/>
                      </a:solidFill>
                      <a:latin typeface="+mn-lt"/>
                      <a:ea typeface="+mn-ea"/>
                      <a:cs typeface="+mn-cs"/>
                    </a:defRPr>
                  </a:pPr>
                  <a:endParaRPr lang="fa-IR"/>
                </a:p>
              </c:txP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590C-4CF3-AC9C-6B662B40ECD0}"/>
                </c:ext>
              </c:extLst>
            </c:dLbl>
            <c:dLbl>
              <c:idx val="3"/>
              <c:tx>
                <c:rich>
                  <a:bodyPr/>
                  <a:lstStyle/>
                  <a:p>
                    <a:fld id="{F18B8F12-C329-43F8-97AE-C2CC489CF731}"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590C-4CF3-AC9C-6B662B40ECD0}"/>
                </c:ext>
              </c:extLst>
            </c:dLbl>
            <c:dLbl>
              <c:idx val="4"/>
              <c:tx>
                <c:rich>
                  <a:bodyPr/>
                  <a:lstStyle/>
                  <a:p>
                    <a:fld id="{31C15A8C-7091-49B9-A5CC-92703FBACDE2}"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90C-4CF3-AC9C-6B662B40ECD0}"/>
                </c:ext>
              </c:extLst>
            </c:dLbl>
            <c:dLbl>
              <c:idx val="5"/>
              <c:tx>
                <c:rich>
                  <a:bodyPr/>
                  <a:lstStyle/>
                  <a:p>
                    <a:fld id="{3579292B-02FE-43B0-A163-0F6D7077E5D3}"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90C-4CF3-AC9C-6B662B40ECD0}"/>
                </c:ext>
              </c:extLst>
            </c:dLbl>
            <c:dLbl>
              <c:idx val="6"/>
              <c:tx>
                <c:rich>
                  <a:bodyPr/>
                  <a:lstStyle/>
                  <a:p>
                    <a:fld id="{66B70197-C115-4B00-920D-CE9172364F51}"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590C-4CF3-AC9C-6B662B40ECD0}"/>
                </c:ext>
              </c:extLst>
            </c:dLbl>
            <c:dLbl>
              <c:idx val="7"/>
              <c:tx>
                <c:rich>
                  <a:bodyPr/>
                  <a:lstStyle/>
                  <a:p>
                    <a:fld id="{288E3B40-6C74-4276-A922-743AF9BE34FB}"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590C-4CF3-AC9C-6B662B40ECD0}"/>
                </c:ext>
              </c:extLst>
            </c:dLbl>
            <c:dLbl>
              <c:idx val="8"/>
              <c:tx>
                <c:rich>
                  <a:bodyPr/>
                  <a:lstStyle/>
                  <a:p>
                    <a:fld id="{C1E3F86F-233E-4076-B753-256F8A41924C}"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590C-4CF3-AC9C-6B662B40ECD0}"/>
                </c:ext>
              </c:extLst>
            </c:dLbl>
            <c:dLbl>
              <c:idx val="9"/>
              <c:tx>
                <c:rich>
                  <a:bodyPr/>
                  <a:lstStyle/>
                  <a:p>
                    <a:fld id="{DBA9F9FB-F3EC-401B-943C-FACFFED30672}"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590C-4CF3-AC9C-6B662B40ECD0}"/>
                </c:ext>
              </c:extLst>
            </c:dLbl>
            <c:dLbl>
              <c:idx val="10"/>
              <c:tx>
                <c:rich>
                  <a:bodyPr/>
                  <a:lstStyle/>
                  <a:p>
                    <a:fld id="{23F5CC1B-E66D-491A-8E2E-BEBCDC2CE4CD}"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590C-4CF3-AC9C-6B662B40ECD0}"/>
                </c:ext>
              </c:extLst>
            </c:dLbl>
            <c:dLbl>
              <c:idx val="11"/>
              <c:tx>
                <c:rich>
                  <a:bodyPr/>
                  <a:lstStyle/>
                  <a:p>
                    <a:fld id="{7DB95667-5449-44B6-8EFF-25C69E62D237}"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590C-4CF3-AC9C-6B662B40ECD0}"/>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FFFF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calc!$BT$8:$BT$19</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calc!$BW$8:$BW$19</c:f>
              <c:numCache>
                <c:formatCode>##,##0.00,,</c:formatCode>
                <c:ptCount val="12"/>
                <c:pt idx="0">
                  <c:v>14986180</c:v>
                </c:pt>
                <c:pt idx="1">
                  <c:v>14924380</c:v>
                </c:pt>
                <c:pt idx="2">
                  <c:v>22131383</c:v>
                </c:pt>
                <c:pt idx="3">
                  <c:v>20135523</c:v>
                </c:pt>
                <c:pt idx="4">
                  <c:v>19558383</c:v>
                </c:pt>
                <c:pt idx="5">
                  <c:v>17727713</c:v>
                </c:pt>
                <c:pt idx="6">
                  <c:v>16110183</c:v>
                </c:pt>
                <c:pt idx="7">
                  <c:v>0</c:v>
                </c:pt>
                <c:pt idx="8">
                  <c:v>0</c:v>
                </c:pt>
                <c:pt idx="9">
                  <c:v>0</c:v>
                </c:pt>
                <c:pt idx="10">
                  <c:v>0</c:v>
                </c:pt>
                <c:pt idx="11" formatCode="##,##0.000000,,">
                  <c:v>0</c:v>
                </c:pt>
              </c:numCache>
            </c:numRef>
          </c:val>
          <c:extLst>
            <c:ext xmlns:c15="http://schemas.microsoft.com/office/drawing/2012/chart" uri="{02D57815-91ED-43cb-92C2-25804820EDAC}">
              <c15:datalabelsRange>
                <c15:f>calc!$BW$8:$BW$19</c15:f>
                <c15:dlblRangeCache>
                  <c:ptCount val="12"/>
                  <c:pt idx="0">
                    <c:v>14.99</c:v>
                  </c:pt>
                  <c:pt idx="1">
                    <c:v>14.92</c:v>
                  </c:pt>
                  <c:pt idx="2">
                    <c:v>22.13</c:v>
                  </c:pt>
                  <c:pt idx="3">
                    <c:v>20.14</c:v>
                  </c:pt>
                  <c:pt idx="4">
                    <c:v>19.56</c:v>
                  </c:pt>
                  <c:pt idx="5">
                    <c:v>17.73</c:v>
                  </c:pt>
                  <c:pt idx="6">
                    <c:v>16.11</c:v>
                  </c:pt>
                </c15:dlblRangeCache>
              </c15:datalabelsRange>
            </c:ext>
            <c:ext xmlns:c16="http://schemas.microsoft.com/office/drawing/2014/chart" uri="{C3380CC4-5D6E-409C-BE32-E72D297353CC}">
              <c16:uniqueId val="{00000002-590C-4CF3-AC9C-6B662B40ECD0}"/>
            </c:ext>
          </c:extLst>
        </c:ser>
        <c:ser>
          <c:idx val="1"/>
          <c:order val="2"/>
          <c:tx>
            <c:strRef>
              <c:f>calc!$BV$7</c:f>
              <c:strCache>
                <c:ptCount val="1"/>
                <c:pt idx="0">
                  <c:v>میزان بارگیری شده(هزار تن)</c:v>
                </c:pt>
              </c:strCache>
            </c:strRef>
          </c:tx>
          <c:spPr>
            <a:solidFill>
              <a:schemeClr val="accent3">
                <a:lumMod val="60000"/>
                <a:lumOff val="40000"/>
              </a:schemeClr>
            </a:solidFill>
            <a:ln w="28575">
              <a:solidFill>
                <a:srgbClr val="69FF69"/>
              </a:solidFill>
            </a:ln>
            <a:effectLst/>
          </c:spPr>
          <c:invertIfNegative val="0"/>
          <c:dLbls>
            <c:dLbl>
              <c:idx val="0"/>
              <c:tx>
                <c:rich>
                  <a:bodyPr/>
                  <a:lstStyle/>
                  <a:p>
                    <a:fld id="{373C30E0-6A82-4698-94F7-F077D896862C}"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590C-4CF3-AC9C-6B662B40ECD0}"/>
                </c:ext>
              </c:extLst>
            </c:dLbl>
            <c:dLbl>
              <c:idx val="1"/>
              <c:tx>
                <c:rich>
                  <a:bodyPr/>
                  <a:lstStyle/>
                  <a:p>
                    <a:fld id="{002B8C06-E29E-494E-B38C-590893CFF36A}"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590C-4CF3-AC9C-6B662B40ECD0}"/>
                </c:ext>
              </c:extLst>
            </c:dLbl>
            <c:dLbl>
              <c:idx val="2"/>
              <c:tx>
                <c:rich>
                  <a:bodyPr/>
                  <a:lstStyle/>
                  <a:p>
                    <a:fld id="{1D43966A-F57E-46FD-B30F-F5F2C7A904A0}"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590C-4CF3-AC9C-6B662B40ECD0}"/>
                </c:ext>
              </c:extLst>
            </c:dLbl>
            <c:dLbl>
              <c:idx val="3"/>
              <c:tx>
                <c:rich>
                  <a:bodyPr/>
                  <a:lstStyle/>
                  <a:p>
                    <a:fld id="{70A2AE3A-CBDF-4BC3-8494-DB6F9F6FF7CF}"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590C-4CF3-AC9C-6B662B40ECD0}"/>
                </c:ext>
              </c:extLst>
            </c:dLbl>
            <c:dLbl>
              <c:idx val="4"/>
              <c:tx>
                <c:rich>
                  <a:bodyPr/>
                  <a:lstStyle/>
                  <a:p>
                    <a:fld id="{4BC95430-35B1-4830-8F76-5A42735E10D6}"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590C-4CF3-AC9C-6B662B40ECD0}"/>
                </c:ext>
              </c:extLst>
            </c:dLbl>
            <c:dLbl>
              <c:idx val="5"/>
              <c:tx>
                <c:rich>
                  <a:bodyPr/>
                  <a:lstStyle/>
                  <a:p>
                    <a:fld id="{2A9C4E04-1C4D-4E3B-9DEF-E84C7BC04B4C}"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590C-4CF3-AC9C-6B662B40ECD0}"/>
                </c:ext>
              </c:extLst>
            </c:dLbl>
            <c:dLbl>
              <c:idx val="6"/>
              <c:tx>
                <c:rich>
                  <a:bodyPr/>
                  <a:lstStyle/>
                  <a:p>
                    <a:fld id="{D77B3BB3-E6CE-4AEB-BF94-9B464A9E25E2}"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590C-4CF3-AC9C-6B662B40ECD0}"/>
                </c:ext>
              </c:extLst>
            </c:dLbl>
            <c:dLbl>
              <c:idx val="7"/>
              <c:tx>
                <c:rich>
                  <a:bodyPr/>
                  <a:lstStyle/>
                  <a:p>
                    <a:fld id="{5E931FC6-4257-4777-AA52-C27CAE2E2B19}"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590C-4CF3-AC9C-6B662B40ECD0}"/>
                </c:ext>
              </c:extLst>
            </c:dLbl>
            <c:dLbl>
              <c:idx val="8"/>
              <c:tx>
                <c:rich>
                  <a:bodyPr/>
                  <a:lstStyle/>
                  <a:p>
                    <a:fld id="{E31E16B6-932C-46DA-8A76-44588AD6ABAB}"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590C-4CF3-AC9C-6B662B40ECD0}"/>
                </c:ext>
              </c:extLst>
            </c:dLbl>
            <c:dLbl>
              <c:idx val="9"/>
              <c:tx>
                <c:rich>
                  <a:bodyPr/>
                  <a:lstStyle/>
                  <a:p>
                    <a:fld id="{BC3A78A5-6FC0-41AD-AB95-870A8D440DFF}"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590C-4CF3-AC9C-6B662B40ECD0}"/>
                </c:ext>
              </c:extLst>
            </c:dLbl>
            <c:dLbl>
              <c:idx val="10"/>
              <c:tx>
                <c:rich>
                  <a:bodyPr/>
                  <a:lstStyle/>
                  <a:p>
                    <a:fld id="{A4645413-A1A5-4FC0-9D95-D43B4601486C}"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590C-4CF3-AC9C-6B662B40ECD0}"/>
                </c:ext>
              </c:extLst>
            </c:dLbl>
            <c:dLbl>
              <c:idx val="11"/>
              <c:tx>
                <c:rich>
                  <a:bodyPr/>
                  <a:lstStyle/>
                  <a:p>
                    <a:fld id="{CD7BB34B-AD78-4ADC-8CD0-44A4A9103721}" type="CELLRANGE">
                      <a:rPr lang="fa-IR"/>
                      <a:pPr/>
                      <a:t>[CELLRANGE]</a:t>
                    </a:fld>
                    <a:endParaRPr lang="fa-I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590C-4CF3-AC9C-6B662B40ECD0}"/>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accent3">
                        <a:lumMod val="60000"/>
                        <a:lumOff val="40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calc!$BT$8:$BT$19</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calc!$BV$8:$BV$19</c:f>
              <c:numCache>
                <c:formatCode>##,##0.00,,</c:formatCode>
                <c:ptCount val="12"/>
                <c:pt idx="0">
                  <c:v>61800</c:v>
                </c:pt>
                <c:pt idx="1">
                  <c:v>2102090</c:v>
                </c:pt>
                <c:pt idx="2">
                  <c:v>2095860</c:v>
                </c:pt>
                <c:pt idx="3">
                  <c:v>1177140</c:v>
                </c:pt>
                <c:pt idx="4">
                  <c:v>1930670</c:v>
                </c:pt>
                <c:pt idx="5">
                  <c:v>2067530</c:v>
                </c:pt>
                <c:pt idx="6">
                  <c:v>926050</c:v>
                </c:pt>
                <c:pt idx="7">
                  <c:v>0</c:v>
                </c:pt>
                <c:pt idx="8">
                  <c:v>0</c:v>
                </c:pt>
                <c:pt idx="9">
                  <c:v>0</c:v>
                </c:pt>
                <c:pt idx="10">
                  <c:v>0</c:v>
                </c:pt>
                <c:pt idx="11">
                  <c:v>0</c:v>
                </c:pt>
              </c:numCache>
            </c:numRef>
          </c:val>
          <c:extLst>
            <c:ext xmlns:c15="http://schemas.microsoft.com/office/drawing/2012/chart" uri="{02D57815-91ED-43cb-92C2-25804820EDAC}">
              <c15:datalabelsRange>
                <c15:f>calc!$BV$8:$BV$19</c15:f>
                <c15:dlblRangeCache>
                  <c:ptCount val="12"/>
                  <c:pt idx="0">
                    <c:v>0.06</c:v>
                  </c:pt>
                  <c:pt idx="1">
                    <c:v>2.10</c:v>
                  </c:pt>
                  <c:pt idx="2">
                    <c:v>2.10</c:v>
                  </c:pt>
                  <c:pt idx="3">
                    <c:v>1.18</c:v>
                  </c:pt>
                  <c:pt idx="4">
                    <c:v>1.93</c:v>
                  </c:pt>
                  <c:pt idx="5">
                    <c:v>2.07</c:v>
                  </c:pt>
                  <c:pt idx="6">
                    <c:v>0.93</c:v>
                  </c:pt>
                </c15:dlblRangeCache>
              </c15:datalabelsRange>
            </c:ext>
            <c:ext xmlns:c16="http://schemas.microsoft.com/office/drawing/2014/chart" uri="{C3380CC4-5D6E-409C-BE32-E72D297353CC}">
              <c16:uniqueId val="{00000001-590C-4CF3-AC9C-6B662B40ECD0}"/>
            </c:ext>
          </c:extLst>
        </c:ser>
        <c:dLbls>
          <c:showLegendKey val="0"/>
          <c:showVal val="1"/>
          <c:showCatName val="0"/>
          <c:showSerName val="0"/>
          <c:showPercent val="0"/>
          <c:showBubbleSize val="0"/>
        </c:dLbls>
        <c:gapWidth val="142"/>
        <c:axId val="142656064"/>
        <c:axId val="1944117424"/>
      </c:barChart>
      <c:lineChart>
        <c:grouping val="standard"/>
        <c:varyColors val="0"/>
        <c:ser>
          <c:idx val="3"/>
          <c:order val="3"/>
          <c:tx>
            <c:strRef>
              <c:f>calc!$BX$7</c:f>
              <c:strCache>
                <c:ptCount val="1"/>
                <c:pt idx="0">
                  <c:v>تعداد پیش فاکتور</c:v>
                </c:pt>
              </c:strCache>
            </c:strRef>
          </c:tx>
          <c:spPr>
            <a:ln w="28575" cap="rnd">
              <a:solidFill>
                <a:schemeClr val="accent2"/>
              </a:solidFill>
              <a:round/>
            </a:ln>
            <a:effectLst>
              <a:glow rad="63500">
                <a:schemeClr val="accent2">
                  <a:satMod val="175000"/>
                  <a:alpha val="40000"/>
                </a:schemeClr>
              </a:glow>
            </a:effectLst>
          </c:spPr>
          <c:marker>
            <c:symbol val="circle"/>
            <c:size val="6"/>
            <c:spPr>
              <a:solidFill>
                <a:srgbClr val="ED674E"/>
              </a:solidFill>
              <a:ln w="9525">
                <a:solidFill>
                  <a:schemeClr val="accent2"/>
                </a:solidFill>
              </a:ln>
              <a:effectLst>
                <a:glow rad="63500">
                  <a:schemeClr val="accent2">
                    <a:satMod val="175000"/>
                    <a:alpha val="40000"/>
                  </a:schemeClr>
                </a:glow>
              </a:effectLst>
            </c:spPr>
          </c:marker>
          <c:dLbls>
            <c:dLbl>
              <c:idx val="0"/>
              <c:tx>
                <c:rich>
                  <a:bodyPr/>
                  <a:lstStyle/>
                  <a:p>
                    <a:fld id="{76D442E0-1035-4267-8C11-3E7602219607}" type="CELLRANGE">
                      <a:rPr lang="en-US"/>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590C-4CF3-AC9C-6B662B40ECD0}"/>
                </c:ext>
              </c:extLst>
            </c:dLbl>
            <c:dLbl>
              <c:idx val="1"/>
              <c:tx>
                <c:rich>
                  <a:bodyPr/>
                  <a:lstStyle/>
                  <a:p>
                    <a:fld id="{8CA29C71-A487-4456-BAE0-B56DA380DE75}"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590C-4CF3-AC9C-6B662B40ECD0}"/>
                </c:ext>
              </c:extLst>
            </c:dLbl>
            <c:dLbl>
              <c:idx val="2"/>
              <c:tx>
                <c:rich>
                  <a:bodyPr/>
                  <a:lstStyle/>
                  <a:p>
                    <a:fld id="{F825BFE3-5C04-4B6A-BA18-D4B4EA2A32C3}"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590C-4CF3-AC9C-6B662B40ECD0}"/>
                </c:ext>
              </c:extLst>
            </c:dLbl>
            <c:dLbl>
              <c:idx val="3"/>
              <c:tx>
                <c:rich>
                  <a:bodyPr/>
                  <a:lstStyle/>
                  <a:p>
                    <a:fld id="{3CAA9AD2-7F18-41DD-BFAD-BF74BB3172C7}"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590C-4CF3-AC9C-6B662B40ECD0}"/>
                </c:ext>
              </c:extLst>
            </c:dLbl>
            <c:dLbl>
              <c:idx val="4"/>
              <c:tx>
                <c:rich>
                  <a:bodyPr/>
                  <a:lstStyle/>
                  <a:p>
                    <a:fld id="{B7765C86-40D8-4575-A965-F1EECE8D5758}"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590C-4CF3-AC9C-6B662B40ECD0}"/>
                </c:ext>
              </c:extLst>
            </c:dLbl>
            <c:dLbl>
              <c:idx val="5"/>
              <c:tx>
                <c:rich>
                  <a:bodyPr/>
                  <a:lstStyle/>
                  <a:p>
                    <a:fld id="{9838B76D-612E-4215-ABDA-7D237018EE65}"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590C-4CF3-AC9C-6B662B40ECD0}"/>
                </c:ext>
              </c:extLst>
            </c:dLbl>
            <c:dLbl>
              <c:idx val="6"/>
              <c:tx>
                <c:rich>
                  <a:bodyPr/>
                  <a:lstStyle/>
                  <a:p>
                    <a:fld id="{CB5FBE5D-C506-4C2B-A0A3-6C1984D59DDE}"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590C-4CF3-AC9C-6B662B40ECD0}"/>
                </c:ext>
              </c:extLst>
            </c:dLbl>
            <c:dLbl>
              <c:idx val="7"/>
              <c:tx>
                <c:rich>
                  <a:bodyPr/>
                  <a:lstStyle/>
                  <a:p>
                    <a:fld id="{7C74300E-F726-40A5-BEB4-250B60B63DDC}"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590C-4CF3-AC9C-6B662B40ECD0}"/>
                </c:ext>
              </c:extLst>
            </c:dLbl>
            <c:dLbl>
              <c:idx val="8"/>
              <c:tx>
                <c:rich>
                  <a:bodyPr/>
                  <a:lstStyle/>
                  <a:p>
                    <a:fld id="{B6E8C6FB-D712-4335-AC40-B96C5E2FDF2E}"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590C-4CF3-AC9C-6B662B40ECD0}"/>
                </c:ext>
              </c:extLst>
            </c:dLbl>
            <c:dLbl>
              <c:idx val="9"/>
              <c:tx>
                <c:rich>
                  <a:bodyPr/>
                  <a:lstStyle/>
                  <a:p>
                    <a:fld id="{A349C5AF-5D12-42FC-B91F-014775D5CD8F}"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590C-4CF3-AC9C-6B662B40ECD0}"/>
                </c:ext>
              </c:extLst>
            </c:dLbl>
            <c:dLbl>
              <c:idx val="10"/>
              <c:tx>
                <c:rich>
                  <a:bodyPr/>
                  <a:lstStyle/>
                  <a:p>
                    <a:fld id="{94B70928-C97D-4483-8525-88BB921F27A3}"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590C-4CF3-AC9C-6B662B40ECD0}"/>
                </c:ext>
              </c:extLst>
            </c:dLbl>
            <c:dLbl>
              <c:idx val="11"/>
              <c:tx>
                <c:rich>
                  <a:bodyPr/>
                  <a:lstStyle/>
                  <a:p>
                    <a:fld id="{D8168D57-4FEF-491B-9FDE-91DF63356D51}"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4-590C-4CF3-AC9C-6B662B40ECD0}"/>
                </c:ext>
              </c:extLst>
            </c:dLbl>
            <c:spPr>
              <a:solidFill>
                <a:schemeClr val="accent2"/>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calc!$BT$8:$BT$19</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calc!$BX$8:$BX$19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5="http://schemas.microsoft.com/office/drawing/2012/chart" uri="{02D57815-91ED-43cb-92C2-25804820EDAC}">
              <c15:datalabelsRange>
                <c15:f>calc!$BX$8:$BX$19</c15:f>
                <c15:dlblRangeCache>
                  <c:ptCount val="12"/>
                </c15:dlblRangeCache>
              </c15:datalabelsRange>
            </c:ext>
            <c:ext xmlns:c16="http://schemas.microsoft.com/office/drawing/2014/chart" uri="{C3380CC4-5D6E-409C-BE32-E72D297353CC}">
              <c16:uniqueId val="{00000003-590C-4CF3-AC9C-6B662B40ECD0}"/>
            </c:ext>
          </c:extLst>
        </c:ser>
        <c:ser>
          <c:idx val="4"/>
          <c:order val="4"/>
          <c:tx>
            <c:strRef>
              <c:f>calc!$BY$7</c:f>
              <c:strCache>
                <c:ptCount val="1"/>
                <c:pt idx="0">
                  <c:v>تعداد بارگیری</c:v>
                </c:pt>
              </c:strCache>
            </c:strRef>
          </c:tx>
          <c:spPr>
            <a:ln w="28575" cap="rnd">
              <a:solidFill>
                <a:schemeClr val="accent1">
                  <a:lumMod val="60000"/>
                  <a:lumOff val="40000"/>
                </a:schemeClr>
              </a:solidFill>
              <a:round/>
            </a:ln>
            <a:effectLst>
              <a:glow rad="63500">
                <a:schemeClr val="accent5">
                  <a:satMod val="175000"/>
                  <a:alpha val="40000"/>
                </a:schemeClr>
              </a:glow>
            </a:effectLst>
          </c:spPr>
          <c:marker>
            <c:symbol val="square"/>
            <c:size val="6"/>
            <c:spPr>
              <a:solidFill>
                <a:schemeClr val="tx1">
                  <a:lumMod val="75000"/>
                  <a:lumOff val="25000"/>
                </a:schemeClr>
              </a:solidFill>
              <a:ln w="9525">
                <a:solidFill>
                  <a:schemeClr val="accent1">
                    <a:lumMod val="60000"/>
                    <a:lumOff val="40000"/>
                  </a:schemeClr>
                </a:solidFill>
              </a:ln>
              <a:effectLst>
                <a:glow rad="63500">
                  <a:schemeClr val="accent5">
                    <a:satMod val="175000"/>
                    <a:alpha val="40000"/>
                  </a:schemeClr>
                </a:glow>
              </a:effectLst>
            </c:spPr>
          </c:marker>
          <c:dLbls>
            <c:dLbl>
              <c:idx val="0"/>
              <c:tx>
                <c:rich>
                  <a:bodyPr/>
                  <a:lstStyle/>
                  <a:p>
                    <a:fld id="{5867265E-644A-4D26-A9E6-6ABD9802EE55}" type="CELLRANGE">
                      <a:rPr lang="en-US"/>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5-590C-4CF3-AC9C-6B662B40ECD0}"/>
                </c:ext>
              </c:extLst>
            </c:dLbl>
            <c:dLbl>
              <c:idx val="1"/>
              <c:layout>
                <c:manualLayout>
                  <c:x val="-2.155641976340605E-2"/>
                  <c:y val="-0.11541983309404701"/>
                </c:manualLayout>
              </c:layout>
              <c:tx>
                <c:rich>
                  <a:bodyPr/>
                  <a:lstStyle/>
                  <a:p>
                    <a:fld id="{E319895D-DF61-4883-9C81-4A72B997B1CC}" type="CELLRANGE">
                      <a:rPr lang="fa-IR"/>
                      <a:pPr/>
                      <a:t>[CELLRANGE]</a:t>
                    </a:fld>
                    <a:endParaRPr lang="fa-I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590C-4CF3-AC9C-6B662B40ECD0}"/>
                </c:ext>
              </c:extLst>
            </c:dLbl>
            <c:dLbl>
              <c:idx val="2"/>
              <c:tx>
                <c:rich>
                  <a:bodyPr/>
                  <a:lstStyle/>
                  <a:p>
                    <a:fld id="{BA2F2507-F27A-4847-913A-B8B12C7A54A6}"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7-590C-4CF3-AC9C-6B662B40ECD0}"/>
                </c:ext>
              </c:extLst>
            </c:dLbl>
            <c:dLbl>
              <c:idx val="3"/>
              <c:tx>
                <c:rich>
                  <a:bodyPr/>
                  <a:lstStyle/>
                  <a:p>
                    <a:fld id="{B341B7D0-9A6B-4753-B005-E7A9AA3AB524}"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8-590C-4CF3-AC9C-6B662B40ECD0}"/>
                </c:ext>
              </c:extLst>
            </c:dLbl>
            <c:dLbl>
              <c:idx val="4"/>
              <c:tx>
                <c:rich>
                  <a:bodyPr/>
                  <a:lstStyle/>
                  <a:p>
                    <a:fld id="{C1843FFE-8160-43E2-90E3-D90FA4F73805}"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9-590C-4CF3-AC9C-6B662B40ECD0}"/>
                </c:ext>
              </c:extLst>
            </c:dLbl>
            <c:dLbl>
              <c:idx val="5"/>
              <c:tx>
                <c:rich>
                  <a:bodyPr/>
                  <a:lstStyle/>
                  <a:p>
                    <a:fld id="{75111CE0-99AB-481B-8245-76A63D2D952B}"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A-590C-4CF3-AC9C-6B662B40ECD0}"/>
                </c:ext>
              </c:extLst>
            </c:dLbl>
            <c:dLbl>
              <c:idx val="6"/>
              <c:tx>
                <c:rich>
                  <a:bodyPr/>
                  <a:lstStyle/>
                  <a:p>
                    <a:fld id="{554E48F2-B3D0-4863-9F13-33185C728F30}"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B-590C-4CF3-AC9C-6B662B40ECD0}"/>
                </c:ext>
              </c:extLst>
            </c:dLbl>
            <c:dLbl>
              <c:idx val="7"/>
              <c:tx>
                <c:rich>
                  <a:bodyPr/>
                  <a:lstStyle/>
                  <a:p>
                    <a:fld id="{ACE6EFEF-1349-4035-B981-B29965997783}"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C-590C-4CF3-AC9C-6B662B40ECD0}"/>
                </c:ext>
              </c:extLst>
            </c:dLbl>
            <c:dLbl>
              <c:idx val="8"/>
              <c:tx>
                <c:rich>
                  <a:bodyPr/>
                  <a:lstStyle/>
                  <a:p>
                    <a:fld id="{667D642B-8D3C-40E4-8A65-D3EB36D7158F}"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D-590C-4CF3-AC9C-6B662B40ECD0}"/>
                </c:ext>
              </c:extLst>
            </c:dLbl>
            <c:dLbl>
              <c:idx val="9"/>
              <c:tx>
                <c:rich>
                  <a:bodyPr/>
                  <a:lstStyle/>
                  <a:p>
                    <a:fld id="{9EA0102D-88E4-446C-ABA8-083E3F2C2BB3}"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E-590C-4CF3-AC9C-6B662B40ECD0}"/>
                </c:ext>
              </c:extLst>
            </c:dLbl>
            <c:dLbl>
              <c:idx val="10"/>
              <c:tx>
                <c:rich>
                  <a:bodyPr/>
                  <a:lstStyle/>
                  <a:p>
                    <a:fld id="{8D3E661B-C3C6-4822-81E7-E14C51D3D24E}"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F-590C-4CF3-AC9C-6B662B40ECD0}"/>
                </c:ext>
              </c:extLst>
            </c:dLbl>
            <c:dLbl>
              <c:idx val="11"/>
              <c:tx>
                <c:rich>
                  <a:bodyPr/>
                  <a:lstStyle/>
                  <a:p>
                    <a:fld id="{D411200E-762D-4CD8-88EF-466D56DC5392}" type="CELLRANGE">
                      <a:rPr lang="fa-IR"/>
                      <a:pPr/>
                      <a:t>[CELLRANGE]</a:t>
                    </a:fld>
                    <a:endParaRPr lang="fa-I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0-590C-4CF3-AC9C-6B662B40ECD0}"/>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lumMod val="60000"/>
                        <a:lumOff val="4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calc!$BT$8:$BT$19</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calc!$BY$8:$BY$19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5="http://schemas.microsoft.com/office/drawing/2012/chart" uri="{02D57815-91ED-43cb-92C2-25804820EDAC}">
              <c15:datalabelsRange>
                <c15:f>calc!$BY$8:$BY$19</c15:f>
                <c15:dlblRangeCache>
                  <c:ptCount val="12"/>
                </c15:dlblRangeCache>
              </c15:datalabelsRange>
            </c:ext>
            <c:ext xmlns:c16="http://schemas.microsoft.com/office/drawing/2014/chart" uri="{C3380CC4-5D6E-409C-BE32-E72D297353CC}">
              <c16:uniqueId val="{00000004-590C-4CF3-AC9C-6B662B40ECD0}"/>
            </c:ext>
          </c:extLst>
        </c:ser>
        <c:dLbls>
          <c:showLegendKey val="0"/>
          <c:showVal val="1"/>
          <c:showCatName val="0"/>
          <c:showSerName val="0"/>
          <c:showPercent val="0"/>
          <c:showBubbleSize val="0"/>
        </c:dLbls>
        <c:marker val="1"/>
        <c:smooth val="0"/>
        <c:axId val="1932059776"/>
        <c:axId val="1934651392"/>
      </c:lineChart>
      <c:catAx>
        <c:axId val="142656064"/>
        <c:scaling>
          <c:orientation val="minMax"/>
        </c:scaling>
        <c:delete val="0"/>
        <c:axPos val="b"/>
        <c:numFmt formatCode="General" sourceLinked="1"/>
        <c:majorTickMark val="out"/>
        <c:minorTickMark val="none"/>
        <c:tickLblPos val="nextTo"/>
        <c:spPr>
          <a:noFill/>
          <a:ln w="9525" cap="flat" cmpd="sng" algn="ctr">
            <a:solidFill>
              <a:srgbClr val="FFFFFF"/>
            </a:solidFill>
            <a:round/>
          </a:ln>
          <a:effectLst/>
        </c:spPr>
        <c:txPr>
          <a:bodyPr rot="-60000000" spcFirstLastPara="1" vertOverflow="ellipsis" vert="horz" wrap="square" anchor="ctr" anchorCtr="1"/>
          <a:lstStyle/>
          <a:p>
            <a:pPr>
              <a:defRPr sz="1050" b="1" i="0" u="none" strike="noStrike" kern="1200" baseline="0">
                <a:solidFill>
                  <a:srgbClr val="FFFFFF"/>
                </a:solidFill>
                <a:latin typeface="+mn-lt"/>
                <a:ea typeface="+mn-ea"/>
                <a:cs typeface="B Nazanin" panose="00000400000000000000" pitchFamily="2" charset="-78"/>
              </a:defRPr>
            </a:pPr>
            <a:endParaRPr lang="en-US"/>
          </a:p>
        </c:txPr>
        <c:crossAx val="1944117424"/>
        <c:crosses val="autoZero"/>
        <c:auto val="1"/>
        <c:lblAlgn val="ctr"/>
        <c:lblOffset val="100"/>
        <c:noMultiLvlLbl val="0"/>
      </c:catAx>
      <c:valAx>
        <c:axId val="1944117424"/>
        <c:scaling>
          <c:orientation val="minMax"/>
        </c:scaling>
        <c:delete val="0"/>
        <c:axPos val="l"/>
        <c:numFmt formatCode="##,##0.00,," sourceLinked="1"/>
        <c:majorTickMark val="none"/>
        <c:minorTickMark val="none"/>
        <c:tickLblPos val="none"/>
        <c:spPr>
          <a:noFill/>
          <a:ln>
            <a:noFill/>
          </a:ln>
          <a:effectLst/>
        </c:spPr>
        <c:txPr>
          <a:bodyPr rot="-60000000" spcFirstLastPara="1" vertOverflow="ellipsis" vert="horz" wrap="square" anchor="ctr" anchorCtr="1"/>
          <a:lstStyle/>
          <a:p>
            <a:pPr>
              <a:defRPr sz="700" b="1" i="0" u="none" strike="noStrike" kern="1200" baseline="0">
                <a:solidFill>
                  <a:srgbClr val="FFFFFF"/>
                </a:solidFill>
                <a:latin typeface="+mn-lt"/>
                <a:ea typeface="+mn-ea"/>
                <a:cs typeface="+mn-cs"/>
              </a:defRPr>
            </a:pPr>
            <a:endParaRPr lang="en-US"/>
          </a:p>
        </c:txPr>
        <c:crossAx val="142656064"/>
        <c:crosses val="autoZero"/>
        <c:crossBetween val="between"/>
      </c:valAx>
      <c:valAx>
        <c:axId val="1934651392"/>
        <c:scaling>
          <c:orientation val="minMax"/>
          <c:max val="150"/>
          <c:min val="0"/>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500" b="1" i="0" u="none" strike="noStrike" kern="1200" baseline="0">
                <a:solidFill>
                  <a:srgbClr val="FFFFFF"/>
                </a:solidFill>
                <a:latin typeface="+mn-lt"/>
                <a:ea typeface="+mn-ea"/>
                <a:cs typeface="+mn-cs"/>
              </a:defRPr>
            </a:pPr>
            <a:endParaRPr lang="en-US"/>
          </a:p>
        </c:txPr>
        <c:crossAx val="1932059776"/>
        <c:crosses val="max"/>
        <c:crossBetween val="between"/>
      </c:valAx>
      <c:catAx>
        <c:axId val="1932059776"/>
        <c:scaling>
          <c:orientation val="minMax"/>
        </c:scaling>
        <c:delete val="1"/>
        <c:axPos val="b"/>
        <c:numFmt formatCode="General" sourceLinked="1"/>
        <c:majorTickMark val="out"/>
        <c:minorTickMark val="none"/>
        <c:tickLblPos val="nextTo"/>
        <c:crossAx val="1934651392"/>
        <c:crosses val="autoZero"/>
        <c:auto val="1"/>
        <c:lblAlgn val="ctr"/>
        <c:lblOffset val="100"/>
        <c:noMultiLvlLbl val="0"/>
      </c:catAx>
      <c:spPr>
        <a:noFill/>
        <a:ln>
          <a:noFill/>
        </a:ln>
        <a:effectLst/>
      </c:spPr>
    </c:plotArea>
    <c:legend>
      <c:legendPos val="b"/>
      <c:layout>
        <c:manualLayout>
          <c:xMode val="edge"/>
          <c:yMode val="edge"/>
          <c:x val="2.3032186766127911E-2"/>
          <c:y val="0.86275159746501107"/>
          <c:w val="0.92323375696458987"/>
          <c:h val="0.1130548503071581"/>
        </c:manualLayout>
      </c:layout>
      <c:overlay val="0"/>
      <c:spPr>
        <a:noFill/>
        <a:ln>
          <a:noFill/>
        </a:ln>
        <a:effectLst/>
      </c:spPr>
      <c:txPr>
        <a:bodyPr rot="0" spcFirstLastPara="1" vertOverflow="ellipsis" vert="horz" wrap="square" anchor="ctr" anchorCtr="1"/>
        <a:lstStyle/>
        <a:p>
          <a:pPr>
            <a:defRPr sz="1050" b="0" i="0" u="none" strike="noStrike" kern="1200" baseline="0">
              <a:solidFill>
                <a:srgbClr val="FFFFFF"/>
              </a:solidFill>
              <a:latin typeface="+mn-lt"/>
              <a:ea typeface="+mn-ea"/>
              <a:cs typeface="B Nazanin" panose="00000400000000000000" pitchFamily="2" charset="-78"/>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rgbClr val="FFFFFF"/>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376023859728151E-2"/>
          <c:y val="0.13566987730536006"/>
          <c:w val="0.58803603700763729"/>
          <c:h val="0.82746989119635539"/>
        </c:manualLayout>
      </c:layout>
      <c:barChart>
        <c:barDir val="bar"/>
        <c:grouping val="clustered"/>
        <c:varyColors val="0"/>
        <c:ser>
          <c:idx val="2"/>
          <c:order val="0"/>
          <c:tx>
            <c:v>lable</c:v>
          </c:tx>
          <c:spPr>
            <a:no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FFC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calc!$BC$7:$BC$16</c:f>
              <c:numCache>
                <c:formatCode>#,##0.00,,</c:formatCode>
                <c:ptCount val="10"/>
                <c:pt idx="0">
                  <c:v>1520150</c:v>
                </c:pt>
                <c:pt idx="1">
                  <c:v>1952745</c:v>
                </c:pt>
                <c:pt idx="2">
                  <c:v>993115</c:v>
                </c:pt>
                <c:pt idx="3">
                  <c:v>720540</c:v>
                </c:pt>
                <c:pt idx="4">
                  <c:v>438020</c:v>
                </c:pt>
                <c:pt idx="5">
                  <c:v>-314155</c:v>
                </c:pt>
                <c:pt idx="6">
                  <c:v>522380</c:v>
                </c:pt>
                <c:pt idx="7">
                  <c:v>-163275</c:v>
                </c:pt>
                <c:pt idx="8">
                  <c:v>116055</c:v>
                </c:pt>
                <c:pt idx="9">
                  <c:v>617815</c:v>
                </c:pt>
              </c:numCache>
            </c:numRef>
          </c:val>
          <c:extLst>
            <c:ext xmlns:c16="http://schemas.microsoft.com/office/drawing/2014/chart" uri="{C3380CC4-5D6E-409C-BE32-E72D297353CC}">
              <c16:uniqueId val="{00000000-5E20-43BF-A3DD-3CE8E064FEA9}"/>
            </c:ext>
          </c:extLst>
        </c:ser>
        <c:ser>
          <c:idx val="0"/>
          <c:order val="1"/>
          <c:spPr>
            <a:solidFill>
              <a:srgbClr val="D7355F"/>
            </a:solidFill>
            <a:ln w="12700">
              <a:solidFill>
                <a:schemeClr val="tx2">
                  <a:lumMod val="25000"/>
                  <a:lumOff val="75000"/>
                </a:schemeClr>
              </a:solidFill>
            </a:ln>
            <a:effectLst/>
          </c:spPr>
          <c:invertIfNegative val="0"/>
          <c:dLbls>
            <c:dLbl>
              <c:idx val="0"/>
              <c:tx>
                <c:rich>
                  <a:bodyPr/>
                  <a:lstStyle/>
                  <a:p>
                    <a:fld id="{40EA60FB-E520-483C-9EFC-66797B4C754F}"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1E8-464A-BEFC-673133272B80}"/>
                </c:ext>
              </c:extLst>
            </c:dLbl>
            <c:dLbl>
              <c:idx val="1"/>
              <c:tx>
                <c:rich>
                  <a:bodyPr/>
                  <a:lstStyle/>
                  <a:p>
                    <a:fld id="{01F48A32-11A6-4FCF-9C9E-D30195A9E1ED}"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1E8-464A-BEFC-673133272B80}"/>
                </c:ext>
              </c:extLst>
            </c:dLbl>
            <c:dLbl>
              <c:idx val="2"/>
              <c:tx>
                <c:rich>
                  <a:bodyPr/>
                  <a:lstStyle/>
                  <a:p>
                    <a:fld id="{D2FF5429-0DFC-4DED-AC07-BEB8F9FB4CFA}"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1E8-464A-BEFC-673133272B80}"/>
                </c:ext>
              </c:extLst>
            </c:dLbl>
            <c:dLbl>
              <c:idx val="3"/>
              <c:tx>
                <c:rich>
                  <a:bodyPr/>
                  <a:lstStyle/>
                  <a:p>
                    <a:fld id="{2E2828D3-33B9-4DE6-8E8B-1B21269B8807}"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1E8-464A-BEFC-673133272B80}"/>
                </c:ext>
              </c:extLst>
            </c:dLbl>
            <c:dLbl>
              <c:idx val="4"/>
              <c:tx>
                <c:rich>
                  <a:bodyPr/>
                  <a:lstStyle/>
                  <a:p>
                    <a:fld id="{B6C8BEEE-BDA7-436C-BE6E-93E903234B94}"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1E8-464A-BEFC-673133272B80}"/>
                </c:ext>
              </c:extLst>
            </c:dLbl>
            <c:dLbl>
              <c:idx val="5"/>
              <c:tx>
                <c:rich>
                  <a:bodyPr/>
                  <a:lstStyle/>
                  <a:p>
                    <a:fld id="{0740797E-F1E9-48A1-B895-2892673358F6}"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1E8-464A-BEFC-673133272B80}"/>
                </c:ext>
              </c:extLst>
            </c:dLbl>
            <c:dLbl>
              <c:idx val="6"/>
              <c:tx>
                <c:rich>
                  <a:bodyPr/>
                  <a:lstStyle/>
                  <a:p>
                    <a:fld id="{A720C2F6-69C7-4006-820C-785A3A44421C}"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1E8-464A-BEFC-673133272B80}"/>
                </c:ext>
              </c:extLst>
            </c:dLbl>
            <c:dLbl>
              <c:idx val="7"/>
              <c:tx>
                <c:rich>
                  <a:bodyPr/>
                  <a:lstStyle/>
                  <a:p>
                    <a:fld id="{2990DACD-915E-4662-BBCB-63466304E3B4}"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1E8-464A-BEFC-673133272B80}"/>
                </c:ext>
              </c:extLst>
            </c:dLbl>
            <c:dLbl>
              <c:idx val="8"/>
              <c:tx>
                <c:rich>
                  <a:bodyPr/>
                  <a:lstStyle/>
                  <a:p>
                    <a:fld id="{79D1C62C-3C3B-449C-A754-49A2F0EB33C9}"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1E8-464A-BEFC-673133272B80}"/>
                </c:ext>
              </c:extLst>
            </c:dLbl>
            <c:dLbl>
              <c:idx val="9"/>
              <c:tx>
                <c:rich>
                  <a:bodyPr/>
                  <a:lstStyle/>
                  <a:p>
                    <a:fld id="{9B1E7F59-56AF-4C8E-9CFF-440722ED8B2B}" type="CELLRANGE">
                      <a:rPr lang="fa-IR"/>
                      <a:pPr/>
                      <a:t>[CELLRANGE]</a:t>
                    </a:fld>
                    <a:endParaRPr lang="fa-IR"/>
                  </a:p>
                </c:rich>
              </c:tx>
              <c:dLblPos val="in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1E8-464A-BEFC-673133272B80}"/>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FFFFFF"/>
                    </a:solidFill>
                    <a:latin typeface="+mn-lt"/>
                    <a:ea typeface="+mn-ea"/>
                    <a:cs typeface="+mn-cs"/>
                  </a:defRPr>
                </a:pPr>
                <a:endParaRPr lang="en-US"/>
              </a:p>
            </c:txPr>
            <c:dLblPos val="in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calc!$BB$7:$BB$16</c:f>
              <c:strCache>
                <c:ptCount val="10"/>
                <c:pt idx="0">
                  <c:v>عراق اربیل</c:v>
                </c:pt>
                <c:pt idx="1">
                  <c:v>سپهر سرمد</c:v>
                </c:pt>
                <c:pt idx="2">
                  <c:v>گاز کربنیک غرب</c:v>
                </c:pt>
                <c:pt idx="3">
                  <c:v>تعاونی ماهان گاز</c:v>
                </c:pt>
                <c:pt idx="4">
                  <c:v>تولید گازهای طبی و صنعتی مددکاران اصفهان</c:v>
                </c:pt>
                <c:pt idx="5">
                  <c:v>خوش نوش همدان</c:v>
                </c:pt>
                <c:pt idx="6">
                  <c:v>تولیدی گازهای طبی و صنعتی طوس سبزوار</c:v>
                </c:pt>
                <c:pt idx="7">
                  <c:v>پارس اکسیر البرز شمالی</c:v>
                </c:pt>
                <c:pt idx="8">
                  <c:v>اکسیژن ارومیه گاز</c:v>
                </c:pt>
                <c:pt idx="9">
                  <c:v>گاز اکسیژن طوس</c:v>
                </c:pt>
              </c:strCache>
            </c:strRef>
          </c:cat>
          <c:val>
            <c:numRef>
              <c:f>calc!$BC$7:$BC$16</c:f>
              <c:numCache>
                <c:formatCode>#,##0.00,,</c:formatCode>
                <c:ptCount val="10"/>
                <c:pt idx="0">
                  <c:v>1520150</c:v>
                </c:pt>
                <c:pt idx="1">
                  <c:v>1952745</c:v>
                </c:pt>
                <c:pt idx="2">
                  <c:v>993115</c:v>
                </c:pt>
                <c:pt idx="3">
                  <c:v>720540</c:v>
                </c:pt>
                <c:pt idx="4">
                  <c:v>438020</c:v>
                </c:pt>
                <c:pt idx="5">
                  <c:v>-314155</c:v>
                </c:pt>
                <c:pt idx="6">
                  <c:v>522380</c:v>
                </c:pt>
                <c:pt idx="7">
                  <c:v>-163275</c:v>
                </c:pt>
                <c:pt idx="8">
                  <c:v>116055</c:v>
                </c:pt>
                <c:pt idx="9">
                  <c:v>617815</c:v>
                </c:pt>
              </c:numCache>
            </c:numRef>
          </c:val>
          <c:extLst>
            <c:ext xmlns:c15="http://schemas.microsoft.com/office/drawing/2012/chart" uri="{02D57815-91ED-43cb-92C2-25804820EDAC}">
              <c15:datalabelsRange>
                <c15:f>calc!$BE$7:$BE$16</c15:f>
                <c15:dlblRangeCache>
                  <c:ptCount val="10"/>
                  <c:pt idx="0">
                    <c:v>296%</c:v>
                  </c:pt>
                  <c:pt idx="1">
                    <c:v>12%</c:v>
                  </c:pt>
                  <c:pt idx="2">
                    <c:v>28%</c:v>
                  </c:pt>
                  <c:pt idx="3">
                    <c:v>44%</c:v>
                  </c:pt>
                  <c:pt idx="4">
                    <c:v>35%</c:v>
                  </c:pt>
                  <c:pt idx="5">
                    <c:v>-168%</c:v>
                  </c:pt>
                  <c:pt idx="6">
                    <c:v>68%</c:v>
                  </c:pt>
                  <c:pt idx="7">
                    <c:v>-353%</c:v>
                  </c:pt>
                  <c:pt idx="8">
                    <c:v>39%</c:v>
                  </c:pt>
                  <c:pt idx="9">
                    <c:v>28%</c:v>
                  </c:pt>
                </c15:dlblRangeCache>
              </c15:datalabelsRange>
            </c:ext>
            <c:ext xmlns:c16="http://schemas.microsoft.com/office/drawing/2014/chart" uri="{C3380CC4-5D6E-409C-BE32-E72D297353CC}">
              <c16:uniqueId val="{0000000A-B1E8-464A-BEFC-673133272B80}"/>
            </c:ext>
          </c:extLst>
        </c:ser>
        <c:ser>
          <c:idx val="1"/>
          <c:order val="2"/>
          <c:spPr>
            <a:solidFill>
              <a:srgbClr val="69FF69"/>
            </a:solidFill>
            <a:ln>
              <a:noFill/>
            </a:ln>
            <a:effectLst/>
          </c:spPr>
          <c:invertIfNegative val="0"/>
          <c:dLbls>
            <c:dLbl>
              <c:idx val="5"/>
              <c:layout>
                <c:manualLayout>
                  <c:x val="-4.4950194044153036E-3"/>
                  <c:y val="3.4316100702656476E-7"/>
                </c:manualLayout>
              </c:layout>
              <c:spPr>
                <a:solidFill>
                  <a:schemeClr val="accent4"/>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8C6-4FDB-856F-607991372B79}"/>
                </c:ext>
              </c:extLst>
            </c:dLbl>
            <c:dLbl>
              <c:idx val="7"/>
              <c:layout>
                <c:manualLayout>
                  <c:x val="-6.4194088296324154E-3"/>
                  <c:y val="-4.3564289842022395E-3"/>
                </c:manualLayout>
              </c:layout>
              <c:spPr>
                <a:solidFill>
                  <a:schemeClr val="accent4"/>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8C6-4FDB-856F-607991372B7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calc!$BB$7:$BB$16</c:f>
              <c:strCache>
                <c:ptCount val="10"/>
                <c:pt idx="0">
                  <c:v>عراق اربیل</c:v>
                </c:pt>
                <c:pt idx="1">
                  <c:v>سپهر سرمد</c:v>
                </c:pt>
                <c:pt idx="2">
                  <c:v>گاز کربنیک غرب</c:v>
                </c:pt>
                <c:pt idx="3">
                  <c:v>تعاونی ماهان گاز</c:v>
                </c:pt>
                <c:pt idx="4">
                  <c:v>تولید گازهای طبی و صنعتی مددکاران اصفهان</c:v>
                </c:pt>
                <c:pt idx="5">
                  <c:v>خوش نوش همدان</c:v>
                </c:pt>
                <c:pt idx="6">
                  <c:v>تولیدی گازهای طبی و صنعتی طوس سبزوار</c:v>
                </c:pt>
                <c:pt idx="7">
                  <c:v>پارس اکسیر البرز شمالی</c:v>
                </c:pt>
                <c:pt idx="8">
                  <c:v>اکسیژن ارومیه گاز</c:v>
                </c:pt>
                <c:pt idx="9">
                  <c:v>گاز اکسیژن طوس</c:v>
                </c:pt>
              </c:strCache>
            </c:strRef>
          </c:cat>
          <c:val>
            <c:numRef>
              <c:f>calc!$BD$7:$BD$16</c:f>
              <c:numCache>
                <c:formatCode>#,##0.00,,</c:formatCode>
                <c:ptCount val="10"/>
                <c:pt idx="0">
                  <c:v>4492710</c:v>
                </c:pt>
                <c:pt idx="1">
                  <c:v>227540</c:v>
                </c:pt>
                <c:pt idx="2">
                  <c:v>278280</c:v>
                </c:pt>
                <c:pt idx="3">
                  <c:v>314940</c:v>
                </c:pt>
                <c:pt idx="4">
                  <c:v>153870</c:v>
                </c:pt>
                <c:pt idx="5">
                  <c:v>528690</c:v>
                </c:pt>
                <c:pt idx="6">
                  <c:v>354200</c:v>
                </c:pt>
                <c:pt idx="7">
                  <c:v>576830</c:v>
                </c:pt>
                <c:pt idx="8">
                  <c:v>44880</c:v>
                </c:pt>
                <c:pt idx="9">
                  <c:v>175310</c:v>
                </c:pt>
              </c:numCache>
            </c:numRef>
          </c:val>
          <c:extLst>
            <c:ext xmlns:c16="http://schemas.microsoft.com/office/drawing/2014/chart" uri="{C3380CC4-5D6E-409C-BE32-E72D297353CC}">
              <c16:uniqueId val="{0000000B-B1E8-464A-BEFC-673133272B80}"/>
            </c:ext>
          </c:extLst>
        </c:ser>
        <c:dLbls>
          <c:showLegendKey val="0"/>
          <c:showVal val="0"/>
          <c:showCatName val="0"/>
          <c:showSerName val="0"/>
          <c:showPercent val="0"/>
          <c:showBubbleSize val="0"/>
        </c:dLbls>
        <c:gapWidth val="67"/>
        <c:overlap val="100"/>
        <c:axId val="1940981920"/>
        <c:axId val="2043479200"/>
      </c:barChart>
      <c:catAx>
        <c:axId val="1940981920"/>
        <c:scaling>
          <c:orientation val="maxMin"/>
        </c:scaling>
        <c:delete val="0"/>
        <c:axPos val="r"/>
        <c:numFmt formatCode="General" sourceLinked="1"/>
        <c:majorTickMark val="out"/>
        <c:minorTickMark val="none"/>
        <c:tickLblPos val="nextTo"/>
        <c:spPr>
          <a:noFill/>
          <a:ln w="9525" cap="flat" cmpd="sng" algn="ctr">
            <a:solidFill>
              <a:srgbClr val="FFFFFF"/>
            </a:solidFill>
            <a:round/>
          </a:ln>
          <a:effectLst/>
        </c:spPr>
        <c:txPr>
          <a:bodyPr rot="-60000000" spcFirstLastPara="1" vertOverflow="ellipsis" vert="horz" wrap="square" anchor="ctr" anchorCtr="1"/>
          <a:lstStyle/>
          <a:p>
            <a:pPr rtl="0">
              <a:defRPr sz="1050" b="1" i="0" u="none" strike="noStrike" kern="1200" baseline="0">
                <a:solidFill>
                  <a:srgbClr val="FFFFFF"/>
                </a:solidFill>
                <a:latin typeface="+mn-lt"/>
                <a:ea typeface="+mn-ea"/>
                <a:cs typeface="B Nazanin" panose="00000400000000000000" pitchFamily="2" charset="-78"/>
              </a:defRPr>
            </a:pPr>
            <a:endParaRPr lang="en-US"/>
          </a:p>
        </c:txPr>
        <c:crossAx val="2043479200"/>
        <c:crosses val="autoZero"/>
        <c:auto val="1"/>
        <c:lblAlgn val="ctr"/>
        <c:lblOffset val="100"/>
        <c:noMultiLvlLbl val="0"/>
      </c:catAx>
      <c:valAx>
        <c:axId val="2043479200"/>
        <c:scaling>
          <c:orientation val="maxMin"/>
          <c:min val="0"/>
        </c:scaling>
        <c:delete val="1"/>
        <c:axPos val="t"/>
        <c:numFmt formatCode="#,##0.00,," sourceLinked="1"/>
        <c:majorTickMark val="out"/>
        <c:minorTickMark val="none"/>
        <c:tickLblPos val="nextTo"/>
        <c:crossAx val="1940981920"/>
        <c:crosses val="autoZero"/>
        <c:crossBetween val="between"/>
        <c:majorUnit val="1000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288537549407111E-3"/>
          <c:y val="8.2623952192846795E-2"/>
          <c:w val="0.99407114624505932"/>
          <c:h val="0.54666952134294378"/>
        </c:manualLayout>
      </c:layout>
      <c:lineChart>
        <c:grouping val="standard"/>
        <c:varyColors val="0"/>
        <c:ser>
          <c:idx val="0"/>
          <c:order val="0"/>
          <c:tx>
            <c:strRef>
              <c:f>calc!$CU$6</c:f>
              <c:strCache>
                <c:ptCount val="1"/>
                <c:pt idx="0">
                  <c:v>میانگین وزنی قیمت(ریال)</c:v>
                </c:pt>
              </c:strCache>
            </c:strRef>
          </c:tx>
          <c:spPr>
            <a:ln w="28575" cap="rnd">
              <a:solidFill>
                <a:schemeClr val="accent3">
                  <a:lumMod val="60000"/>
                  <a:lumOff val="40000"/>
                </a:schemeClr>
              </a:solidFill>
              <a:round/>
            </a:ln>
            <a:effectLst/>
          </c:spPr>
          <c:marker>
            <c:symbol val="circle"/>
            <c:size val="5"/>
            <c:spPr>
              <a:solidFill>
                <a:schemeClr val="accent2">
                  <a:lumMod val="20000"/>
                  <a:lumOff val="80000"/>
                </a:schemeClr>
              </a:solidFill>
              <a:ln w="9525">
                <a:solidFill>
                  <a:schemeClr val="accent3">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calc!$CT$7:$CT$18</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calc!$CU$7:$CU$18</c:f>
              <c:numCache>
                <c:formatCode>_(* #,##0_);_(* \(#,##0\);_(* "-"??_);_(@_)</c:formatCode>
                <c:ptCount val="12"/>
                <c:pt idx="0">
                  <c:v>130065.24271844661</c:v>
                </c:pt>
                <c:pt idx="1">
                  <c:v>134335.12471397515</c:v>
                </c:pt>
                <c:pt idx="2">
                  <c:v>139127.61573769239</c:v>
                </c:pt>
                <c:pt idx="3">
                  <c:v>150448.47047929728</c:v>
                </c:pt>
                <c:pt idx="4">
                  <c:v>145293.38912398287</c:v>
                </c:pt>
                <c:pt idx="5">
                  <c:v>157919.5818972397</c:v>
                </c:pt>
                <c:pt idx="6">
                  <c:v>161566.00237568165</c:v>
                </c:pt>
                <c:pt idx="7">
                  <c:v>0</c:v>
                </c:pt>
                <c:pt idx="8">
                  <c:v>0</c:v>
                </c:pt>
                <c:pt idx="9">
                  <c:v>0</c:v>
                </c:pt>
                <c:pt idx="10">
                  <c:v>0</c:v>
                </c:pt>
                <c:pt idx="11">
                  <c:v>0</c:v>
                </c:pt>
              </c:numCache>
            </c:numRef>
          </c:val>
          <c:smooth val="0"/>
          <c:extLst>
            <c:ext xmlns:c16="http://schemas.microsoft.com/office/drawing/2014/chart" uri="{C3380CC4-5D6E-409C-BE32-E72D297353CC}">
              <c16:uniqueId val="{00000000-0420-45C3-A143-3DC5DCCB1E6C}"/>
            </c:ext>
          </c:extLst>
        </c:ser>
        <c:dLbls>
          <c:dLblPos val="t"/>
          <c:showLegendKey val="0"/>
          <c:showVal val="1"/>
          <c:showCatName val="0"/>
          <c:showSerName val="0"/>
          <c:showPercent val="0"/>
          <c:showBubbleSize val="0"/>
        </c:dLbls>
        <c:marker val="1"/>
        <c:smooth val="0"/>
        <c:axId val="673181536"/>
        <c:axId val="1539167344"/>
      </c:lineChart>
      <c:catAx>
        <c:axId val="673181536"/>
        <c:scaling>
          <c:orientation val="minMax"/>
        </c:scaling>
        <c:delete val="0"/>
        <c:axPos val="b"/>
        <c:numFmt formatCode="General" sourceLinked="1"/>
        <c:majorTickMark val="out"/>
        <c:minorTickMark val="none"/>
        <c:tickLblPos val="nextTo"/>
        <c:spPr>
          <a:noFill/>
          <a:ln w="12700" cap="flat" cmpd="sng" algn="ctr">
            <a:solidFill>
              <a:srgbClr val="FFFFFF"/>
            </a:solidFill>
            <a:round/>
          </a:ln>
          <a:effectLst/>
        </c:spPr>
        <c:txPr>
          <a:bodyPr rot="-60000000" spcFirstLastPara="1" vertOverflow="ellipsis" vert="horz" wrap="square" anchor="ctr" anchorCtr="1"/>
          <a:lstStyle/>
          <a:p>
            <a:pPr>
              <a:defRPr sz="900" b="1" i="0" u="none" strike="noStrike" kern="1200" baseline="0">
                <a:solidFill>
                  <a:srgbClr val="FFFFFF"/>
                </a:solidFill>
                <a:latin typeface="+mn-lt"/>
                <a:ea typeface="+mn-ea"/>
                <a:cs typeface="B Nazanin" panose="00000400000000000000" pitchFamily="2" charset="-78"/>
              </a:defRPr>
            </a:pPr>
            <a:endParaRPr lang="en-US"/>
          </a:p>
        </c:txPr>
        <c:crossAx val="1539167344"/>
        <c:crosses val="autoZero"/>
        <c:auto val="1"/>
        <c:lblAlgn val="ctr"/>
        <c:lblOffset val="100"/>
        <c:noMultiLvlLbl val="0"/>
      </c:catAx>
      <c:valAx>
        <c:axId val="1539167344"/>
        <c:scaling>
          <c:orientation val="minMax"/>
        </c:scaling>
        <c:delete val="1"/>
        <c:axPos val="l"/>
        <c:numFmt formatCode="_(* #,##0_);_(* \(#,##0\);_(* &quot;-&quot;??_);_(@_)" sourceLinked="1"/>
        <c:majorTickMark val="none"/>
        <c:minorTickMark val="none"/>
        <c:tickLblPos val="nextTo"/>
        <c:crossAx val="6731815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008059255421032E-3"/>
          <c:y val="0.1778059634667021"/>
          <c:w val="0.99407114624505932"/>
          <c:h val="0.41557561814613569"/>
        </c:manualLayout>
      </c:layout>
      <c:lineChart>
        <c:grouping val="standard"/>
        <c:varyColors val="0"/>
        <c:ser>
          <c:idx val="0"/>
          <c:order val="0"/>
          <c:tx>
            <c:strRef>
              <c:f>calc!$DB$6</c:f>
              <c:strCache>
                <c:ptCount val="1"/>
                <c:pt idx="0">
                  <c:v>1405</c:v>
                </c:pt>
              </c:strCache>
            </c:strRef>
          </c:tx>
          <c:spPr>
            <a:ln w="28575" cap="rnd">
              <a:solidFill>
                <a:schemeClr val="accent1">
                  <a:lumMod val="40000"/>
                  <a:lumOff val="60000"/>
                </a:schemeClr>
              </a:solidFill>
              <a:round/>
            </a:ln>
            <a:effectLst/>
          </c:spPr>
          <c:marker>
            <c:symbol val="circle"/>
            <c:size val="5"/>
            <c:spPr>
              <a:solidFill>
                <a:schemeClr val="accent2">
                  <a:lumMod val="20000"/>
                  <a:lumOff val="80000"/>
                </a:schemeClr>
              </a:solidFill>
              <a:ln w="9525">
                <a:solidFill>
                  <a:schemeClr val="accent1">
                    <a:lumMod val="40000"/>
                    <a:lumOff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calc!$DA$17:$DA$28</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calc!$DB$17:$DB$28</c:f>
              <c:numCache>
                <c:formatCode>_(* #,##0_);_(* \(#,##0\);_(* "-"??_);_(@_)</c:formatCode>
                <c:ptCount val="12"/>
                <c:pt idx="0">
                  <c:v>130065.24271844661</c:v>
                </c:pt>
                <c:pt idx="1">
                  <c:v>134213.17826229613</c:v>
                </c:pt>
                <c:pt idx="2">
                  <c:v>136631.15418275719</c:v>
                </c:pt>
                <c:pt idx="3">
                  <c:v>139622.73865573885</c:v>
                </c:pt>
                <c:pt idx="4">
                  <c:v>141108.73330519194</c:v>
                </c:pt>
                <c:pt idx="5">
                  <c:v>144792.52792607172</c:v>
                </c:pt>
                <c:pt idx="6">
                  <c:v>146291.69462144127</c:v>
                </c:pt>
                <c:pt idx="7">
                  <c:v>0</c:v>
                </c:pt>
                <c:pt idx="8">
                  <c:v>0</c:v>
                </c:pt>
                <c:pt idx="9">
                  <c:v>0</c:v>
                </c:pt>
                <c:pt idx="10">
                  <c:v>0</c:v>
                </c:pt>
                <c:pt idx="11">
                  <c:v>0</c:v>
                </c:pt>
              </c:numCache>
            </c:numRef>
          </c:val>
          <c:smooth val="0"/>
          <c:extLst>
            <c:ext xmlns:c16="http://schemas.microsoft.com/office/drawing/2014/chart" uri="{C3380CC4-5D6E-409C-BE32-E72D297353CC}">
              <c16:uniqueId val="{00000000-C3C9-4C93-AE5C-AD8C651280BB}"/>
            </c:ext>
          </c:extLst>
        </c:ser>
        <c:dLbls>
          <c:dLblPos val="t"/>
          <c:showLegendKey val="0"/>
          <c:showVal val="1"/>
          <c:showCatName val="0"/>
          <c:showSerName val="0"/>
          <c:showPercent val="0"/>
          <c:showBubbleSize val="0"/>
        </c:dLbls>
        <c:marker val="1"/>
        <c:smooth val="0"/>
        <c:axId val="673181536"/>
        <c:axId val="1539167344"/>
      </c:lineChart>
      <c:catAx>
        <c:axId val="673181536"/>
        <c:scaling>
          <c:orientation val="minMax"/>
        </c:scaling>
        <c:delete val="0"/>
        <c:axPos val="b"/>
        <c:numFmt formatCode="General" sourceLinked="1"/>
        <c:majorTickMark val="out"/>
        <c:minorTickMark val="none"/>
        <c:tickLblPos val="nextTo"/>
        <c:spPr>
          <a:noFill/>
          <a:ln w="12700" cap="flat" cmpd="sng" algn="ctr">
            <a:solidFill>
              <a:srgbClr val="FFFFFF"/>
            </a:solidFill>
            <a:round/>
          </a:ln>
          <a:effectLst/>
        </c:spPr>
        <c:txPr>
          <a:bodyPr rot="-60000000" spcFirstLastPara="1" vertOverflow="ellipsis" vert="horz" wrap="square" anchor="ctr" anchorCtr="1"/>
          <a:lstStyle/>
          <a:p>
            <a:pPr>
              <a:defRPr sz="900" b="1" i="0" u="none" strike="noStrike" kern="1200" baseline="0">
                <a:solidFill>
                  <a:srgbClr val="FFFFFF"/>
                </a:solidFill>
                <a:latin typeface="+mn-lt"/>
                <a:ea typeface="+mn-ea"/>
                <a:cs typeface="B Nazanin" panose="00000400000000000000" pitchFamily="2" charset="-78"/>
              </a:defRPr>
            </a:pPr>
            <a:endParaRPr lang="en-US"/>
          </a:p>
        </c:txPr>
        <c:crossAx val="1539167344"/>
        <c:crosses val="autoZero"/>
        <c:auto val="1"/>
        <c:lblAlgn val="ctr"/>
        <c:lblOffset val="100"/>
        <c:noMultiLvlLbl val="0"/>
      </c:catAx>
      <c:valAx>
        <c:axId val="1539167344"/>
        <c:scaling>
          <c:orientation val="minMax"/>
        </c:scaling>
        <c:delete val="1"/>
        <c:axPos val="l"/>
        <c:numFmt formatCode="_(* #,##0_);_(* \(#,##0\);_(* &quot;-&quot;??_);_(@_)" sourceLinked="1"/>
        <c:majorTickMark val="none"/>
        <c:minorTickMark val="none"/>
        <c:tickLblPos val="nextTo"/>
        <c:crossAx val="6731815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2.5948103792415168E-2"/>
          <c:y val="0"/>
          <c:w val="0.95608782435129736"/>
          <c:h val="0.90495247870063733"/>
        </c:manualLayout>
      </c:layout>
      <c:lineChart>
        <c:grouping val="standard"/>
        <c:varyColors val="0"/>
        <c:dLbls>
          <c:showLegendKey val="0"/>
          <c:showVal val="0"/>
          <c:showCatName val="0"/>
          <c:showSerName val="0"/>
          <c:showPercent val="0"/>
          <c:showBubbleSize val="0"/>
        </c:dLbls>
        <c:marker val="1"/>
        <c:smooth val="0"/>
        <c:axId val="2109223504"/>
        <c:axId val="2109223984"/>
        <c:extLst>
          <c:ext xmlns:c15="http://schemas.microsoft.com/office/drawing/2012/chart" uri="{02D57815-91ED-43cb-92C2-25804820EDAC}">
            <c15:filteredLineSeries>
              <c15:ser>
                <c:idx val="0"/>
                <c:order val="0"/>
                <c:tx>
                  <c:strRef>
                    <c:extLst>
                      <c:ext uri="{02D57815-91ED-43cb-92C2-25804820EDAC}">
                        <c15:formulaRef>
                          <c15:sqref>calc!$DM$8</c15:sqref>
                        </c15:formulaRef>
                      </c:ext>
                    </c:extLst>
                    <c:strCache>
                      <c:ptCount val="1"/>
                      <c:pt idx="0">
                        <c:v>عادی</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FFFFFF"/>
                          </a:solidFill>
                          <a:latin typeface="+mn-lt"/>
                          <a:ea typeface="+mn-ea"/>
                          <a:cs typeface="+mn-cs"/>
                        </a:defRPr>
                      </a:pPr>
                      <a:endParaRPr lang="fa-I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calc!$DL$9:$DL$20</c15:sqref>
                        </c15:formulaRef>
                      </c:ext>
                    </c:extLst>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extLst>
                      <c:ext uri="{02D57815-91ED-43cb-92C2-25804820EDAC}">
                        <c15:formulaRef>
                          <c15:sqref>calc!$DM$9:$DM$20</c15:sqref>
                        </c15:formulaRef>
                      </c:ext>
                    </c:extLst>
                    <c:numCache>
                      <c:formatCode>General</c:formatCode>
                      <c:ptCount val="12"/>
                      <c:pt idx="0">
                        <c:v>46050</c:v>
                      </c:pt>
                      <c:pt idx="1">
                        <c:v>1514850</c:v>
                      </c:pt>
                      <c:pt idx="2">
                        <c:v>1571740</c:v>
                      </c:pt>
                      <c:pt idx="3">
                        <c:v>724730</c:v>
                      </c:pt>
                      <c:pt idx="4">
                        <c:v>1459650</c:v>
                      </c:pt>
                      <c:pt idx="5">
                        <c:v>1533010</c:v>
                      </c:pt>
                      <c:pt idx="6">
                        <c:v>709710</c:v>
                      </c:pt>
                      <c:pt idx="7">
                        <c:v>0</c:v>
                      </c:pt>
                      <c:pt idx="8">
                        <c:v>0</c:v>
                      </c:pt>
                      <c:pt idx="9">
                        <c:v>0</c:v>
                      </c:pt>
                      <c:pt idx="10">
                        <c:v>0</c:v>
                      </c:pt>
                      <c:pt idx="11">
                        <c:v>0</c:v>
                      </c:pt>
                    </c:numCache>
                  </c:numRef>
                </c:val>
                <c:smooth val="0"/>
                <c:extLst>
                  <c:ext xmlns:c16="http://schemas.microsoft.com/office/drawing/2014/chart" uri="{C3380CC4-5D6E-409C-BE32-E72D297353CC}">
                    <c16:uniqueId val="{00000001-A2B8-49F4-904D-539366DAC7A4}"/>
                  </c:ext>
                </c:extLst>
              </c15:ser>
            </c15:filteredLineSeries>
            <c15:filteredLineSeries>
              <c15:ser>
                <c:idx val="1"/>
                <c:order val="1"/>
                <c:tx>
                  <c:strRef>
                    <c:extLst>
                      <c:ext xmlns:c15="http://schemas.microsoft.com/office/drawing/2012/chart" uri="{02D57815-91ED-43cb-92C2-25804820EDAC}">
                        <c15:formulaRef>
                          <c15:sqref>calc!$DN$8</c15:sqref>
                        </c15:formulaRef>
                      </c:ext>
                    </c:extLst>
                    <c:strCache>
                      <c:ptCount val="1"/>
                      <c:pt idx="0">
                        <c:v>انجمن</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FFFFFF"/>
                          </a:solidFill>
                          <a:latin typeface="+mn-lt"/>
                          <a:ea typeface="+mn-ea"/>
                          <a:cs typeface="+mn-cs"/>
                        </a:defRPr>
                      </a:pPr>
                      <a:endParaRPr lang="fa-IR"/>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ormulaRef>
                          <c15:sqref>calc!$DL$9:$DL$20</c15:sqref>
                        </c15:formulaRef>
                      </c:ext>
                    </c:extLst>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extLst>
                      <c:ext xmlns:c15="http://schemas.microsoft.com/office/drawing/2012/chart" uri="{02D57815-91ED-43cb-92C2-25804820EDAC}">
                        <c15:formulaRef>
                          <c15:sqref>calc!$DN$9:$DN$20</c15:sqref>
                        </c15:formulaRef>
                      </c:ext>
                    </c:extLst>
                    <c:numCache>
                      <c:formatCode>General</c:formatCode>
                      <c:ptCount val="12"/>
                      <c:pt idx="0">
                        <c:v>15750</c:v>
                      </c:pt>
                      <c:pt idx="1">
                        <c:v>344065</c:v>
                      </c:pt>
                      <c:pt idx="2">
                        <c:v>274880</c:v>
                      </c:pt>
                      <c:pt idx="3">
                        <c:v>284915</c:v>
                      </c:pt>
                      <c:pt idx="4">
                        <c:v>276640</c:v>
                      </c:pt>
                      <c:pt idx="5">
                        <c:v>410440</c:v>
                      </c:pt>
                      <c:pt idx="6">
                        <c:v>163220</c:v>
                      </c:pt>
                      <c:pt idx="7">
                        <c:v>0</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3-A2B8-49F4-904D-539366DAC7A4}"/>
                  </c:ext>
                </c:extLst>
              </c15:ser>
            </c15:filteredLineSeries>
            <c15:filteredLineSeries>
              <c15:ser>
                <c:idx val="2"/>
                <c:order val="2"/>
                <c:tx>
                  <c:strRef>
                    <c:extLst>
                      <c:ext xmlns:c15="http://schemas.microsoft.com/office/drawing/2012/chart" uri="{02D57815-91ED-43cb-92C2-25804820EDAC}">
                        <c15:formulaRef>
                          <c15:sqref>calc!$DO$8</c15:sqref>
                        </c15:formulaRef>
                      </c:ext>
                    </c:extLst>
                    <c:strCache>
                      <c:ptCount val="1"/>
                      <c:pt idx="0">
                        <c:v>بورس</c:v>
                      </c:pt>
                    </c:strCache>
                  </c:strRef>
                </c:tx>
                <c:spPr>
                  <a:ln w="28575" cap="rnd">
                    <a:solidFill>
                      <a:schemeClr val="accent3"/>
                    </a:solidFill>
                    <a:round/>
                  </a:ln>
                  <a:effectLst/>
                </c:spPr>
                <c:marker>
                  <c:symbol val="square"/>
                  <c:size val="5"/>
                  <c:spPr>
                    <a:solidFill>
                      <a:schemeClr val="accent4"/>
                    </a:solidFill>
                    <a:ln w="19050">
                      <a:solidFill>
                        <a:schemeClr val="accent2"/>
                      </a:solidFill>
                      <a:prstDash val="solid"/>
                    </a:ln>
                    <a:effectLst/>
                  </c:spPr>
                </c:marker>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FFFFFF"/>
                          </a:solidFill>
                          <a:latin typeface="+mn-lt"/>
                          <a:ea typeface="+mn-ea"/>
                          <a:cs typeface="+mn-cs"/>
                        </a:defRPr>
                      </a:pPr>
                      <a:endParaRPr lang="fa-IR"/>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ormulaRef>
                          <c15:sqref>calc!$DL$9:$DL$20</c15:sqref>
                        </c15:formulaRef>
                      </c:ext>
                    </c:extLst>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extLst>
                      <c:ext xmlns:c15="http://schemas.microsoft.com/office/drawing/2012/chart" uri="{02D57815-91ED-43cb-92C2-25804820EDAC}">
                        <c15:formulaRef>
                          <c15:sqref>calc!$DO$9:$DO$20</c15:sqref>
                        </c15:formulaRef>
                      </c:ext>
                    </c:extLst>
                    <c:numCache>
                      <c:formatCode>General</c:formatCode>
                      <c:ptCount val="12"/>
                      <c:pt idx="0">
                        <c:v>0</c:v>
                      </c:pt>
                      <c:pt idx="1">
                        <c:v>80180</c:v>
                      </c:pt>
                      <c:pt idx="2">
                        <c:v>31140</c:v>
                      </c:pt>
                      <c:pt idx="3">
                        <c:v>17435</c:v>
                      </c:pt>
                      <c:pt idx="4">
                        <c:v>20000</c:v>
                      </c:pt>
                      <c:pt idx="5">
                        <c:v>53410</c:v>
                      </c:pt>
                      <c:pt idx="6">
                        <c:v>12360</c:v>
                      </c:pt>
                      <c:pt idx="7">
                        <c:v>0</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4-A2B8-49F4-904D-539366DAC7A4}"/>
                  </c:ext>
                </c:extLst>
              </c15:ser>
            </c15:filteredLineSeries>
            <c15:filteredLineSeries>
              <c15:ser>
                <c:idx val="3"/>
                <c:order val="3"/>
                <c:tx>
                  <c:strRef>
                    <c:extLst>
                      <c:ext xmlns:c15="http://schemas.microsoft.com/office/drawing/2012/chart" uri="{02D57815-91ED-43cb-92C2-25804820EDAC}">
                        <c15:formulaRef>
                          <c15:sqref>calc!$DP$8</c15:sqref>
                        </c15:formulaRef>
                      </c:ext>
                    </c:extLst>
                    <c:strCache>
                      <c:ptCount val="1"/>
                      <c:pt idx="0">
                        <c:v>تعادلی</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FFFFFF"/>
                          </a:solidFill>
                          <a:latin typeface="+mn-lt"/>
                          <a:ea typeface="+mn-ea"/>
                          <a:cs typeface="+mn-cs"/>
                        </a:defRPr>
                      </a:pPr>
                      <a:endParaRPr lang="fa-IR"/>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ormulaRef>
                          <c15:sqref>calc!$DL$9:$DL$20</c15:sqref>
                        </c15:formulaRef>
                      </c:ext>
                    </c:extLst>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extLst>
                      <c:ext xmlns:c15="http://schemas.microsoft.com/office/drawing/2012/chart" uri="{02D57815-91ED-43cb-92C2-25804820EDAC}">
                        <c15:formulaRef>
                          <c15:sqref>calc!$DP$9:$DP$20</c15:sqref>
                        </c15:formulaRef>
                      </c:ext>
                    </c:extLst>
                    <c:numCache>
                      <c:formatCode>General</c:formatCode>
                      <c:ptCount val="12"/>
                      <c:pt idx="0">
                        <c:v>0</c:v>
                      </c:pt>
                      <c:pt idx="1">
                        <c:v>162995</c:v>
                      </c:pt>
                      <c:pt idx="2">
                        <c:v>218100</c:v>
                      </c:pt>
                      <c:pt idx="3">
                        <c:v>150060</c:v>
                      </c:pt>
                      <c:pt idx="4">
                        <c:v>174380</c:v>
                      </c:pt>
                      <c:pt idx="5">
                        <c:v>70670</c:v>
                      </c:pt>
                      <c:pt idx="6">
                        <c:v>40760</c:v>
                      </c:pt>
                      <c:pt idx="7">
                        <c:v>0</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5-A2B8-49F4-904D-539366DAC7A4}"/>
                  </c:ext>
                </c:extLst>
              </c15:ser>
            </c15:filteredLineSeries>
          </c:ext>
        </c:extLst>
      </c:lineChart>
      <c:catAx>
        <c:axId val="2109223504"/>
        <c:scaling>
          <c:orientation val="minMax"/>
        </c:scaling>
        <c:delete val="0"/>
        <c:axPos val="b"/>
        <c:numFmt formatCode="General" sourceLinked="1"/>
        <c:majorTickMark val="none"/>
        <c:minorTickMark val="none"/>
        <c:tickLblPos val="nextTo"/>
        <c:spPr>
          <a:noFill/>
          <a:ln w="9525" cap="flat" cmpd="sng" algn="ctr">
            <a:solidFill>
              <a:srgbClr val="FFFFFF"/>
            </a:solidFill>
            <a:round/>
          </a:ln>
          <a:effectLst/>
        </c:spPr>
        <c:txPr>
          <a:bodyPr rot="-60000000" spcFirstLastPara="1" vertOverflow="ellipsis" vert="horz" wrap="square" anchor="ctr" anchorCtr="1"/>
          <a:lstStyle/>
          <a:p>
            <a:pPr>
              <a:defRPr sz="900" b="0" i="0" u="none" strike="noStrike" kern="1200" baseline="0">
                <a:solidFill>
                  <a:srgbClr val="FFFFFF"/>
                </a:solidFill>
                <a:latin typeface="+mn-lt"/>
                <a:ea typeface="+mn-ea"/>
                <a:cs typeface="B Koodak" panose="00000700000000000000" pitchFamily="2" charset="-78"/>
              </a:defRPr>
            </a:pPr>
            <a:endParaRPr lang="en-US"/>
          </a:p>
        </c:txPr>
        <c:crossAx val="2109223984"/>
        <c:crosses val="autoZero"/>
        <c:auto val="1"/>
        <c:lblAlgn val="ctr"/>
        <c:lblOffset val="100"/>
        <c:noMultiLvlLbl val="0"/>
      </c:catAx>
      <c:valAx>
        <c:axId val="2109223984"/>
        <c:scaling>
          <c:orientation val="minMax"/>
        </c:scaling>
        <c:delete val="0"/>
        <c:axPos val="l"/>
        <c:numFmt formatCode="##,##0," sourceLinked="0"/>
        <c:majorTickMark val="none"/>
        <c:minorTickMark val="none"/>
        <c:tickLblPos val="none"/>
        <c:spPr>
          <a:noFill/>
          <a:ln>
            <a:noFill/>
          </a:ln>
          <a:effectLst/>
        </c:spPr>
        <c:txPr>
          <a:bodyPr rot="-60000000" spcFirstLastPara="1" vertOverflow="ellipsis" vert="horz" wrap="square" anchor="ctr" anchorCtr="1"/>
          <a:lstStyle/>
          <a:p>
            <a:pPr>
              <a:defRPr sz="1050" b="0" i="0" u="none" strike="noStrike" kern="1200" baseline="0">
                <a:solidFill>
                  <a:srgbClr val="FFFFFF"/>
                </a:solidFill>
                <a:latin typeface="+mn-lt"/>
                <a:ea typeface="+mn-ea"/>
                <a:cs typeface="+mn-cs"/>
              </a:defRPr>
            </a:pPr>
            <a:endParaRPr lang="en-US"/>
          </a:p>
        </c:txPr>
        <c:crossAx val="2109223504"/>
        <c:crosses val="autoZero"/>
        <c:crossBetween val="between"/>
      </c:valAx>
      <c:spPr>
        <a:noFill/>
        <a:ln>
          <a:noFill/>
        </a:ln>
        <a:effectLst/>
      </c:spPr>
    </c:plotArea>
    <c:legend>
      <c:legendPos val="b"/>
      <c:layout>
        <c:manualLayout>
          <c:xMode val="edge"/>
          <c:yMode val="edge"/>
          <c:x val="0.37045011628490465"/>
          <c:y val="0.94754563308378492"/>
          <c:w val="0"/>
          <c:h val="4.5082941963699358E-2"/>
        </c:manualLayout>
      </c:layout>
      <c:overlay val="0"/>
      <c:spPr>
        <a:noFill/>
        <a:ln>
          <a:noFill/>
        </a:ln>
        <a:effectLst/>
      </c:spPr>
      <c:txPr>
        <a:bodyPr rot="0" spcFirstLastPara="1" vertOverflow="ellipsis" vert="horz" wrap="square" anchor="ctr" anchorCtr="1"/>
        <a:lstStyle/>
        <a:p>
          <a:pPr>
            <a:defRPr sz="1100" b="1" i="0" u="none" strike="noStrike" kern="1200" baseline="0">
              <a:solidFill>
                <a:srgbClr val="FFFFFF"/>
              </a:solidFill>
              <a:latin typeface="+mn-lt"/>
              <a:ea typeface="+mn-ea"/>
              <a:cs typeface="B Koodak" panose="00000700000000000000" pitchFamily="2" charset="-78"/>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50">
          <a:solidFill>
            <a:srgbClr val="FFFFFF"/>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288537549407111E-3"/>
          <c:y val="8.2623952192846795E-2"/>
          <c:w val="0.99407114624505932"/>
          <c:h val="0.54666952134294378"/>
        </c:manualLayout>
      </c:layout>
      <c:lineChart>
        <c:grouping val="standard"/>
        <c:varyColors val="0"/>
        <c:ser>
          <c:idx val="0"/>
          <c:order val="0"/>
          <c:spPr>
            <a:ln w="28575" cap="rnd">
              <a:solidFill>
                <a:schemeClr val="accent1"/>
              </a:solidFill>
              <a:round/>
            </a:ln>
            <a:effectLst/>
          </c:spPr>
          <c:marker>
            <c:symbol val="circle"/>
            <c:size val="5"/>
            <c:spPr>
              <a:solidFill>
                <a:schemeClr val="accent2">
                  <a:lumMod val="20000"/>
                  <a:lumOff val="80000"/>
                </a:schemeClr>
              </a:solidFill>
              <a:ln w="9525">
                <a:solidFill>
                  <a:schemeClr val="accent3">
                    <a:lumMod val="60000"/>
                    <a:lumOff val="4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mn-lt"/>
                    <a:ea typeface="+mn-ea"/>
                    <a:cs typeface="B Titr" panose="00000700000000000000" pitchFamily="2" charset="-78"/>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calc!$DR$9:$DR$20</c:f>
              <c:strCache>
                <c:ptCount val="12"/>
                <c:pt idx="0">
                  <c:v>فروردین</c:v>
                </c:pt>
                <c:pt idx="1">
                  <c:v>اردیبهشت</c:v>
                </c:pt>
                <c:pt idx="2">
                  <c:v>خرداد</c:v>
                </c:pt>
                <c:pt idx="3">
                  <c:v>تیر</c:v>
                </c:pt>
                <c:pt idx="4">
                  <c:v>مرداد</c:v>
                </c:pt>
                <c:pt idx="5">
                  <c:v>شهریور</c:v>
                </c:pt>
                <c:pt idx="6">
                  <c:v>مهر</c:v>
                </c:pt>
                <c:pt idx="7">
                  <c:v>آبان</c:v>
                </c:pt>
                <c:pt idx="8">
                  <c:v>آذر</c:v>
                </c:pt>
                <c:pt idx="9">
                  <c:v>دی</c:v>
                </c:pt>
                <c:pt idx="10">
                  <c:v>بهمن</c:v>
                </c:pt>
                <c:pt idx="11">
                  <c:v>اسفند</c:v>
                </c:pt>
              </c:strCache>
            </c:strRef>
          </c:cat>
          <c:val>
            <c:numRef>
              <c:f>calc!$DS$9:$DS$20</c:f>
              <c:numCache>
                <c:formatCode>General</c:formatCode>
                <c:ptCount val="12"/>
                <c:pt idx="0">
                  <c:v>0</c:v>
                </c:pt>
                <c:pt idx="1">
                  <c:v>162995</c:v>
                </c:pt>
                <c:pt idx="2">
                  <c:v>218100</c:v>
                </c:pt>
                <c:pt idx="3">
                  <c:v>150060</c:v>
                </c:pt>
                <c:pt idx="4">
                  <c:v>174380</c:v>
                </c:pt>
                <c:pt idx="5">
                  <c:v>70670</c:v>
                </c:pt>
                <c:pt idx="6">
                  <c:v>40760</c:v>
                </c:pt>
                <c:pt idx="7">
                  <c:v>0</c:v>
                </c:pt>
                <c:pt idx="8">
                  <c:v>0</c:v>
                </c:pt>
                <c:pt idx="9">
                  <c:v>0</c:v>
                </c:pt>
                <c:pt idx="10">
                  <c:v>0</c:v>
                </c:pt>
                <c:pt idx="11">
                  <c:v>0</c:v>
                </c:pt>
              </c:numCache>
            </c:numRef>
          </c:val>
          <c:smooth val="0"/>
          <c:extLst>
            <c:ext xmlns:c16="http://schemas.microsoft.com/office/drawing/2014/chart" uri="{C3380CC4-5D6E-409C-BE32-E72D297353CC}">
              <c16:uniqueId val="{00000000-9FA9-4D21-9CCE-4C81AA5D474F}"/>
            </c:ext>
          </c:extLst>
        </c:ser>
        <c:dLbls>
          <c:dLblPos val="t"/>
          <c:showLegendKey val="0"/>
          <c:showVal val="1"/>
          <c:showCatName val="0"/>
          <c:showSerName val="0"/>
          <c:showPercent val="0"/>
          <c:showBubbleSize val="0"/>
        </c:dLbls>
        <c:marker val="1"/>
        <c:smooth val="0"/>
        <c:axId val="673181536"/>
        <c:axId val="1539167344"/>
      </c:lineChart>
      <c:catAx>
        <c:axId val="673181536"/>
        <c:scaling>
          <c:orientation val="minMax"/>
        </c:scaling>
        <c:delete val="0"/>
        <c:axPos val="b"/>
        <c:numFmt formatCode="General" sourceLinked="1"/>
        <c:majorTickMark val="out"/>
        <c:minorTickMark val="none"/>
        <c:tickLblPos val="nextTo"/>
        <c:spPr>
          <a:noFill/>
          <a:ln w="12700" cap="flat" cmpd="sng" algn="ctr">
            <a:solidFill>
              <a:srgbClr val="FFFFFF"/>
            </a:solidFill>
            <a:round/>
          </a:ln>
          <a:effectLst/>
        </c:spPr>
        <c:txPr>
          <a:bodyPr rot="-60000000" spcFirstLastPara="1" vertOverflow="ellipsis" vert="horz" wrap="square" anchor="ctr" anchorCtr="1"/>
          <a:lstStyle/>
          <a:p>
            <a:pPr>
              <a:defRPr sz="900" b="1" i="0" u="none" strike="noStrike" kern="1200" baseline="0">
                <a:solidFill>
                  <a:srgbClr val="FFFFFF"/>
                </a:solidFill>
                <a:latin typeface="+mn-lt"/>
                <a:ea typeface="+mn-ea"/>
                <a:cs typeface="B Nazanin" panose="00000400000000000000" pitchFamily="2" charset="-78"/>
              </a:defRPr>
            </a:pPr>
            <a:endParaRPr lang="en-US"/>
          </a:p>
        </c:txPr>
        <c:crossAx val="1539167344"/>
        <c:crosses val="autoZero"/>
        <c:auto val="1"/>
        <c:lblAlgn val="ctr"/>
        <c:lblOffset val="100"/>
        <c:noMultiLvlLbl val="0"/>
      </c:catAx>
      <c:valAx>
        <c:axId val="1539167344"/>
        <c:scaling>
          <c:orientation val="minMax"/>
        </c:scaling>
        <c:delete val="1"/>
        <c:axPos val="l"/>
        <c:numFmt formatCode="General" sourceLinked="1"/>
        <c:majorTickMark val="none"/>
        <c:minorTickMark val="none"/>
        <c:tickLblPos val="nextTo"/>
        <c:crossAx val="67318153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croll" dx="26" fmlaLink="calc!$BC$4" max="100" min="1" page="0"/>
</file>

<file path=xl/ctrlProps/ctrlProp2.xml><?xml version="1.0" encoding="utf-8"?>
<formControlPr xmlns="http://schemas.microsoft.com/office/spreadsheetml/2009/9/main" objectType="CheckBox" fmlaLink="calc!$BX$6" lockText="1"/>
</file>

<file path=xl/ctrlProps/ctrlProp3.xml><?xml version="1.0" encoding="utf-8"?>
<formControlPr xmlns="http://schemas.microsoft.com/office/spreadsheetml/2009/9/main" objectType="CheckBox" fmlaLink="calc!$BY$6" lockText="1"/>
</file>

<file path=xl/ctrlProps/ctrlProp4.xml><?xml version="1.0" encoding="utf-8"?>
<formControlPr xmlns="http://schemas.microsoft.com/office/spreadsheetml/2009/9/main" objectType="Drop" dropStyle="combo" dx="26" fmlaLink="calc!$BV$23" fmlaRange="calc!$BU$24:$BU$34" sel="3" val="2"/>
</file>

<file path=xl/ctrlProps/ctrlProp5.xml><?xml version="1.0" encoding="utf-8"?>
<formControlPr xmlns="http://schemas.microsoft.com/office/spreadsheetml/2009/9/main" objectType="Scroll" dx="26" fmlaLink="'Report Dashboard'!$L$18" max="100" min="1" page="0"/>
</file>

<file path=xl/ctrlProps/ctrlProp6.xml><?xml version="1.0" encoding="utf-8"?>
<formControlPr xmlns="http://schemas.microsoft.com/office/spreadsheetml/2009/9/main" objectType="Radio" firstButton="1" fmlaLink="calc!$DR$8"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8" Type="http://schemas.openxmlformats.org/officeDocument/2006/relationships/chart" Target="../charts/chart3.xml"/><Relationship Id="rId13" Type="http://schemas.openxmlformats.org/officeDocument/2006/relationships/chart" Target="../charts/chart5.xml"/><Relationship Id="rId3" Type="http://schemas.openxmlformats.org/officeDocument/2006/relationships/chart" Target="../charts/chart1.xml"/><Relationship Id="rId7" Type="http://schemas.openxmlformats.org/officeDocument/2006/relationships/image" Target="../media/image4.png"/><Relationship Id="rId12" Type="http://schemas.microsoft.com/office/2007/relationships/hdphoto" Target="../media/hdphoto2.wdp"/><Relationship Id="rId2" Type="http://schemas.openxmlformats.org/officeDocument/2006/relationships/image" Target="../media/image2.png"/><Relationship Id="rId16" Type="http://schemas.openxmlformats.org/officeDocument/2006/relationships/chart" Target="../charts/chart8.xml"/><Relationship Id="rId1" Type="http://schemas.openxmlformats.org/officeDocument/2006/relationships/image" Target="../media/image1.png"/><Relationship Id="rId6" Type="http://schemas.microsoft.com/office/2007/relationships/hdphoto" Target="../media/hdphoto1.wdp"/><Relationship Id="rId11" Type="http://schemas.openxmlformats.org/officeDocument/2006/relationships/image" Target="../media/image6.png"/><Relationship Id="rId5" Type="http://schemas.openxmlformats.org/officeDocument/2006/relationships/image" Target="../media/image3.png"/><Relationship Id="rId15" Type="http://schemas.openxmlformats.org/officeDocument/2006/relationships/chart" Target="../charts/chart7.xml"/><Relationship Id="rId10" Type="http://schemas.openxmlformats.org/officeDocument/2006/relationships/chart" Target="../charts/chart4.xml"/><Relationship Id="rId4" Type="http://schemas.openxmlformats.org/officeDocument/2006/relationships/chart" Target="../charts/chart2.xml"/><Relationship Id="rId9" Type="http://schemas.openxmlformats.org/officeDocument/2006/relationships/image" Target="../media/image5.jpeg"/><Relationship Id="rId1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33</xdr:col>
      <xdr:colOff>141514</xdr:colOff>
      <xdr:row>2</xdr:row>
      <xdr:rowOff>133350</xdr:rowOff>
    </xdr:from>
    <xdr:to>
      <xdr:col>36</xdr:col>
      <xdr:colOff>25399</xdr:colOff>
      <xdr:row>11</xdr:row>
      <xdr:rowOff>32657</xdr:rowOff>
    </xdr:to>
    <xdr:sp macro="" textlink="">
      <xdr:nvSpPr>
        <xdr:cNvPr id="67" name="Rectangle: Rounded Corners 66">
          <a:extLst>
            <a:ext uri="{FF2B5EF4-FFF2-40B4-BE49-F238E27FC236}">
              <a16:creationId xmlns:a16="http://schemas.microsoft.com/office/drawing/2014/main" id="{00000000-0008-0000-0000-000043000000}"/>
            </a:ext>
          </a:extLst>
        </xdr:cNvPr>
        <xdr:cNvSpPr/>
      </xdr:nvSpPr>
      <xdr:spPr>
        <a:xfrm>
          <a:off x="9965944001" y="542925"/>
          <a:ext cx="2198460" cy="1718582"/>
        </a:xfrm>
        <a:prstGeom prst="roundRect">
          <a:avLst>
            <a:gd name="adj" fmla="val 9359"/>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23</xdr:col>
      <xdr:colOff>237067</xdr:colOff>
      <xdr:row>14</xdr:row>
      <xdr:rowOff>59266</xdr:rowOff>
    </xdr:from>
    <xdr:to>
      <xdr:col>36</xdr:col>
      <xdr:colOff>19050</xdr:colOff>
      <xdr:row>17</xdr:row>
      <xdr:rowOff>25400</xdr:rowOff>
    </xdr:to>
    <xdr:sp macro="" textlink="">
      <xdr:nvSpPr>
        <xdr:cNvPr id="61" name="Rectangle: Rounded Corners 60">
          <a:extLst>
            <a:ext uri="{FF2B5EF4-FFF2-40B4-BE49-F238E27FC236}">
              <a16:creationId xmlns:a16="http://schemas.microsoft.com/office/drawing/2014/main" id="{00000000-0008-0000-0000-00003D000000}"/>
            </a:ext>
          </a:extLst>
        </xdr:cNvPr>
        <xdr:cNvSpPr/>
      </xdr:nvSpPr>
      <xdr:spPr>
        <a:xfrm>
          <a:off x="9965950350" y="3021541"/>
          <a:ext cx="7697258" cy="823384"/>
        </a:xfrm>
        <a:prstGeom prst="roundRect">
          <a:avLst>
            <a:gd name="adj" fmla="val 9359"/>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6</xdr:col>
      <xdr:colOff>677333</xdr:colOff>
      <xdr:row>0</xdr:row>
      <xdr:rowOff>0</xdr:rowOff>
    </xdr:from>
    <xdr:to>
      <xdr:col>14</xdr:col>
      <xdr:colOff>401531</xdr:colOff>
      <xdr:row>1</xdr:row>
      <xdr:rowOff>101600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9979216135" y="0"/>
          <a:ext cx="5066665"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600" b="1">
              <a:solidFill>
                <a:sysClr val="windowText" lastClr="000000"/>
              </a:solidFill>
              <a:cs typeface="B Titr" panose="00000700000000000000" pitchFamily="2" charset="-78"/>
            </a:rPr>
            <a:t>گزارش</a:t>
          </a:r>
          <a:r>
            <a:rPr lang="fa-IR" sz="1600" b="1" baseline="0">
              <a:solidFill>
                <a:sysClr val="windowText" lastClr="000000"/>
              </a:solidFill>
              <a:cs typeface="B Titr" panose="00000700000000000000" pitchFamily="2" charset="-78"/>
            </a:rPr>
            <a:t> مدیریتی تجمیعی عملکرد</a:t>
          </a:r>
          <a:r>
            <a:rPr lang="en-US" sz="1600" b="1" baseline="0">
              <a:solidFill>
                <a:sysClr val="windowText" lastClr="000000"/>
              </a:solidFill>
              <a:cs typeface="B Titr" panose="00000700000000000000" pitchFamily="2" charset="-78"/>
            </a:rPr>
            <a:t> </a:t>
          </a:r>
          <a:r>
            <a:rPr lang="fa-IR" sz="1600" b="1" baseline="0">
              <a:solidFill>
                <a:sysClr val="windowText" lastClr="000000"/>
              </a:solidFill>
              <a:cs typeface="B Titr" panose="00000700000000000000" pitchFamily="2" charset="-78"/>
            </a:rPr>
            <a:t> فروش کربن بارد</a:t>
          </a:r>
          <a:endParaRPr lang="en-US" sz="1600" b="1">
            <a:solidFill>
              <a:sysClr val="windowText" lastClr="000000"/>
            </a:solidFill>
            <a:cs typeface="B Titr" panose="00000700000000000000" pitchFamily="2" charset="-78"/>
          </a:endParaRPr>
        </a:p>
      </xdr:txBody>
    </xdr:sp>
    <xdr:clientData/>
  </xdr:twoCellAnchor>
  <xdr:twoCellAnchor>
    <xdr:from>
      <xdr:col>16</xdr:col>
      <xdr:colOff>414867</xdr:colOff>
      <xdr:row>14</xdr:row>
      <xdr:rowOff>25400</xdr:rowOff>
    </xdr:from>
    <xdr:to>
      <xdr:col>23</xdr:col>
      <xdr:colOff>16932</xdr:colOff>
      <xdr:row>15</xdr:row>
      <xdr:rowOff>262467</xdr:rowOff>
    </xdr:to>
    <xdr:sp macro="" textlink="">
      <xdr:nvSpPr>
        <xdr:cNvPr id="7" name="Rectangle: Rounded Corners 6">
          <a:extLst>
            <a:ext uri="{FF2B5EF4-FFF2-40B4-BE49-F238E27FC236}">
              <a16:creationId xmlns:a16="http://schemas.microsoft.com/office/drawing/2014/main" id="{00000000-0008-0000-0000-000007000000}"/>
            </a:ext>
          </a:extLst>
        </xdr:cNvPr>
        <xdr:cNvSpPr/>
      </xdr:nvSpPr>
      <xdr:spPr>
        <a:xfrm>
          <a:off x="10943666201" y="2988733"/>
          <a:ext cx="5664199" cy="558801"/>
        </a:xfrm>
        <a:prstGeom prst="roundRect">
          <a:avLst>
            <a:gd name="adj" fmla="val 11209"/>
          </a:avLst>
        </a:prstGeom>
        <a:solidFill>
          <a:srgbClr val="3A3F44"/>
        </a:solidFill>
        <a:ln>
          <a:noFill/>
        </a:ln>
        <a:effectLst/>
        <a:scene3d>
          <a:camera prst="orthographicFront">
            <a:rot lat="0" lon="0" rev="0"/>
          </a:camera>
          <a:lightRig rig="contrasting" dir="t">
            <a:rot lat="0" lon="0" rev="7800000"/>
          </a:lightRig>
        </a:scene3d>
        <a:sp3d>
          <a:bevelT w="139700" h="139700"/>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r" rtl="1"/>
          <a:r>
            <a:rPr lang="fa-IR" sz="1100">
              <a:solidFill>
                <a:schemeClr val="lt1"/>
              </a:solidFill>
            </a:rPr>
            <a:t>  </a:t>
          </a:r>
          <a:r>
            <a:rPr lang="fa-IR" sz="1100">
              <a:noFill/>
            </a:rPr>
            <a:t>                                                                                        </a:t>
          </a:r>
          <a:r>
            <a:rPr lang="fa-IR" sz="1100" baseline="0">
              <a:noFill/>
            </a:rPr>
            <a:t> </a:t>
          </a:r>
          <a:r>
            <a:rPr lang="fa-IR" sz="1100">
              <a:solidFill>
                <a:schemeClr val="lt1"/>
              </a:solidFill>
            </a:rPr>
            <a:t>                                                                                   </a:t>
          </a:r>
          <a:r>
            <a:rPr lang="fa-IR" sz="1100" baseline="0">
              <a:solidFill>
                <a:schemeClr val="lt1"/>
              </a:solidFill>
            </a:rPr>
            <a:t>      </a:t>
          </a:r>
          <a:endParaRPr lang="en-US" sz="1100">
            <a:solidFill>
              <a:schemeClr val="lt1"/>
            </a:solidFill>
          </a:endParaRPr>
        </a:p>
      </xdr:txBody>
    </xdr:sp>
    <xdr:clientData/>
  </xdr:twoCellAnchor>
  <xdr:twoCellAnchor editAs="oneCell">
    <xdr:from>
      <xdr:col>35</xdr:col>
      <xdr:colOff>822960</xdr:colOff>
      <xdr:row>3</xdr:row>
      <xdr:rowOff>22015</xdr:rowOff>
    </xdr:from>
    <xdr:to>
      <xdr:col>38</xdr:col>
      <xdr:colOff>536788</xdr:colOff>
      <xdr:row>37</xdr:row>
      <xdr:rowOff>155999</xdr:rowOff>
    </xdr:to>
    <mc:AlternateContent xmlns:mc="http://schemas.openxmlformats.org/markup-compatibility/2006" xmlns:a14="http://schemas.microsoft.com/office/drawing/2010/main">
      <mc:Choice Requires="a14">
        <xdr:graphicFrame macro="">
          <xdr:nvGraphicFramePr>
            <xdr:cNvPr id="20" name="نام مشتری">
              <a:extLst>
                <a:ext uri="{FF2B5EF4-FFF2-40B4-BE49-F238E27FC236}">
                  <a16:creationId xmlns:a16="http://schemas.microsoft.com/office/drawing/2014/main" id="{00000000-0008-0000-0000-000014000000}"/>
                </a:ext>
              </a:extLst>
            </xdr:cNvPr>
            <xdr:cNvGraphicFramePr/>
          </xdr:nvGraphicFramePr>
          <xdr:xfrm>
            <a:off x="0" y="0"/>
            <a:ext cx="0" cy="0"/>
          </xdr:xfrm>
          <a:graphic>
            <a:graphicData uri="http://schemas.microsoft.com/office/drawing/2010/slicer">
              <sle:slicer xmlns:sle="http://schemas.microsoft.com/office/drawing/2010/slicer" name="نام مشتری"/>
            </a:graphicData>
          </a:graphic>
        </xdr:graphicFrame>
      </mc:Choice>
      <mc:Fallback xmlns="">
        <xdr:sp macro="" textlink="">
          <xdr:nvSpPr>
            <xdr:cNvPr id="0" name=""/>
            <xdr:cNvSpPr>
              <a:spLocks noTextEdit="1"/>
            </xdr:cNvSpPr>
          </xdr:nvSpPr>
          <xdr:spPr>
            <a:xfrm>
              <a:off x="10960688432" y="601135"/>
              <a:ext cx="1900768" cy="7555864"/>
            </a:xfrm>
            <a:prstGeom prst="rect">
              <a:avLst/>
            </a:prstGeom>
            <a:solidFill>
              <a:prstClr val="white"/>
            </a:solidFill>
            <a:ln w="1">
              <a:solidFill>
                <a:prstClr val="green"/>
              </a:solidFill>
            </a:ln>
          </xdr:spPr>
          <xdr:txBody>
            <a:bodyPr vertOverflow="clip" horzOverflow="clip"/>
            <a:lstStyle/>
            <a:p>
              <a:r>
                <a:rPr lang="fa-IR"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35</xdr:col>
      <xdr:colOff>743472</xdr:colOff>
      <xdr:row>0</xdr:row>
      <xdr:rowOff>152400</xdr:rowOff>
    </xdr:from>
    <xdr:to>
      <xdr:col>38</xdr:col>
      <xdr:colOff>508013</xdr:colOff>
      <xdr:row>3</xdr:row>
      <xdr:rowOff>161925</xdr:rowOff>
    </xdr:to>
    <xdr:grpSp>
      <xdr:nvGrpSpPr>
        <xdr:cNvPr id="99" name="Group 98">
          <a:extLst>
            <a:ext uri="{FF2B5EF4-FFF2-40B4-BE49-F238E27FC236}">
              <a16:creationId xmlns:a16="http://schemas.microsoft.com/office/drawing/2014/main" id="{00000000-0008-0000-0000-000063000000}"/>
            </a:ext>
          </a:extLst>
        </xdr:cNvPr>
        <xdr:cNvGrpSpPr/>
      </xdr:nvGrpSpPr>
      <xdr:grpSpPr>
        <a:xfrm>
          <a:off x="10960717207" y="152400"/>
          <a:ext cx="1951481" cy="588645"/>
          <a:chOff x="9973095793" y="-79107"/>
          <a:chExt cx="1966224" cy="623900"/>
        </a:xfrm>
      </xdr:grpSpPr>
      <xdr:sp macro="" textlink="">
        <xdr:nvSpPr>
          <xdr:cNvPr id="24" name="Rectangle: Rounded Corners 23">
            <a:extLst>
              <a:ext uri="{FF2B5EF4-FFF2-40B4-BE49-F238E27FC236}">
                <a16:creationId xmlns:a16="http://schemas.microsoft.com/office/drawing/2014/main" id="{00000000-0008-0000-0000-000018000000}"/>
              </a:ext>
            </a:extLst>
          </xdr:cNvPr>
          <xdr:cNvSpPr/>
        </xdr:nvSpPr>
        <xdr:spPr>
          <a:xfrm>
            <a:off x="9973095793" y="118141"/>
            <a:ext cx="1805940" cy="353670"/>
          </a:xfrm>
          <a:prstGeom prst="roundRect">
            <a:avLst>
              <a:gd name="adj" fmla="val 24591"/>
            </a:avLst>
          </a:prstGeom>
          <a:solidFill>
            <a:schemeClr val="accent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chemeClr val="bg1"/>
              </a:solidFill>
            </a:endParaRPr>
          </a:p>
        </xdr:txBody>
      </xdr:sp>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4455704" y="-79107"/>
            <a:ext cx="606313" cy="623900"/>
          </a:xfrm>
          <a:prstGeom prst="rect">
            <a:avLst/>
          </a:prstGeom>
        </xdr:spPr>
      </xdr:pic>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9973134954" y="160020"/>
            <a:ext cx="1420491" cy="258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400" b="1" i="0" u="none" strike="noStrike">
                <a:solidFill>
                  <a:srgbClr val="FFFFFF"/>
                </a:solidFill>
                <a:latin typeface="Calibri"/>
                <a:cs typeface="Koodak" panose="00000700000000000000" pitchFamily="2" charset="-78"/>
              </a:rPr>
              <a:t>لیست</a:t>
            </a:r>
            <a:r>
              <a:rPr lang="fa-IR" sz="1400" b="1" i="0" u="none" strike="noStrike" baseline="0">
                <a:solidFill>
                  <a:srgbClr val="FFFFFF"/>
                </a:solidFill>
                <a:latin typeface="Calibri"/>
                <a:cs typeface="Koodak" panose="00000700000000000000" pitchFamily="2" charset="-78"/>
              </a:rPr>
              <a:t> مشتریان</a:t>
            </a:r>
            <a:endParaRPr lang="en-US" sz="1400" b="1" i="0" u="none" strike="noStrike">
              <a:solidFill>
                <a:srgbClr val="FFFFFF"/>
              </a:solidFill>
              <a:latin typeface="Calibri"/>
              <a:cs typeface="Koodak" panose="00000700000000000000" pitchFamily="2" charset="-78"/>
            </a:endParaRPr>
          </a:p>
        </xdr:txBody>
      </xdr:sp>
    </xdr:grpSp>
    <xdr:clientData/>
  </xdr:twoCellAnchor>
  <xdr:twoCellAnchor>
    <xdr:from>
      <xdr:col>11</xdr:col>
      <xdr:colOff>28613</xdr:colOff>
      <xdr:row>14</xdr:row>
      <xdr:rowOff>245533</xdr:rowOff>
    </xdr:from>
    <xdr:to>
      <xdr:col>17</xdr:col>
      <xdr:colOff>714943</xdr:colOff>
      <xdr:row>15</xdr:row>
      <xdr:rowOff>251290</xdr:rowOff>
    </xdr:to>
    <xdr:grpSp>
      <xdr:nvGrpSpPr>
        <xdr:cNvPr id="18" name="Group 17">
          <a:extLst>
            <a:ext uri="{FF2B5EF4-FFF2-40B4-BE49-F238E27FC236}">
              <a16:creationId xmlns:a16="http://schemas.microsoft.com/office/drawing/2014/main" id="{00000000-0008-0000-0000-000012000000}"/>
            </a:ext>
          </a:extLst>
        </xdr:cNvPr>
        <xdr:cNvGrpSpPr/>
      </xdr:nvGrpSpPr>
      <xdr:grpSpPr>
        <a:xfrm>
          <a:off x="10975826477" y="3125893"/>
          <a:ext cx="6233690" cy="325797"/>
          <a:chOff x="9978953440" y="2420362"/>
          <a:chExt cx="2894729" cy="270832"/>
        </a:xfrm>
      </xdr:grpSpPr>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tretch>
            <a:fillRect/>
          </a:stretch>
        </xdr:blipFill>
        <xdr:spPr>
          <a:xfrm>
            <a:off x="9981632722" y="2431550"/>
            <a:ext cx="215447" cy="259644"/>
          </a:xfrm>
          <a:prstGeom prst="rect">
            <a:avLst/>
          </a:prstGeom>
        </xdr:spPr>
      </xdr:pic>
      <xdr:grpSp>
        <xdr:nvGrpSpPr>
          <xdr:cNvPr id="17" name="Group 16">
            <a:extLst>
              <a:ext uri="{FF2B5EF4-FFF2-40B4-BE49-F238E27FC236}">
                <a16:creationId xmlns:a16="http://schemas.microsoft.com/office/drawing/2014/main" id="{00000000-0008-0000-0000-000011000000}"/>
              </a:ext>
            </a:extLst>
          </xdr:cNvPr>
          <xdr:cNvGrpSpPr/>
        </xdr:nvGrpSpPr>
        <xdr:grpSpPr>
          <a:xfrm>
            <a:off x="9978953440" y="2420362"/>
            <a:ext cx="2682517" cy="257876"/>
            <a:chOff x="9978953440" y="2420362"/>
            <a:chExt cx="2682517" cy="257876"/>
          </a:xfrm>
        </xdr:grpSpPr>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9980044467" y="2426778"/>
              <a:ext cx="1591490"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200" b="0" i="0" u="none" strike="noStrike" baseline="0">
                  <a:solidFill>
                    <a:sysClr val="windowText" lastClr="000000"/>
                  </a:solidFill>
                  <a:latin typeface="Calibri"/>
                  <a:cs typeface="B Titr" panose="00000700000000000000" pitchFamily="2" charset="-78"/>
                </a:rPr>
                <a:t>جزئیات سفارشات شرکت </a:t>
              </a:r>
              <a:endParaRPr lang="en-US" sz="1200" b="0" i="0" u="none" strike="noStrike">
                <a:solidFill>
                  <a:sysClr val="windowText" lastClr="000000"/>
                </a:solidFill>
                <a:latin typeface="Calibri"/>
                <a:cs typeface="B Titr" panose="00000700000000000000" pitchFamily="2" charset="-78"/>
              </a:endParaRPr>
            </a:p>
          </xdr:txBody>
        </xdr:sp>
        <xdr:sp macro="" textlink="calc!AA3">
          <xdr:nvSpPr>
            <xdr:cNvPr id="39" name="TextBox 38">
              <a:extLst>
                <a:ext uri="{FF2B5EF4-FFF2-40B4-BE49-F238E27FC236}">
                  <a16:creationId xmlns:a16="http://schemas.microsoft.com/office/drawing/2014/main" id="{00000000-0008-0000-0000-000027000000}"/>
                </a:ext>
              </a:extLst>
            </xdr:cNvPr>
            <xdr:cNvSpPr txBox="1"/>
          </xdr:nvSpPr>
          <xdr:spPr>
            <a:xfrm>
              <a:off x="9978953440" y="2420362"/>
              <a:ext cx="1994416" cy="2514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fld id="{7D6DDFFD-CE04-492C-9391-481D27C2A82C}" type="TxLink">
                <a:rPr lang="fa-IR" sz="1300" b="1" i="0" u="none" strike="noStrike">
                  <a:solidFill>
                    <a:schemeClr val="accent4"/>
                  </a:solidFill>
                  <a:latin typeface="Calibri"/>
                  <a:cs typeface="B Titr" panose="00000700000000000000" pitchFamily="2" charset="-78"/>
                </a:rPr>
                <a:pPr algn="r" rtl="1"/>
                <a:t>خوش نوش همدان</a:t>
              </a:fld>
              <a:endParaRPr lang="en-US" sz="1300" b="1" i="0" u="none" strike="noStrike">
                <a:solidFill>
                  <a:schemeClr val="accent4"/>
                </a:solidFill>
                <a:latin typeface="Calibri"/>
                <a:cs typeface="B Titr" panose="00000700000000000000" pitchFamily="2" charset="-78"/>
              </a:endParaRPr>
            </a:p>
          </xdr:txBody>
        </xdr:sp>
      </xdr:grpSp>
    </xdr:grpSp>
    <xdr:clientData/>
  </xdr:twoCellAnchor>
  <xdr:twoCellAnchor>
    <xdr:from>
      <xdr:col>21</xdr:col>
      <xdr:colOff>583353</xdr:colOff>
      <xdr:row>14</xdr:row>
      <xdr:rowOff>169335</xdr:rowOff>
    </xdr:from>
    <xdr:to>
      <xdr:col>23</xdr:col>
      <xdr:colOff>25401</xdr:colOff>
      <xdr:row>16</xdr:row>
      <xdr:rowOff>72812</xdr:rowOff>
    </xdr:to>
    <xdr:graphicFrame macro="">
      <xdr:nvGraphicFramePr>
        <xdr:cNvPr id="46" name="Chart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614615</xdr:colOff>
      <xdr:row>14</xdr:row>
      <xdr:rowOff>48034</xdr:rowOff>
    </xdr:from>
    <xdr:to>
      <xdr:col>23</xdr:col>
      <xdr:colOff>96118</xdr:colOff>
      <xdr:row>14</xdr:row>
      <xdr:rowOff>258010</xdr:rowOff>
    </xdr:to>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9973786050" y="3063950"/>
          <a:ext cx="1081703" cy="209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900" b="1" i="0" u="none" strike="noStrike">
              <a:solidFill>
                <a:srgbClr val="FFFFFF"/>
              </a:solidFill>
              <a:latin typeface="Calibri"/>
              <a:cs typeface="B Nazanin" panose="00000400000000000000" pitchFamily="2" charset="-78"/>
            </a:rPr>
            <a:t>% حمل شده سفارشات</a:t>
          </a:r>
          <a:endParaRPr lang="en-US" sz="900" b="1" i="0" u="none" strike="noStrike">
            <a:solidFill>
              <a:srgbClr val="FFFFFF"/>
            </a:solidFill>
            <a:latin typeface="Calibri"/>
            <a:cs typeface="B Nazanin" panose="00000400000000000000" pitchFamily="2" charset="-78"/>
          </a:endParaRPr>
        </a:p>
      </xdr:txBody>
    </xdr:sp>
    <xdr:clientData/>
  </xdr:twoCellAnchor>
  <xdr:twoCellAnchor>
    <xdr:from>
      <xdr:col>20</xdr:col>
      <xdr:colOff>504825</xdr:colOff>
      <xdr:row>14</xdr:row>
      <xdr:rowOff>76681</xdr:rowOff>
    </xdr:from>
    <xdr:to>
      <xdr:col>22</xdr:col>
      <xdr:colOff>186188</xdr:colOff>
      <xdr:row>14</xdr:row>
      <xdr:rowOff>276224</xdr:rowOff>
    </xdr:to>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9974555737" y="3038956"/>
          <a:ext cx="1262513" cy="1995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900" b="1" i="0" u="none" strike="noStrike">
              <a:solidFill>
                <a:srgbClr val="FFFFFF"/>
              </a:solidFill>
              <a:latin typeface="Calibri"/>
              <a:cs typeface="B Nazanin" panose="00000400000000000000" pitchFamily="2" charset="-78"/>
            </a:rPr>
            <a:t>مانده</a:t>
          </a:r>
          <a:r>
            <a:rPr lang="fa-IR" sz="900" b="1" i="0" u="none" strike="noStrike" baseline="0">
              <a:solidFill>
                <a:srgbClr val="FFFFFF"/>
              </a:solidFill>
              <a:latin typeface="Calibri"/>
              <a:cs typeface="B Nazanin" panose="00000400000000000000" pitchFamily="2" charset="-78"/>
            </a:rPr>
            <a:t> سفارش (کیلوگرم)</a:t>
          </a:r>
          <a:endParaRPr lang="en-US" sz="900" b="1" i="0" u="none" strike="noStrike">
            <a:solidFill>
              <a:srgbClr val="FFFFFF"/>
            </a:solidFill>
            <a:latin typeface="Calibri"/>
            <a:cs typeface="B Nazanin" panose="00000400000000000000" pitchFamily="2" charset="-78"/>
          </a:endParaRPr>
        </a:p>
      </xdr:txBody>
    </xdr:sp>
    <xdr:clientData/>
  </xdr:twoCellAnchor>
  <xdr:twoCellAnchor>
    <xdr:from>
      <xdr:col>20</xdr:col>
      <xdr:colOff>590508</xdr:colOff>
      <xdr:row>14</xdr:row>
      <xdr:rowOff>100644</xdr:rowOff>
    </xdr:from>
    <xdr:to>
      <xdr:col>22</xdr:col>
      <xdr:colOff>18313</xdr:colOff>
      <xdr:row>16</xdr:row>
      <xdr:rowOff>95564</xdr:rowOff>
    </xdr:to>
    <xdr:sp macro="" textlink="calc!CO5">
      <xdr:nvSpPr>
        <xdr:cNvPr id="49" name="TextBox 48">
          <a:extLst>
            <a:ext uri="{FF2B5EF4-FFF2-40B4-BE49-F238E27FC236}">
              <a16:creationId xmlns:a16="http://schemas.microsoft.com/office/drawing/2014/main" id="{00000000-0008-0000-0000-000031000000}"/>
            </a:ext>
          </a:extLst>
        </xdr:cNvPr>
        <xdr:cNvSpPr txBox="1"/>
      </xdr:nvSpPr>
      <xdr:spPr>
        <a:xfrm>
          <a:off x="9974723612" y="3062919"/>
          <a:ext cx="1008955" cy="614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r" rtl="1"/>
          <a:fld id="{F78BFF50-AA61-46B9-B039-BB3FFD1851F1}" type="TxLink">
            <a:rPr lang="en-US" sz="1400" b="1" i="0" u="none" strike="noStrike">
              <a:ln>
                <a:noFill/>
              </a:ln>
              <a:solidFill>
                <a:schemeClr val="accent2"/>
              </a:solidFill>
              <a:latin typeface="Calibri"/>
              <a:ea typeface="Calibri"/>
              <a:cs typeface="B Nazanin" panose="00000400000000000000" pitchFamily="2" charset="-78"/>
            </a:rPr>
            <a:pPr marL="0" indent="0" algn="r" rtl="1"/>
            <a:t>304,410</a:t>
          </a:fld>
          <a:endParaRPr lang="en-US" sz="1400" b="1" i="0" u="none" strike="noStrike">
            <a:ln>
              <a:noFill/>
            </a:ln>
            <a:solidFill>
              <a:schemeClr val="accent2"/>
            </a:solidFill>
            <a:latin typeface="Calibri"/>
            <a:ea typeface="Calibri"/>
            <a:cs typeface="B Nazanin" panose="00000400000000000000" pitchFamily="2" charset="-78"/>
          </a:endParaRPr>
        </a:p>
      </xdr:txBody>
    </xdr:sp>
    <xdr:clientData/>
  </xdr:twoCellAnchor>
  <xdr:twoCellAnchor>
    <xdr:from>
      <xdr:col>3</xdr:col>
      <xdr:colOff>788774</xdr:colOff>
      <xdr:row>1</xdr:row>
      <xdr:rowOff>169340</xdr:rowOff>
    </xdr:from>
    <xdr:to>
      <xdr:col>11</xdr:col>
      <xdr:colOff>102623</xdr:colOff>
      <xdr:row>13</xdr:row>
      <xdr:rowOff>237068</xdr:rowOff>
    </xdr:to>
    <xdr:grpSp>
      <xdr:nvGrpSpPr>
        <xdr:cNvPr id="83" name="Group 82">
          <a:extLst>
            <a:ext uri="{FF2B5EF4-FFF2-40B4-BE49-F238E27FC236}">
              <a16:creationId xmlns:a16="http://schemas.microsoft.com/office/drawing/2014/main" id="{00000000-0008-0000-0000-000053000000}"/>
            </a:ext>
          </a:extLst>
        </xdr:cNvPr>
        <xdr:cNvGrpSpPr/>
      </xdr:nvGrpSpPr>
      <xdr:grpSpPr>
        <a:xfrm>
          <a:off x="10981986157" y="397940"/>
          <a:ext cx="5143149" cy="2399448"/>
          <a:chOff x="9981063232" y="341373"/>
          <a:chExt cx="4347301" cy="2312125"/>
        </a:xfrm>
        <a:solidFill>
          <a:schemeClr val="accent1">
            <a:lumMod val="60000"/>
            <a:lumOff val="40000"/>
          </a:schemeClr>
        </a:solidFill>
      </xdr:grpSpPr>
      <xdr:grpSp>
        <xdr:nvGrpSpPr>
          <xdr:cNvPr id="63" name="Group 62">
            <a:extLst>
              <a:ext uri="{FF2B5EF4-FFF2-40B4-BE49-F238E27FC236}">
                <a16:creationId xmlns:a16="http://schemas.microsoft.com/office/drawing/2014/main" id="{00000000-0008-0000-0000-00003F000000}"/>
              </a:ext>
            </a:extLst>
          </xdr:cNvPr>
          <xdr:cNvGrpSpPr/>
        </xdr:nvGrpSpPr>
        <xdr:grpSpPr>
          <a:xfrm>
            <a:off x="9981063232" y="341373"/>
            <a:ext cx="4347301" cy="2312125"/>
            <a:chOff x="9980933692" y="348993"/>
            <a:chExt cx="4347301" cy="2312125"/>
          </a:xfrm>
          <a:grpFill/>
        </xdr:grpSpPr>
        <xdr:sp macro="" textlink="">
          <xdr:nvSpPr>
            <xdr:cNvPr id="77" name="Rectangle: Rounded Corners 76">
              <a:extLst>
                <a:ext uri="{FF2B5EF4-FFF2-40B4-BE49-F238E27FC236}">
                  <a16:creationId xmlns:a16="http://schemas.microsoft.com/office/drawing/2014/main" id="{00000000-0008-0000-0000-00004D000000}"/>
                </a:ext>
              </a:extLst>
            </xdr:cNvPr>
            <xdr:cNvSpPr/>
          </xdr:nvSpPr>
          <xdr:spPr>
            <a:xfrm>
              <a:off x="9981248068" y="365761"/>
              <a:ext cx="3900985" cy="2295357"/>
            </a:xfrm>
            <a:prstGeom prst="roundRect">
              <a:avLst>
                <a:gd name="adj" fmla="val 2917"/>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rgbClr val="FFFFFF"/>
                </a:solidFill>
              </a:endParaRPr>
            </a:p>
          </xdr:txBody>
        </xdr:sp>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9983556746" y="824579"/>
              <a:ext cx="1405461" cy="251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600" b="0" i="0" u="none" strike="noStrike">
                  <a:solidFill>
                    <a:srgbClr val="FFFFFF"/>
                  </a:solidFill>
                  <a:latin typeface="SamanBank" panose="00000500000000000000" pitchFamily="2" charset="-78"/>
                  <a:cs typeface="B Nazanin" panose="00000400000000000000" pitchFamily="2" charset="-78"/>
                </a:rPr>
                <a:t>میزان</a:t>
              </a:r>
              <a:r>
                <a:rPr lang="fa-IR" sz="1600" b="0" i="0" u="none" strike="noStrike" baseline="0">
                  <a:solidFill>
                    <a:srgbClr val="FFFFFF"/>
                  </a:solidFill>
                  <a:latin typeface="SamanBank" panose="00000500000000000000" pitchFamily="2" charset="-78"/>
                  <a:cs typeface="B Nazanin" panose="00000400000000000000" pitchFamily="2" charset="-78"/>
                </a:rPr>
                <a:t> کل سفارشات</a:t>
              </a:r>
              <a:endParaRPr lang="fa-IR" sz="1600" b="0" i="0" u="none" strike="noStrike">
                <a:solidFill>
                  <a:srgbClr val="FFFFFF"/>
                </a:solidFill>
                <a:latin typeface="SamanBank" panose="00000500000000000000" pitchFamily="2" charset="-78"/>
                <a:cs typeface="B Nazanin" panose="00000400000000000000" pitchFamily="2" charset="-78"/>
              </a:endParaRPr>
            </a:p>
          </xdr:txBody>
        </xdr:sp>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9981997878" y="1684636"/>
              <a:ext cx="1043940" cy="213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050" b="0" i="0" u="none" strike="noStrike">
                  <a:solidFill>
                    <a:srgbClr val="FFFFFF"/>
                  </a:solidFill>
                  <a:latin typeface="SamanBank" panose="00000500000000000000" pitchFamily="2" charset="-78"/>
                  <a:cs typeface="SamanBank" panose="00000500000000000000" pitchFamily="2" charset="-78"/>
                </a:rPr>
                <a:t>میزان</a:t>
              </a:r>
              <a:r>
                <a:rPr lang="fa-IR" sz="1050" b="0" i="0" u="none" strike="noStrike" baseline="0">
                  <a:solidFill>
                    <a:srgbClr val="FFFFFF"/>
                  </a:solidFill>
                  <a:latin typeface="SamanBank" panose="00000500000000000000" pitchFamily="2" charset="-78"/>
                  <a:cs typeface="SamanBank" panose="00000500000000000000" pitchFamily="2" charset="-78"/>
                </a:rPr>
                <a:t> کل تحویل شده</a:t>
              </a:r>
              <a:endParaRPr lang="fa-IR" sz="1050" b="0" i="0" u="none" strike="noStrike">
                <a:solidFill>
                  <a:srgbClr val="FFFFFF"/>
                </a:solidFill>
                <a:latin typeface="SamanBank" panose="00000500000000000000" pitchFamily="2" charset="-78"/>
                <a:cs typeface="SamanBank" panose="00000500000000000000" pitchFamily="2" charset="-78"/>
              </a:endParaRPr>
            </a:p>
          </xdr:txBody>
        </xdr:sp>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9983418915" y="1592809"/>
              <a:ext cx="1641566" cy="3143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600" b="0" i="0" u="none" strike="noStrike">
                  <a:solidFill>
                    <a:srgbClr val="FFFFFF"/>
                  </a:solidFill>
                  <a:latin typeface="SamanBank" panose="00000500000000000000" pitchFamily="2" charset="-78"/>
                  <a:cs typeface="B Nazanin" panose="00000400000000000000" pitchFamily="2" charset="-78"/>
                </a:rPr>
                <a:t>میزان</a:t>
              </a:r>
              <a:r>
                <a:rPr lang="fa-IR" sz="1600" b="0" i="0" u="none" strike="noStrike" baseline="0">
                  <a:solidFill>
                    <a:srgbClr val="FFFFFF"/>
                  </a:solidFill>
                  <a:latin typeface="SamanBank" panose="00000500000000000000" pitchFamily="2" charset="-78"/>
                  <a:cs typeface="B Nazanin" panose="00000400000000000000" pitchFamily="2" charset="-78"/>
                </a:rPr>
                <a:t> کل حمل نشده </a:t>
              </a:r>
              <a:endParaRPr lang="fa-IR" sz="1600" b="0" i="0" u="none" strike="noStrike">
                <a:solidFill>
                  <a:srgbClr val="FFFFFF"/>
                </a:solidFill>
                <a:latin typeface="SamanBank" panose="00000500000000000000" pitchFamily="2" charset="-78"/>
                <a:cs typeface="B Nazanin" panose="00000400000000000000" pitchFamily="2" charset="-78"/>
              </a:endParaRPr>
            </a:p>
          </xdr:txBody>
        </xdr:sp>
        <xdr:graphicFrame macro="">
          <xdr:nvGraphicFramePr>
            <xdr:cNvPr id="69" name="Chart 68">
              <a:extLst>
                <a:ext uri="{FF2B5EF4-FFF2-40B4-BE49-F238E27FC236}">
                  <a16:creationId xmlns:a16="http://schemas.microsoft.com/office/drawing/2014/main" id="{00000000-0008-0000-0000-000045000000}"/>
                </a:ext>
              </a:extLst>
            </xdr:cNvPr>
            <xdr:cNvGraphicFramePr>
              <a:graphicFrameLocks/>
            </xdr:cNvGraphicFramePr>
          </xdr:nvGraphicFramePr>
          <xdr:xfrm>
            <a:off x="9980933692" y="348993"/>
            <a:ext cx="3182100" cy="2125090"/>
          </xdr:xfrm>
          <a:graphic>
            <a:graphicData uri="http://schemas.openxmlformats.org/drawingml/2006/chart">
              <c:chart xmlns:c="http://schemas.openxmlformats.org/drawingml/2006/chart" xmlns:r="http://schemas.openxmlformats.org/officeDocument/2006/relationships" r:id="rId4"/>
            </a:graphicData>
          </a:graphic>
        </xdr:graphicFrame>
        <xdr:sp macro="" textlink="calc!P13">
          <xdr:nvSpPr>
            <xdr:cNvPr id="73" name="TextBox 72">
              <a:extLst>
                <a:ext uri="{FF2B5EF4-FFF2-40B4-BE49-F238E27FC236}">
                  <a16:creationId xmlns:a16="http://schemas.microsoft.com/office/drawing/2014/main" id="{00000000-0008-0000-0000-000049000000}"/>
                </a:ext>
              </a:extLst>
            </xdr:cNvPr>
            <xdr:cNvSpPr txBox="1"/>
          </xdr:nvSpPr>
          <xdr:spPr>
            <a:xfrm>
              <a:off x="9983673603" y="1134680"/>
              <a:ext cx="1348740" cy="289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47D42976-9546-48F1-9BF5-75317F170493}" type="TxLink">
                <a:rPr lang="en-US" sz="2600" b="1" i="0" u="none" strike="noStrike">
                  <a:solidFill>
                    <a:schemeClr val="accent2"/>
                  </a:solidFill>
                  <a:latin typeface="Calibri"/>
                  <a:ea typeface="+mn-ea"/>
                  <a:cs typeface="B Nazanin"/>
                </a:rPr>
                <a:pPr marL="0" indent="0" algn="ctr" rtl="1"/>
                <a:t>25.55</a:t>
              </a:fld>
              <a:endParaRPr lang="en-US" sz="2600" b="1" i="0" u="none" strike="noStrike">
                <a:solidFill>
                  <a:schemeClr val="accent2"/>
                </a:solidFill>
                <a:latin typeface="Calibri"/>
                <a:ea typeface="+mn-ea"/>
                <a:cs typeface="B Nazanin"/>
              </a:endParaRPr>
            </a:p>
          </xdr:txBody>
        </xdr:sp>
        <xdr:sp macro="" textlink="calc!O13">
          <xdr:nvSpPr>
            <xdr:cNvPr id="74" name="TextBox 73">
              <a:extLst>
                <a:ext uri="{FF2B5EF4-FFF2-40B4-BE49-F238E27FC236}">
                  <a16:creationId xmlns:a16="http://schemas.microsoft.com/office/drawing/2014/main" id="{00000000-0008-0000-0000-00004A000000}"/>
                </a:ext>
              </a:extLst>
            </xdr:cNvPr>
            <xdr:cNvSpPr txBox="1"/>
          </xdr:nvSpPr>
          <xdr:spPr>
            <a:xfrm>
              <a:off x="9981888695" y="1478075"/>
              <a:ext cx="1234440" cy="289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fld id="{15225412-F848-4AD6-B01B-D874CDD505B5}" type="TxLink">
                <a:rPr lang="en-US" sz="2400" b="1" i="0" u="none" strike="noStrike">
                  <a:solidFill>
                    <a:srgbClr val="FFFFFF"/>
                  </a:solidFill>
                  <a:latin typeface="Calibri"/>
                  <a:cs typeface="Koodak" panose="00000700000000000000" pitchFamily="2" charset="-78"/>
                </a:rPr>
                <a:pPr algn="ctr" rtl="1"/>
                <a:t>10.36</a:t>
              </a:fld>
              <a:endParaRPr lang="en-US" sz="23900" b="1" i="0" u="none" strike="noStrike">
                <a:solidFill>
                  <a:srgbClr val="FFFFFF"/>
                </a:solidFill>
                <a:latin typeface="Calibri"/>
                <a:cs typeface="Koodak" panose="00000700000000000000" pitchFamily="2" charset="-78"/>
              </a:endParaRPr>
            </a:p>
          </xdr:txBody>
        </xdr:sp>
        <xdr:sp macro="" textlink="calc!O9">
          <xdr:nvSpPr>
            <xdr:cNvPr id="81" name="TextBox 80">
              <a:extLst>
                <a:ext uri="{FF2B5EF4-FFF2-40B4-BE49-F238E27FC236}">
                  <a16:creationId xmlns:a16="http://schemas.microsoft.com/office/drawing/2014/main" id="{00000000-0008-0000-0000-000051000000}"/>
                </a:ext>
              </a:extLst>
            </xdr:cNvPr>
            <xdr:cNvSpPr txBox="1"/>
          </xdr:nvSpPr>
          <xdr:spPr>
            <a:xfrm>
              <a:off x="9983495778" y="1928374"/>
              <a:ext cx="1785215" cy="385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AF125224-B307-4644-90A9-E44238B84D34}" type="TxLink">
                <a:rPr lang="en-US" sz="2600" b="1" i="0" u="none" strike="noStrike">
                  <a:solidFill>
                    <a:schemeClr val="accent2"/>
                  </a:solidFill>
                  <a:latin typeface="Calibri"/>
                  <a:ea typeface="+mn-ea"/>
                  <a:cs typeface="B Nazanin"/>
                </a:rPr>
                <a:pPr marL="0" indent="0" algn="ctr" rtl="1"/>
                <a:t>15.18</a:t>
              </a:fld>
              <a:endParaRPr lang="en-US" sz="2600" b="1" i="0" u="none" strike="noStrike">
                <a:solidFill>
                  <a:schemeClr val="accent2"/>
                </a:solidFill>
                <a:latin typeface="Calibri"/>
                <a:ea typeface="+mn-ea"/>
                <a:cs typeface="B Nazanin"/>
              </a:endParaRPr>
            </a:p>
          </xdr:txBody>
        </xdr:sp>
      </xdr:grpSp>
      <xdr:sp macro="" textlink="calc!$U$8">
        <xdr:nvSpPr>
          <xdr:cNvPr id="82" name="TextBox 81">
            <a:extLst>
              <a:ext uri="{FF2B5EF4-FFF2-40B4-BE49-F238E27FC236}">
                <a16:creationId xmlns:a16="http://schemas.microsoft.com/office/drawing/2014/main" id="{00000000-0008-0000-0000-000052000000}"/>
              </a:ext>
            </a:extLst>
          </xdr:cNvPr>
          <xdr:cNvSpPr txBox="1"/>
        </xdr:nvSpPr>
        <xdr:spPr>
          <a:xfrm>
            <a:off x="9982040438" y="1165792"/>
            <a:ext cx="1234440" cy="289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fld id="{95C1AB44-7FE0-422C-847A-067399A7FE4C}" type="TxLink">
              <a:rPr lang="en-US" sz="3600" b="0" i="0" u="none" strike="noStrike">
                <a:solidFill>
                  <a:srgbClr val="FFFFFF"/>
                </a:solidFill>
                <a:latin typeface="Digital-7" panose="02000000000000000000" pitchFamily="2" charset="0"/>
                <a:cs typeface="Koodak" panose="00000700000000000000" pitchFamily="2" charset="-78"/>
              </a:rPr>
              <a:pPr algn="ctr" rtl="1"/>
              <a:t>40.6%</a:t>
            </a:fld>
            <a:endParaRPr lang="en-US" sz="6000" b="1" i="0" u="none" strike="noStrike">
              <a:solidFill>
                <a:srgbClr val="FFFFFF"/>
              </a:solidFill>
              <a:latin typeface="Digital-7" panose="02000000000000000000" pitchFamily="2" charset="0"/>
              <a:cs typeface="Koodak" panose="00000700000000000000" pitchFamily="2" charset="-78"/>
            </a:endParaRPr>
          </a:p>
        </xdr:txBody>
      </xdr:sp>
    </xdr:grpSp>
    <xdr:clientData/>
  </xdr:twoCellAnchor>
  <xdr:twoCellAnchor>
    <xdr:from>
      <xdr:col>4</xdr:col>
      <xdr:colOff>482602</xdr:colOff>
      <xdr:row>2</xdr:row>
      <xdr:rowOff>7619</xdr:rowOff>
    </xdr:from>
    <xdr:to>
      <xdr:col>8</xdr:col>
      <xdr:colOff>270933</xdr:colOff>
      <xdr:row>3</xdr:row>
      <xdr:rowOff>67731</xdr:rowOff>
    </xdr:to>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9983622400" y="380152"/>
          <a:ext cx="2556931" cy="246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400" b="0" i="0" u="none" strike="noStrike">
              <a:solidFill>
                <a:srgbClr val="FFFFFF"/>
              </a:solidFill>
              <a:latin typeface="Calibri"/>
              <a:cs typeface="B Titr" panose="00000700000000000000" pitchFamily="2" charset="-78"/>
            </a:rPr>
            <a:t>بررسی</a:t>
          </a:r>
          <a:r>
            <a:rPr lang="fa-IR" sz="1400" b="0" i="0" u="none" strike="noStrike" baseline="0">
              <a:solidFill>
                <a:srgbClr val="FFFFFF"/>
              </a:solidFill>
              <a:latin typeface="Calibri"/>
              <a:cs typeface="B Titr" panose="00000700000000000000" pitchFamily="2" charset="-78"/>
            </a:rPr>
            <a:t> کلی سفارشات</a:t>
          </a:r>
          <a:r>
            <a:rPr lang="fa-IR" sz="1100" b="0" i="0" u="none" strike="noStrike" baseline="0">
              <a:solidFill>
                <a:srgbClr val="FFFFFF"/>
              </a:solidFill>
              <a:latin typeface="Calibri"/>
              <a:cs typeface="B Titr" panose="00000700000000000000" pitchFamily="2" charset="-78"/>
            </a:rPr>
            <a:t>( هزار تن)</a:t>
          </a:r>
          <a:endParaRPr lang="fa-IR" sz="1400" b="0" i="0" u="none" strike="noStrike" baseline="0">
            <a:solidFill>
              <a:srgbClr val="FFFFFF"/>
            </a:solidFill>
            <a:latin typeface="Calibri"/>
            <a:cs typeface="B Titr" panose="00000700000000000000" pitchFamily="2" charset="-78"/>
          </a:endParaRPr>
        </a:p>
      </xdr:txBody>
    </xdr:sp>
    <xdr:clientData/>
  </xdr:twoCellAnchor>
  <xdr:twoCellAnchor>
    <xdr:from>
      <xdr:col>4</xdr:col>
      <xdr:colOff>211671</xdr:colOff>
      <xdr:row>2</xdr:row>
      <xdr:rowOff>31140</xdr:rowOff>
    </xdr:from>
    <xdr:to>
      <xdr:col>4</xdr:col>
      <xdr:colOff>504209</xdr:colOff>
      <xdr:row>3</xdr:row>
      <xdr:rowOff>148167</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5" cstate="print">
          <a:extLst>
            <a:ext uri="{BEBA8EAE-BF5A-486C-A8C5-ECC9F3942E4B}">
              <a14:imgProps xmlns:a14="http://schemas.microsoft.com/office/drawing/2010/main">
                <a14:imgLayer r:embed="rId6">
                  <a14:imgEffect>
                    <a14:brightnessContrast bright="20000" contrast="-40000"/>
                  </a14:imgEffect>
                </a14:imgLayer>
              </a14:imgProps>
            </a:ext>
            <a:ext uri="{28A0092B-C50C-407E-A947-70E740481C1C}">
              <a14:useLocalDpi xmlns:a14="http://schemas.microsoft.com/office/drawing/2010/main" val="0"/>
            </a:ext>
          </a:extLst>
        </a:blip>
        <a:stretch>
          <a:fillRect/>
        </a:stretch>
      </xdr:blipFill>
      <xdr:spPr>
        <a:xfrm>
          <a:off x="9985869857" y="446007"/>
          <a:ext cx="292538" cy="303293"/>
        </a:xfrm>
        <a:prstGeom prst="rect">
          <a:avLst/>
        </a:prstGeom>
      </xdr:spPr>
    </xdr:pic>
    <xdr:clientData/>
  </xdr:twoCellAnchor>
  <xdr:twoCellAnchor>
    <xdr:from>
      <xdr:col>19</xdr:col>
      <xdr:colOff>158476</xdr:colOff>
      <xdr:row>14</xdr:row>
      <xdr:rowOff>209550</xdr:rowOff>
    </xdr:from>
    <xdr:to>
      <xdr:col>20</xdr:col>
      <xdr:colOff>298296</xdr:colOff>
      <xdr:row>15</xdr:row>
      <xdr:rowOff>260351</xdr:rowOff>
    </xdr:to>
    <xdr:sp macro="" textlink="$AA$24">
      <xdr:nvSpPr>
        <xdr:cNvPr id="79" name="TextBox 78">
          <a:extLst>
            <a:ext uri="{FF2B5EF4-FFF2-40B4-BE49-F238E27FC236}">
              <a16:creationId xmlns:a16="http://schemas.microsoft.com/office/drawing/2014/main" id="{00000000-0008-0000-0000-00004F000000}"/>
            </a:ext>
            <a:ext uri="{C183D7F6-B498-43B3-948B-1728B52AA6E4}">
              <adec:decorative xmlns:adec="http://schemas.microsoft.com/office/drawing/2017/decorative" val="0"/>
            </a:ext>
          </a:extLst>
        </xdr:cNvPr>
        <xdr:cNvSpPr txBox="1"/>
      </xdr:nvSpPr>
      <xdr:spPr>
        <a:xfrm>
          <a:off x="10911570279" y="3057525"/>
          <a:ext cx="968495" cy="374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r" rtl="1"/>
          <a:fld id="{C437FC5F-706A-42A0-BB11-CD4E18BFA05F}" type="TxLink">
            <a:rPr lang="en-US" sz="1400" b="1" i="0" u="none" strike="noStrike">
              <a:ln>
                <a:noFill/>
              </a:ln>
              <a:solidFill>
                <a:schemeClr val="accent2"/>
              </a:solidFill>
              <a:latin typeface="Calibri"/>
              <a:ea typeface="Calibri"/>
              <a:cs typeface="B Nazanin" panose="00000400000000000000" pitchFamily="2" charset="-78"/>
            </a:rPr>
            <a:pPr marL="0" indent="0" algn="r" rtl="1"/>
            <a:t> </a:t>
          </a:fld>
          <a:endParaRPr lang="en-US" sz="1500" b="1" i="0" u="none" strike="noStrike">
            <a:ln>
              <a:noFill/>
            </a:ln>
            <a:solidFill>
              <a:schemeClr val="accent2"/>
            </a:solidFill>
            <a:latin typeface="Calibri"/>
            <a:ea typeface="+mn-ea"/>
            <a:cs typeface="B Nazanin" panose="00000400000000000000" pitchFamily="2" charset="-78"/>
          </a:endParaRPr>
        </a:p>
      </xdr:txBody>
    </xdr:sp>
    <xdr:clientData/>
  </xdr:twoCellAnchor>
  <xdr:twoCellAnchor>
    <xdr:from>
      <xdr:col>23</xdr:col>
      <xdr:colOff>280246</xdr:colOff>
      <xdr:row>1</xdr:row>
      <xdr:rowOff>149500</xdr:rowOff>
    </xdr:from>
    <xdr:to>
      <xdr:col>28</xdr:col>
      <xdr:colOff>6772</xdr:colOff>
      <xdr:row>13</xdr:row>
      <xdr:rowOff>270929</xdr:rowOff>
    </xdr:to>
    <xdr:grpSp>
      <xdr:nvGrpSpPr>
        <xdr:cNvPr id="28" name="Group 27">
          <a:extLst>
            <a:ext uri="{FF2B5EF4-FFF2-40B4-BE49-F238E27FC236}">
              <a16:creationId xmlns:a16="http://schemas.microsoft.com/office/drawing/2014/main" id="{00000000-0008-0000-0000-00001C000000}"/>
            </a:ext>
          </a:extLst>
        </xdr:cNvPr>
        <xdr:cNvGrpSpPr/>
      </xdr:nvGrpSpPr>
      <xdr:grpSpPr>
        <a:xfrm>
          <a:off x="10968175508" y="378100"/>
          <a:ext cx="2888826" cy="2453149"/>
          <a:chOff x="9970863135" y="381001"/>
          <a:chExt cx="2725419" cy="2607728"/>
        </a:xfrm>
      </xdr:grpSpPr>
      <xdr:sp macro="" textlink="">
        <xdr:nvSpPr>
          <xdr:cNvPr id="19" name="Rectangle: Rounded Corners 18">
            <a:extLst>
              <a:ext uri="{FF2B5EF4-FFF2-40B4-BE49-F238E27FC236}">
                <a16:creationId xmlns:a16="http://schemas.microsoft.com/office/drawing/2014/main" id="{00000000-0008-0000-0000-000013000000}"/>
              </a:ext>
            </a:extLst>
          </xdr:cNvPr>
          <xdr:cNvSpPr/>
        </xdr:nvSpPr>
        <xdr:spPr>
          <a:xfrm>
            <a:off x="9970863135" y="567267"/>
            <a:ext cx="2725419" cy="2421462"/>
          </a:xfrm>
          <a:prstGeom prst="roundRect">
            <a:avLst>
              <a:gd name="adj" fmla="val 2333"/>
            </a:avLst>
          </a:prstGeom>
          <a:noFill/>
          <a:ln w="76200">
            <a:solidFill>
              <a:srgbClr val="292A2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80" name="Rectangle: Rounded Corners 79">
            <a:extLst>
              <a:ext uri="{FF2B5EF4-FFF2-40B4-BE49-F238E27FC236}">
                <a16:creationId xmlns:a16="http://schemas.microsoft.com/office/drawing/2014/main" id="{00000000-0008-0000-0000-000050000000}"/>
              </a:ext>
            </a:extLst>
          </xdr:cNvPr>
          <xdr:cNvSpPr/>
        </xdr:nvSpPr>
        <xdr:spPr>
          <a:xfrm>
            <a:off x="9970981667" y="381001"/>
            <a:ext cx="2463802" cy="304800"/>
          </a:xfrm>
          <a:prstGeom prst="roundRect">
            <a:avLst>
              <a:gd name="adj" fmla="val 30488"/>
            </a:avLst>
          </a:prstGeom>
          <a:solidFill>
            <a:schemeClr val="accent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9971046599" y="397934"/>
            <a:ext cx="2043863" cy="2967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400" b="0" i="0" u="none" strike="noStrike">
                <a:solidFill>
                  <a:srgbClr val="FFFFFF"/>
                </a:solidFill>
                <a:latin typeface="Calibri"/>
                <a:cs typeface="Koodak" panose="00000700000000000000" pitchFamily="2" charset="-78"/>
              </a:rPr>
              <a:t>محاسبه قیمت تعادلی</a:t>
            </a:r>
            <a:r>
              <a:rPr lang="en-US" sz="1400" b="0" i="0" u="none" strike="noStrike">
                <a:solidFill>
                  <a:srgbClr val="FFFFFF"/>
                </a:solidFill>
                <a:latin typeface="Calibri"/>
                <a:cs typeface="Koodak" panose="00000700000000000000" pitchFamily="2" charset="-78"/>
              </a:rPr>
              <a:t> </a:t>
            </a:r>
            <a:r>
              <a:rPr lang="en-US" sz="1400" b="0" i="0" u="none" strike="noStrike" baseline="0">
                <a:solidFill>
                  <a:srgbClr val="FFFFFF"/>
                </a:solidFill>
                <a:latin typeface="Calibri"/>
                <a:cs typeface="Koodak" panose="00000700000000000000" pitchFamily="2" charset="-78"/>
              </a:rPr>
              <a:t> </a:t>
            </a:r>
            <a:r>
              <a:rPr lang="fa-IR" sz="1400" b="0" i="0" u="none" strike="noStrike" baseline="0">
                <a:solidFill>
                  <a:srgbClr val="FFFFFF"/>
                </a:solidFill>
                <a:latin typeface="Calibri"/>
                <a:cs typeface="Koodak" panose="00000700000000000000" pitchFamily="2" charset="-78"/>
              </a:rPr>
              <a:t>بورس</a:t>
            </a:r>
            <a:endParaRPr lang="en-US" sz="1400" b="0" i="0" u="none" strike="noStrike">
              <a:solidFill>
                <a:srgbClr val="FFFFFF"/>
              </a:solidFill>
              <a:latin typeface="Calibri"/>
              <a:cs typeface="Koodak" panose="00000700000000000000" pitchFamily="2" charset="-78"/>
            </a:endParaRPr>
          </a:p>
        </xdr:txBody>
      </xdr:sp>
    </xdr:grpSp>
    <xdr:clientData/>
  </xdr:twoCellAnchor>
  <xdr:twoCellAnchor>
    <xdr:from>
      <xdr:col>23</xdr:col>
      <xdr:colOff>272415</xdr:colOff>
      <xdr:row>18</xdr:row>
      <xdr:rowOff>8465</xdr:rowOff>
    </xdr:from>
    <xdr:to>
      <xdr:col>28</xdr:col>
      <xdr:colOff>15874</xdr:colOff>
      <xdr:row>30</xdr:row>
      <xdr:rowOff>7620</xdr:rowOff>
    </xdr:to>
    <xdr:sp macro="" textlink="">
      <xdr:nvSpPr>
        <xdr:cNvPr id="101" name="Rectangle: Rounded Corners 100">
          <a:extLst>
            <a:ext uri="{FF2B5EF4-FFF2-40B4-BE49-F238E27FC236}">
              <a16:creationId xmlns:a16="http://schemas.microsoft.com/office/drawing/2014/main" id="{00000000-0008-0000-0000-000065000000}"/>
            </a:ext>
          </a:extLst>
        </xdr:cNvPr>
        <xdr:cNvSpPr/>
      </xdr:nvSpPr>
      <xdr:spPr>
        <a:xfrm>
          <a:off x="10968166406" y="3940385"/>
          <a:ext cx="2905759" cy="2376595"/>
        </a:xfrm>
        <a:prstGeom prst="roundRect">
          <a:avLst>
            <a:gd name="adj" fmla="val 2333"/>
          </a:avLst>
        </a:prstGeom>
        <a:noFill/>
        <a:ln w="76200">
          <a:solidFill>
            <a:srgbClr val="292A2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28</xdr:col>
      <xdr:colOff>123270</xdr:colOff>
      <xdr:row>17</xdr:row>
      <xdr:rowOff>42334</xdr:rowOff>
    </xdr:from>
    <xdr:to>
      <xdr:col>28</xdr:col>
      <xdr:colOff>168989</xdr:colOff>
      <xdr:row>17</xdr:row>
      <xdr:rowOff>88053</xdr:rowOff>
    </xdr:to>
    <xdr:grpSp>
      <xdr:nvGrpSpPr>
        <xdr:cNvPr id="22" name="Group 21">
          <a:extLst>
            <a:ext uri="{FF2B5EF4-FFF2-40B4-BE49-F238E27FC236}">
              <a16:creationId xmlns:a16="http://schemas.microsoft.com/office/drawing/2014/main" id="{00000000-0008-0000-0000-000016000000}"/>
            </a:ext>
          </a:extLst>
        </xdr:cNvPr>
        <xdr:cNvGrpSpPr/>
      </xdr:nvGrpSpPr>
      <xdr:grpSpPr>
        <a:xfrm>
          <a:off x="10968013291" y="3776134"/>
          <a:ext cx="45719" cy="45719"/>
          <a:chOff x="9965348429" y="2675467"/>
          <a:chExt cx="2544972" cy="313695"/>
        </a:xfrm>
      </xdr:grpSpPr>
      <xdr:sp macro="" textlink="">
        <xdr:nvSpPr>
          <xdr:cNvPr id="89" name="Rectangle: Rounded Corners 88">
            <a:extLst>
              <a:ext uri="{FF2B5EF4-FFF2-40B4-BE49-F238E27FC236}">
                <a16:creationId xmlns:a16="http://schemas.microsoft.com/office/drawing/2014/main" id="{00000000-0008-0000-0000-000059000000}"/>
              </a:ext>
            </a:extLst>
          </xdr:cNvPr>
          <xdr:cNvSpPr/>
        </xdr:nvSpPr>
        <xdr:spPr>
          <a:xfrm>
            <a:off x="9965414620" y="2675467"/>
            <a:ext cx="2405850" cy="304800"/>
          </a:xfrm>
          <a:prstGeom prst="roundRect">
            <a:avLst>
              <a:gd name="adj" fmla="val 30488"/>
            </a:avLst>
          </a:prstGeom>
          <a:solidFill>
            <a:schemeClr val="accent4"/>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rgbClr val="FFFFFF"/>
              </a:solidFill>
            </a:endParaRPr>
          </a:p>
        </xdr:txBody>
      </xdr:sp>
      <xdr:sp macro="" textlink="">
        <xdr:nvSpPr>
          <xdr:cNvPr id="100" name="TextBox 99">
            <a:extLst>
              <a:ext uri="{FF2B5EF4-FFF2-40B4-BE49-F238E27FC236}">
                <a16:creationId xmlns:a16="http://schemas.microsoft.com/office/drawing/2014/main" id="{00000000-0008-0000-0000-000064000000}"/>
              </a:ext>
            </a:extLst>
          </xdr:cNvPr>
          <xdr:cNvSpPr txBox="1"/>
        </xdr:nvSpPr>
        <xdr:spPr>
          <a:xfrm>
            <a:off x="9965348429" y="2692400"/>
            <a:ext cx="2544972"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endParaRPr lang="en-US" sz="1100" b="1" i="0" u="none" strike="noStrike">
              <a:solidFill>
                <a:srgbClr val="FFFFFF"/>
              </a:solidFill>
              <a:latin typeface="Calibri"/>
              <a:cs typeface="B Koodak" panose="00000700000000000000" pitchFamily="2" charset="-78"/>
            </a:endParaRPr>
          </a:p>
        </xdr:txBody>
      </xdr:sp>
    </xdr:grpSp>
    <xdr:clientData/>
  </xdr:twoCellAnchor>
  <xdr:twoCellAnchor>
    <xdr:from>
      <xdr:col>1</xdr:col>
      <xdr:colOff>1</xdr:colOff>
      <xdr:row>2</xdr:row>
      <xdr:rowOff>2</xdr:rowOff>
    </xdr:from>
    <xdr:to>
      <xdr:col>4</xdr:col>
      <xdr:colOff>160869</xdr:colOff>
      <xdr:row>13</xdr:row>
      <xdr:rowOff>220133</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10986911391" y="403862"/>
          <a:ext cx="2469728" cy="2376591"/>
          <a:chOff x="9986551868" y="381359"/>
          <a:chExt cx="2235202" cy="2613995"/>
        </a:xfrm>
      </xdr:grpSpPr>
      <xdr:sp macro="" textlink="">
        <xdr:nvSpPr>
          <xdr:cNvPr id="2" name="Rectangle: Rounded Corners 1">
            <a:extLst>
              <a:ext uri="{FF2B5EF4-FFF2-40B4-BE49-F238E27FC236}">
                <a16:creationId xmlns:a16="http://schemas.microsoft.com/office/drawing/2014/main" id="{00000000-0008-0000-0000-000002000000}"/>
              </a:ext>
            </a:extLst>
          </xdr:cNvPr>
          <xdr:cNvSpPr/>
        </xdr:nvSpPr>
        <xdr:spPr>
          <a:xfrm>
            <a:off x="9986653467" y="381359"/>
            <a:ext cx="2133603" cy="2613995"/>
          </a:xfrm>
          <a:prstGeom prst="roundRect">
            <a:avLst>
              <a:gd name="adj" fmla="val 2917"/>
            </a:avLst>
          </a:prstGeom>
          <a:solidFill>
            <a:srgbClr val="2A2E32"/>
          </a:solidFill>
          <a:ln w="28575">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9987054289" y="1124654"/>
            <a:ext cx="1125720" cy="302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050" b="1" i="0" u="none" strike="noStrike">
                <a:solidFill>
                  <a:srgbClr val="FFFFFF"/>
                </a:solidFill>
                <a:latin typeface="SamanBank" panose="00000500000000000000" pitchFamily="2" charset="-78"/>
                <a:cs typeface="B Nazanin" panose="00000400000000000000" pitchFamily="2" charset="-78"/>
              </a:rPr>
              <a:t>تعداد مشتریان </a:t>
            </a:r>
          </a:p>
        </xdr:txBody>
      </xdr:sp>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9986551868" y="1287965"/>
            <a:ext cx="1247140" cy="1794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endParaRPr lang="fa-IR" sz="1050" b="1" i="0" u="none" strike="noStrike">
              <a:solidFill>
                <a:srgbClr val="FFFFFF"/>
              </a:solidFill>
              <a:latin typeface="SamanBank" panose="00000500000000000000" pitchFamily="2" charset="-78"/>
              <a:cs typeface="B Nazanin" panose="00000400000000000000" pitchFamily="2" charset="-78"/>
            </a:endParaRPr>
          </a:p>
        </xdr:txBody>
      </xdr:sp>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9986949799" y="493608"/>
            <a:ext cx="1081950" cy="303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600" b="1" i="0" u="none" strike="noStrike">
                <a:solidFill>
                  <a:srgbClr val="FFFFFF"/>
                </a:solidFill>
                <a:latin typeface="SamanBank" panose="00000500000000000000" pitchFamily="2" charset="-78"/>
                <a:cs typeface="B Titr" panose="00000700000000000000" pitchFamily="2" charset="-78"/>
              </a:rPr>
              <a:t>در</a:t>
            </a:r>
            <a:r>
              <a:rPr lang="fa-IR" sz="1600" b="1" i="0" u="none" strike="noStrike" baseline="0">
                <a:solidFill>
                  <a:srgbClr val="FFFFFF"/>
                </a:solidFill>
                <a:latin typeface="SamanBank" panose="00000500000000000000" pitchFamily="2" charset="-78"/>
                <a:cs typeface="B Titr" panose="00000700000000000000" pitchFamily="2" charset="-78"/>
              </a:rPr>
              <a:t> یک نگاه</a:t>
            </a:r>
            <a:endParaRPr lang="fa-IR" sz="1600" b="1" i="0" u="none" strike="noStrike">
              <a:solidFill>
                <a:srgbClr val="FFFFFF"/>
              </a:solidFill>
              <a:latin typeface="SamanBank" panose="00000500000000000000" pitchFamily="2" charset="-78"/>
              <a:cs typeface="B Titr" panose="00000700000000000000" pitchFamily="2" charset="-78"/>
            </a:endParaRPr>
          </a:p>
        </xdr:txBody>
      </xdr:sp>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9986626425" y="2567280"/>
            <a:ext cx="1621763" cy="302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050" b="1" i="0" u="none" strike="noStrike">
                <a:solidFill>
                  <a:srgbClr val="FFFFFF"/>
                </a:solidFill>
                <a:latin typeface="SamanBank" panose="00000500000000000000" pitchFamily="2" charset="-78"/>
                <a:cs typeface="B Nazanin" panose="00000400000000000000" pitchFamily="2" charset="-78"/>
              </a:rPr>
              <a:t>تعداد پیش فاکتور</a:t>
            </a:r>
          </a:p>
        </xdr:txBody>
      </xdr:sp>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9987001791" y="1888284"/>
            <a:ext cx="1125720" cy="2885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050" b="1" i="0" u="none" strike="noStrike">
                <a:solidFill>
                  <a:srgbClr val="FFFFFF"/>
                </a:solidFill>
                <a:latin typeface="SamanBank" panose="00000500000000000000" pitchFamily="2" charset="-78"/>
                <a:cs typeface="B Nazanin" panose="00000400000000000000" pitchFamily="2" charset="-78"/>
              </a:rPr>
              <a:t>تعداد بارگیری</a:t>
            </a:r>
          </a:p>
        </xdr:txBody>
      </xdr:sp>
      <xdr:sp macro="" textlink="calc!$K$13">
        <xdr:nvSpPr>
          <xdr:cNvPr id="70" name="TextBox 69">
            <a:extLst>
              <a:ext uri="{FF2B5EF4-FFF2-40B4-BE49-F238E27FC236}">
                <a16:creationId xmlns:a16="http://schemas.microsoft.com/office/drawing/2014/main" id="{00000000-0008-0000-0000-000046000000}"/>
              </a:ext>
            </a:extLst>
          </xdr:cNvPr>
          <xdr:cNvSpPr txBox="1"/>
        </xdr:nvSpPr>
        <xdr:spPr>
          <a:xfrm>
            <a:off x="9987440867" y="869855"/>
            <a:ext cx="636694" cy="347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523CA9A8-434B-401A-9677-97615206BAA9}" type="TxLink">
              <a:rPr lang="en-US" sz="2600" b="1" i="0" u="none" strike="noStrike" cap="none" spc="0">
                <a:ln>
                  <a:noFill/>
                </a:ln>
                <a:solidFill>
                  <a:schemeClr val="accent2"/>
                </a:solidFill>
                <a:effectLst/>
                <a:latin typeface="Calibri"/>
                <a:ea typeface="+mn-ea"/>
                <a:cs typeface="Koodak" panose="00000700000000000000" pitchFamily="2" charset="-78"/>
              </a:rPr>
              <a:pPr marL="0" indent="0" algn="ctr" rtl="1"/>
              <a:t>25</a:t>
            </a:fld>
            <a:endParaRPr lang="en-US" sz="2600" b="1" i="0" u="none" strike="noStrike" cap="none" spc="0">
              <a:ln>
                <a:noFill/>
              </a:ln>
              <a:solidFill>
                <a:schemeClr val="accent2"/>
              </a:solidFill>
              <a:effectLst/>
              <a:latin typeface="Calibri"/>
              <a:ea typeface="+mn-ea"/>
              <a:cs typeface="Koodak" panose="00000700000000000000" pitchFamily="2" charset="-78"/>
            </a:endParaRPr>
          </a:p>
        </xdr:txBody>
      </xdr:sp>
      <xdr:sp macro="" textlink="calc!$L$13">
        <xdr:nvSpPr>
          <xdr:cNvPr id="71" name="TextBox 70">
            <a:extLst>
              <a:ext uri="{FF2B5EF4-FFF2-40B4-BE49-F238E27FC236}">
                <a16:creationId xmlns:a16="http://schemas.microsoft.com/office/drawing/2014/main" id="{00000000-0008-0000-0000-000047000000}"/>
              </a:ext>
            </a:extLst>
          </xdr:cNvPr>
          <xdr:cNvSpPr txBox="1"/>
        </xdr:nvSpPr>
        <xdr:spPr>
          <a:xfrm>
            <a:off x="9986912342" y="2281354"/>
            <a:ext cx="1709628" cy="3471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DA9BECA6-B410-42FB-938F-2DA23CB1665E}" type="TxLink">
              <a:rPr lang="en-US" sz="2600" b="1" i="0" u="none" strike="noStrike" cap="none" spc="0">
                <a:ln>
                  <a:noFill/>
                </a:ln>
                <a:solidFill>
                  <a:schemeClr val="accent2"/>
                </a:solidFill>
                <a:effectLst/>
                <a:latin typeface="Calibri"/>
                <a:ea typeface="+mn-ea"/>
                <a:cs typeface="Koodak" panose="00000700000000000000" pitchFamily="2" charset="-78"/>
              </a:rPr>
              <a:pPr marL="0" indent="0" algn="ctr" rtl="1"/>
              <a:t>37</a:t>
            </a:fld>
            <a:endParaRPr lang="en-US" sz="2600" b="1" i="0" u="none" strike="noStrike" cap="none" spc="0">
              <a:ln>
                <a:noFill/>
              </a:ln>
              <a:solidFill>
                <a:schemeClr val="accent2"/>
              </a:solidFill>
              <a:effectLst/>
              <a:latin typeface="Calibri"/>
              <a:ea typeface="+mn-ea"/>
              <a:cs typeface="Koodak" panose="00000700000000000000" pitchFamily="2" charset="-78"/>
            </a:endParaRPr>
          </a:p>
        </xdr:txBody>
      </xdr:sp>
      <xdr:sp macro="" textlink="calc!$M$13">
        <xdr:nvSpPr>
          <xdr:cNvPr id="72" name="TextBox 71">
            <a:extLst>
              <a:ext uri="{FF2B5EF4-FFF2-40B4-BE49-F238E27FC236}">
                <a16:creationId xmlns:a16="http://schemas.microsoft.com/office/drawing/2014/main" id="{00000000-0008-0000-0000-000048000000}"/>
              </a:ext>
            </a:extLst>
          </xdr:cNvPr>
          <xdr:cNvSpPr txBox="1"/>
        </xdr:nvSpPr>
        <xdr:spPr>
          <a:xfrm>
            <a:off x="9987175865" y="1346279"/>
            <a:ext cx="1159087" cy="751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D8F1CA8B-3924-44F2-961C-7BB25E377231}" type="TxLink">
              <a:rPr lang="en-US" sz="2600" b="1" i="0" u="none" strike="noStrike" cap="none" spc="0">
                <a:ln>
                  <a:noFill/>
                </a:ln>
                <a:solidFill>
                  <a:schemeClr val="accent2"/>
                </a:solidFill>
                <a:effectLst/>
                <a:latin typeface="Calibri"/>
                <a:ea typeface="+mn-ea"/>
                <a:cs typeface="Koodak" panose="00000700000000000000" pitchFamily="2" charset="-78"/>
              </a:rPr>
              <a:pPr marL="0" indent="0" algn="ctr" rtl="1"/>
              <a:t> 615 </a:t>
            </a:fld>
            <a:endParaRPr lang="en-US" sz="2600" b="1" i="0" u="none" strike="noStrike" cap="none" spc="0">
              <a:ln>
                <a:noFill/>
              </a:ln>
              <a:solidFill>
                <a:schemeClr val="accent2"/>
              </a:solidFill>
              <a:effectLst/>
              <a:latin typeface="Calibri"/>
              <a:ea typeface="+mn-ea"/>
              <a:cs typeface="Koodak" panose="00000700000000000000" pitchFamily="2" charset="-78"/>
            </a:endParaRPr>
          </a:p>
        </xdr:txBody>
      </xdr:sp>
      <xdr:sp macro="" textlink="calc!$N$13">
        <xdr:nvSpPr>
          <xdr:cNvPr id="75" name="TextBox 74">
            <a:extLst>
              <a:ext uri="{FF2B5EF4-FFF2-40B4-BE49-F238E27FC236}">
                <a16:creationId xmlns:a16="http://schemas.microsoft.com/office/drawing/2014/main" id="{00000000-0008-0000-0000-00004B000000}"/>
              </a:ext>
            </a:extLst>
          </xdr:cNvPr>
          <xdr:cNvSpPr txBox="1"/>
        </xdr:nvSpPr>
        <xdr:spPr>
          <a:xfrm>
            <a:off x="9986558641" y="921483"/>
            <a:ext cx="1414780" cy="347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fld id="{E331C890-CE64-40E5-A889-015ECBBCEF42}" type="TxLink">
              <a:rPr lang="en-US" sz="2600" b="1" i="0" u="none" strike="noStrike" cap="none" spc="0">
                <a:ln>
                  <a:noFill/>
                </a:ln>
                <a:solidFill>
                  <a:schemeClr val="accent2"/>
                </a:solidFill>
                <a:effectLst/>
                <a:latin typeface="Calibri"/>
                <a:ea typeface="+mn-ea"/>
                <a:cs typeface="Koodak" panose="00000700000000000000" pitchFamily="2" charset="-78"/>
              </a:rPr>
              <a:pPr marL="0" indent="0" algn="ctr" rtl="1"/>
              <a:t> </a:t>
            </a:fld>
            <a:endParaRPr lang="en-US" sz="2600" b="1" i="0" u="none" strike="noStrike" cap="none" spc="0">
              <a:ln>
                <a:noFill/>
              </a:ln>
              <a:solidFill>
                <a:schemeClr val="accent2"/>
              </a:solidFill>
              <a:effectLst/>
              <a:latin typeface="Calibri"/>
              <a:ea typeface="+mn-ea"/>
              <a:cs typeface="Koodak" panose="00000700000000000000" pitchFamily="2" charset="-78"/>
            </a:endParaRPr>
          </a:p>
        </xdr:txBody>
      </xdr:sp>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988084335" y="438886"/>
            <a:ext cx="425305" cy="425305"/>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17</xdr:col>
          <xdr:colOff>678180</xdr:colOff>
          <xdr:row>0</xdr:row>
          <xdr:rowOff>68580</xdr:rowOff>
        </xdr:from>
        <xdr:to>
          <xdr:col>19</xdr:col>
          <xdr:colOff>274320</xdr:colOff>
          <xdr:row>1</xdr:row>
          <xdr:rowOff>99060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11</xdr:col>
      <xdr:colOff>44873</xdr:colOff>
      <xdr:row>1</xdr:row>
      <xdr:rowOff>96086</xdr:rowOff>
    </xdr:from>
    <xdr:to>
      <xdr:col>23</xdr:col>
      <xdr:colOff>87207</xdr:colOff>
      <xdr:row>13</xdr:row>
      <xdr:rowOff>215900</xdr:rowOff>
    </xdr:to>
    <xdr:grpSp>
      <xdr:nvGrpSpPr>
        <xdr:cNvPr id="16" name="Group 15">
          <a:extLst>
            <a:ext uri="{FF2B5EF4-FFF2-40B4-BE49-F238E27FC236}">
              <a16:creationId xmlns:a16="http://schemas.microsoft.com/office/drawing/2014/main" id="{00000000-0008-0000-0000-000010000000}"/>
            </a:ext>
          </a:extLst>
        </xdr:cNvPr>
        <xdr:cNvGrpSpPr/>
      </xdr:nvGrpSpPr>
      <xdr:grpSpPr>
        <a:xfrm>
          <a:off x="10971257373" y="324686"/>
          <a:ext cx="10786534" cy="2451534"/>
          <a:chOff x="9975502867" y="361939"/>
          <a:chExt cx="8983133" cy="2372795"/>
        </a:xfrm>
        <a:solidFill>
          <a:schemeClr val="tx2"/>
        </a:solidFill>
      </xdr:grpSpPr>
      <xdr:sp macro="" textlink="">
        <xdr:nvSpPr>
          <xdr:cNvPr id="107" name="Rectangle: Rounded Corners 106">
            <a:extLst>
              <a:ext uri="{FF2B5EF4-FFF2-40B4-BE49-F238E27FC236}">
                <a16:creationId xmlns:a16="http://schemas.microsoft.com/office/drawing/2014/main" id="{00000000-0008-0000-0000-00006B000000}"/>
              </a:ext>
            </a:extLst>
          </xdr:cNvPr>
          <xdr:cNvSpPr/>
        </xdr:nvSpPr>
        <xdr:spPr>
          <a:xfrm>
            <a:off x="9975502867" y="364910"/>
            <a:ext cx="8983133" cy="2352890"/>
          </a:xfrm>
          <a:prstGeom prst="roundRect">
            <a:avLst>
              <a:gd name="adj" fmla="val 3529"/>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graphicFrame macro="">
        <xdr:nvGraphicFramePr>
          <xdr:cNvPr id="115" name="Chart 114">
            <a:extLst>
              <a:ext uri="{FF2B5EF4-FFF2-40B4-BE49-F238E27FC236}">
                <a16:creationId xmlns:a16="http://schemas.microsoft.com/office/drawing/2014/main" id="{00000000-0008-0000-0000-000073000000}"/>
              </a:ext>
            </a:extLst>
          </xdr:cNvPr>
          <xdr:cNvGraphicFramePr>
            <a:graphicFrameLocks/>
          </xdr:cNvGraphicFramePr>
        </xdr:nvGraphicFramePr>
        <xdr:xfrm>
          <a:off x="9975621402" y="558802"/>
          <a:ext cx="8754534" cy="2175932"/>
        </xdr:xfrm>
        <a:graphic>
          <a:graphicData uri="http://schemas.openxmlformats.org/drawingml/2006/chart">
            <c:chart xmlns:c="http://schemas.openxmlformats.org/drawingml/2006/chart" xmlns:r="http://schemas.openxmlformats.org/officeDocument/2006/relationships" r:id="rId8"/>
          </a:graphicData>
        </a:graphic>
      </xdr:graphicFrame>
      <xdr:grpSp>
        <xdr:nvGrpSpPr>
          <xdr:cNvPr id="9" name="Group 8">
            <a:extLst>
              <a:ext uri="{FF2B5EF4-FFF2-40B4-BE49-F238E27FC236}">
                <a16:creationId xmlns:a16="http://schemas.microsoft.com/office/drawing/2014/main" id="{00000000-0008-0000-0000-000009000000}"/>
              </a:ext>
            </a:extLst>
          </xdr:cNvPr>
          <xdr:cNvGrpSpPr/>
        </xdr:nvGrpSpPr>
        <xdr:grpSpPr>
          <a:xfrm>
            <a:off x="9980371207" y="361939"/>
            <a:ext cx="3969805" cy="307354"/>
            <a:chOff x="9980125670" y="395807"/>
            <a:chExt cx="3969805" cy="307354"/>
          </a:xfrm>
          <a:grpFill/>
        </xdr:grpSpPr>
        <xdr:sp macro="" textlink="">
          <xdr:nvSpPr>
            <xdr:cNvPr id="108" name="TextBox 107">
              <a:extLst>
                <a:ext uri="{FF2B5EF4-FFF2-40B4-BE49-F238E27FC236}">
                  <a16:creationId xmlns:a16="http://schemas.microsoft.com/office/drawing/2014/main" id="{00000000-0008-0000-0000-00006C000000}"/>
                </a:ext>
              </a:extLst>
            </xdr:cNvPr>
            <xdr:cNvSpPr txBox="1"/>
          </xdr:nvSpPr>
          <xdr:spPr>
            <a:xfrm>
              <a:off x="9980506667" y="395807"/>
              <a:ext cx="3356821"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200" b="0" i="0" u="none" strike="noStrike">
                  <a:solidFill>
                    <a:srgbClr val="FFFFFF"/>
                  </a:solidFill>
                  <a:latin typeface="Calibri"/>
                  <a:cs typeface="B Titr" panose="00000700000000000000" pitchFamily="2" charset="-78"/>
                </a:rPr>
                <a:t>بررسی</a:t>
              </a:r>
              <a:r>
                <a:rPr lang="fa-IR" sz="1200" b="0" i="0" u="none" strike="noStrike" baseline="0">
                  <a:solidFill>
                    <a:srgbClr val="FFFFFF"/>
                  </a:solidFill>
                  <a:latin typeface="Calibri"/>
                  <a:cs typeface="B Titr" panose="00000700000000000000" pitchFamily="2" charset="-78"/>
                </a:rPr>
                <a:t> ماهانه میزان سفارش و میزان بارگیری شده</a:t>
              </a:r>
              <a:r>
                <a:rPr lang="en-US" sz="1200" b="0" i="0" u="none" strike="noStrike" baseline="0">
                  <a:solidFill>
                    <a:srgbClr val="FFFFFF"/>
                  </a:solidFill>
                  <a:latin typeface="Calibri"/>
                  <a:cs typeface="B Titr" panose="00000700000000000000" pitchFamily="2" charset="-78"/>
                </a:rPr>
                <a:t> </a:t>
              </a:r>
              <a:r>
                <a:rPr lang="fa-IR" sz="1200" b="0" i="0" u="none" strike="noStrike" baseline="0">
                  <a:solidFill>
                    <a:srgbClr val="FFFFFF"/>
                  </a:solidFill>
                  <a:latin typeface="Calibri"/>
                  <a:cs typeface="B Titr" panose="00000700000000000000" pitchFamily="2" charset="-78"/>
                </a:rPr>
                <a:t>سال </a:t>
              </a:r>
              <a:endParaRPr lang="en-US" sz="1200" b="0" i="0" u="none" strike="noStrike">
                <a:solidFill>
                  <a:srgbClr val="FFFFFF"/>
                </a:solidFill>
                <a:latin typeface="Calibri"/>
                <a:cs typeface="B Titr" panose="00000700000000000000" pitchFamily="2" charset="-78"/>
              </a:endParaRPr>
            </a:p>
          </xdr:txBody>
        </xdr:sp>
        <xdr:pic>
          <xdr:nvPicPr>
            <xdr:cNvPr id="111" name="Picture 110">
              <a:extLst>
                <a:ext uri="{FF2B5EF4-FFF2-40B4-BE49-F238E27FC236}">
                  <a16:creationId xmlns:a16="http://schemas.microsoft.com/office/drawing/2014/main" id="{00000000-0008-0000-0000-00006F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6173" t="10934" r="10934" b="10706"/>
            <a:stretch/>
          </xdr:blipFill>
          <xdr:spPr>
            <a:xfrm>
              <a:off x="9983856468" y="437726"/>
              <a:ext cx="239007" cy="263947"/>
            </a:xfrm>
            <a:prstGeom prst="rect">
              <a:avLst/>
            </a:prstGeom>
            <a:grpFill/>
          </xdr:spPr>
        </xdr:pic>
        <xdr:sp macro="" textlink="calc!BV5">
          <xdr:nvSpPr>
            <xdr:cNvPr id="116" name="TextBox 115">
              <a:extLst>
                <a:ext uri="{FF2B5EF4-FFF2-40B4-BE49-F238E27FC236}">
                  <a16:creationId xmlns:a16="http://schemas.microsoft.com/office/drawing/2014/main" id="{00000000-0008-0000-0000-000074000000}"/>
                </a:ext>
              </a:extLst>
            </xdr:cNvPr>
            <xdr:cNvSpPr txBox="1"/>
          </xdr:nvSpPr>
          <xdr:spPr>
            <a:xfrm>
              <a:off x="9980125670" y="406399"/>
              <a:ext cx="770466"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fld id="{21019D9E-FF21-47B3-8A40-3118DDD7A0E3}" type="TxLink">
                <a:rPr lang="en-US" sz="1700" b="1" i="0" u="none" strike="noStrike">
                  <a:solidFill>
                    <a:schemeClr val="accent2"/>
                  </a:solidFill>
                  <a:latin typeface="Calibri"/>
                  <a:cs typeface="B Nazanin" panose="00000400000000000000" pitchFamily="2" charset="-78"/>
                </a:rPr>
                <a:pPr algn="r" rtl="1"/>
                <a:t>1405</a:t>
              </a:fld>
              <a:endParaRPr lang="en-US" sz="1700" b="1" i="0" u="none" strike="noStrike">
                <a:solidFill>
                  <a:schemeClr val="accent2"/>
                </a:solidFill>
                <a:latin typeface="Calibri"/>
                <a:cs typeface="B Nazanin" panose="00000400000000000000" pitchFamily="2" charset="-78"/>
              </a:endParaRPr>
            </a:p>
          </xdr:txBody>
        </xdr:sp>
      </xdr:grpSp>
    </xdr:grpSp>
    <xdr:clientData/>
  </xdr:twoCellAnchor>
  <xdr:twoCellAnchor>
    <xdr:from>
      <xdr:col>0</xdr:col>
      <xdr:colOff>95242</xdr:colOff>
      <xdr:row>22</xdr:row>
      <xdr:rowOff>39157</xdr:rowOff>
    </xdr:from>
    <xdr:to>
      <xdr:col>10</xdr:col>
      <xdr:colOff>146050</xdr:colOff>
      <xdr:row>37</xdr:row>
      <xdr:rowOff>176741</xdr:rowOff>
    </xdr:to>
    <xdr:grpSp>
      <xdr:nvGrpSpPr>
        <xdr:cNvPr id="15" name="Group 14">
          <a:extLst>
            <a:ext uri="{FF2B5EF4-FFF2-40B4-BE49-F238E27FC236}">
              <a16:creationId xmlns:a16="http://schemas.microsoft.com/office/drawing/2014/main" id="{00000000-0008-0000-0000-00000F000000}"/>
            </a:ext>
          </a:extLst>
        </xdr:cNvPr>
        <xdr:cNvGrpSpPr/>
      </xdr:nvGrpSpPr>
      <xdr:grpSpPr>
        <a:xfrm>
          <a:off x="10982331350" y="4763557"/>
          <a:ext cx="7099308" cy="3414184"/>
          <a:chOff x="9984316670" y="2553711"/>
          <a:chExt cx="6383870" cy="4191184"/>
        </a:xfrm>
      </xdr:grpSpPr>
      <xdr:grpSp>
        <xdr:nvGrpSpPr>
          <xdr:cNvPr id="3" name="Group 2">
            <a:extLst>
              <a:ext uri="{FF2B5EF4-FFF2-40B4-BE49-F238E27FC236}">
                <a16:creationId xmlns:a16="http://schemas.microsoft.com/office/drawing/2014/main" id="{00000000-0008-0000-0000-000003000000}"/>
              </a:ext>
            </a:extLst>
          </xdr:cNvPr>
          <xdr:cNvGrpSpPr/>
        </xdr:nvGrpSpPr>
        <xdr:grpSpPr>
          <a:xfrm>
            <a:off x="9984316670" y="2553711"/>
            <a:ext cx="6383870" cy="4191184"/>
            <a:chOff x="9982276201" y="2579110"/>
            <a:chExt cx="6383870" cy="4191184"/>
          </a:xfrm>
        </xdr:grpSpPr>
        <xdr:sp macro="" textlink="">
          <xdr:nvSpPr>
            <xdr:cNvPr id="88" name="Rectangle: Rounded Corners 87">
              <a:extLst>
                <a:ext uri="{FF2B5EF4-FFF2-40B4-BE49-F238E27FC236}">
                  <a16:creationId xmlns:a16="http://schemas.microsoft.com/office/drawing/2014/main" id="{00000000-0008-0000-0000-000058000000}"/>
                </a:ext>
              </a:extLst>
            </xdr:cNvPr>
            <xdr:cNvSpPr/>
          </xdr:nvSpPr>
          <xdr:spPr>
            <a:xfrm>
              <a:off x="9982276201" y="2579110"/>
              <a:ext cx="6383870" cy="4191184"/>
            </a:xfrm>
            <a:prstGeom prst="roundRect">
              <a:avLst>
                <a:gd name="adj" fmla="val 2917"/>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chemeClr val="accent2"/>
                </a:solidFill>
              </a:endParaRPr>
            </a:p>
          </xdr:txBody>
        </xdr:sp>
        <xdr:graphicFrame macro="">
          <xdr:nvGraphicFramePr>
            <xdr:cNvPr id="95" name="Chart 94">
              <a:extLst>
                <a:ext uri="{FF2B5EF4-FFF2-40B4-BE49-F238E27FC236}">
                  <a16:creationId xmlns:a16="http://schemas.microsoft.com/office/drawing/2014/main" id="{00000000-0008-0000-0000-00005F000000}"/>
                </a:ext>
              </a:extLst>
            </xdr:cNvPr>
            <xdr:cNvGraphicFramePr>
              <a:graphicFrameLocks/>
            </xdr:cNvGraphicFramePr>
          </xdr:nvGraphicFramePr>
          <xdr:xfrm>
            <a:off x="9982285692" y="3022550"/>
            <a:ext cx="6285382" cy="3595101"/>
          </xdr:xfrm>
          <a:graphic>
            <a:graphicData uri="http://schemas.openxmlformats.org/drawingml/2006/chart">
              <c:chart xmlns:c="http://schemas.openxmlformats.org/drawingml/2006/chart" xmlns:r="http://schemas.openxmlformats.org/officeDocument/2006/relationships" r:id="rId10"/>
            </a:graphicData>
          </a:graphic>
        </xdr:graphicFrame>
        <xdr:sp macro="" textlink="">
          <xdr:nvSpPr>
            <xdr:cNvPr id="96" name="TextBox 95">
              <a:extLst>
                <a:ext uri="{FF2B5EF4-FFF2-40B4-BE49-F238E27FC236}">
                  <a16:creationId xmlns:a16="http://schemas.microsoft.com/office/drawing/2014/main" id="{00000000-0008-0000-0000-000060000000}"/>
                </a:ext>
              </a:extLst>
            </xdr:cNvPr>
            <xdr:cNvSpPr txBox="1"/>
          </xdr:nvSpPr>
          <xdr:spPr>
            <a:xfrm>
              <a:off x="9983251342" y="3089811"/>
              <a:ext cx="1456269" cy="33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900" b="0" i="0" u="none" strike="noStrike" baseline="0">
                  <a:solidFill>
                    <a:srgbClr val="FFFFFF"/>
                  </a:solidFill>
                  <a:latin typeface="Calibri"/>
                  <a:cs typeface="B Titr" panose="00000700000000000000" pitchFamily="2" charset="-78"/>
                </a:rPr>
                <a:t>کل سفارشات(هزار تن)</a:t>
              </a:r>
              <a:endParaRPr lang="en-US" sz="900" b="0" i="0" u="none" strike="noStrike">
                <a:solidFill>
                  <a:srgbClr val="FFFFFF"/>
                </a:solidFill>
                <a:latin typeface="Calibri"/>
                <a:cs typeface="B Titr" panose="00000700000000000000" pitchFamily="2" charset="-78"/>
              </a:endParaRPr>
            </a:p>
          </xdr:txBody>
        </xdr:sp>
      </xdr:grpSp>
      <xdr:sp macro="" textlink="">
        <xdr:nvSpPr>
          <xdr:cNvPr id="117" name="TextBox 116">
            <a:extLst>
              <a:ext uri="{FF2B5EF4-FFF2-40B4-BE49-F238E27FC236}">
                <a16:creationId xmlns:a16="http://schemas.microsoft.com/office/drawing/2014/main" id="{00000000-0008-0000-0000-000075000000}"/>
              </a:ext>
            </a:extLst>
          </xdr:cNvPr>
          <xdr:cNvSpPr txBox="1"/>
        </xdr:nvSpPr>
        <xdr:spPr>
          <a:xfrm>
            <a:off x="9986417838" y="3064412"/>
            <a:ext cx="1456269" cy="33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900" b="0" i="0" u="none" strike="noStrike" baseline="0">
                <a:solidFill>
                  <a:srgbClr val="FFFFFF"/>
                </a:solidFill>
                <a:latin typeface="Calibri"/>
                <a:cs typeface="B Titr" panose="00000700000000000000" pitchFamily="2" charset="-78"/>
              </a:rPr>
              <a:t>درصد مانده</a:t>
            </a:r>
            <a:endParaRPr lang="en-US" sz="900" b="0" i="0" u="none" strike="noStrike">
              <a:solidFill>
                <a:srgbClr val="FFFFFF"/>
              </a:solidFill>
              <a:latin typeface="Calibri"/>
              <a:cs typeface="B Titr" panose="00000700000000000000" pitchFamily="2" charset="-78"/>
            </a:endParaRPr>
          </a:p>
        </xdr:txBody>
      </xdr:sp>
      <xdr:sp macro="" textlink="">
        <xdr:nvSpPr>
          <xdr:cNvPr id="118" name="TextBox 117">
            <a:extLst>
              <a:ext uri="{FF2B5EF4-FFF2-40B4-BE49-F238E27FC236}">
                <a16:creationId xmlns:a16="http://schemas.microsoft.com/office/drawing/2014/main" id="{00000000-0008-0000-0000-000076000000}"/>
              </a:ext>
            </a:extLst>
          </xdr:cNvPr>
          <xdr:cNvSpPr txBox="1"/>
        </xdr:nvSpPr>
        <xdr:spPr>
          <a:xfrm>
            <a:off x="9988102697" y="3055948"/>
            <a:ext cx="1456269" cy="33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900" b="0" i="0" u="none" strike="noStrike" baseline="0">
                <a:solidFill>
                  <a:srgbClr val="FFFFFF"/>
                </a:solidFill>
                <a:latin typeface="Calibri"/>
                <a:cs typeface="B Titr" panose="00000700000000000000" pitchFamily="2" charset="-78"/>
              </a:rPr>
              <a:t>کل ارسال شده(هزار تن)</a:t>
            </a:r>
            <a:endParaRPr lang="en-US" sz="900" b="0" i="0" u="none" strike="noStrike">
              <a:solidFill>
                <a:srgbClr val="FFFFFF"/>
              </a:solidFill>
              <a:latin typeface="Calibri"/>
              <a:cs typeface="B Titr" panose="00000700000000000000" pitchFamily="2" charset="-78"/>
            </a:endParaRPr>
          </a:p>
        </xdr:txBody>
      </xdr:sp>
      <xdr:sp macro="" textlink="">
        <xdr:nvSpPr>
          <xdr:cNvPr id="13" name="Rectangle: Rounded Corners 12">
            <a:extLst>
              <a:ext uri="{FF2B5EF4-FFF2-40B4-BE49-F238E27FC236}">
                <a16:creationId xmlns:a16="http://schemas.microsoft.com/office/drawing/2014/main" id="{00000000-0008-0000-0000-00000D000000}"/>
              </a:ext>
            </a:extLst>
          </xdr:cNvPr>
          <xdr:cNvSpPr/>
        </xdr:nvSpPr>
        <xdr:spPr>
          <a:xfrm>
            <a:off x="9988077306" y="3191413"/>
            <a:ext cx="262467" cy="84666"/>
          </a:xfrm>
          <a:prstGeom prst="roundRect">
            <a:avLst/>
          </a:prstGeom>
          <a:solidFill>
            <a:srgbClr val="69FF6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119" name="Rectangle: Rounded Corners 118">
            <a:extLst>
              <a:ext uri="{FF2B5EF4-FFF2-40B4-BE49-F238E27FC236}">
                <a16:creationId xmlns:a16="http://schemas.microsoft.com/office/drawing/2014/main" id="{00000000-0008-0000-0000-000077000000}"/>
              </a:ext>
            </a:extLst>
          </xdr:cNvPr>
          <xdr:cNvSpPr/>
        </xdr:nvSpPr>
        <xdr:spPr>
          <a:xfrm>
            <a:off x="9985403643" y="3203401"/>
            <a:ext cx="262467" cy="84666"/>
          </a:xfrm>
          <a:prstGeom prst="roundRect">
            <a:avLst/>
          </a:prstGeom>
          <a:solidFill>
            <a:schemeClr val="tx2">
              <a:lumMod val="10000"/>
              <a:lumOff val="9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120" name="Rectangle: Rounded Corners 119">
            <a:extLst>
              <a:ext uri="{FF2B5EF4-FFF2-40B4-BE49-F238E27FC236}">
                <a16:creationId xmlns:a16="http://schemas.microsoft.com/office/drawing/2014/main" id="{00000000-0008-0000-0000-000078000000}"/>
              </a:ext>
            </a:extLst>
          </xdr:cNvPr>
          <xdr:cNvSpPr/>
        </xdr:nvSpPr>
        <xdr:spPr>
          <a:xfrm>
            <a:off x="9986951238" y="3191413"/>
            <a:ext cx="262467" cy="84666"/>
          </a:xfrm>
          <a:prstGeom prst="roundRect">
            <a:avLst/>
          </a:prstGeom>
          <a:solidFill>
            <a:srgbClr val="D7355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grpSp>
    <xdr:clientData/>
  </xdr:twoCellAnchor>
  <mc:AlternateContent xmlns:mc="http://schemas.openxmlformats.org/markup-compatibility/2006">
    <mc:Choice xmlns:a14="http://schemas.microsoft.com/office/drawing/2010/main" Requires="a14">
      <xdr:twoCellAnchor editAs="oneCell">
        <xdr:from>
          <xdr:col>20</xdr:col>
          <xdr:colOff>502920</xdr:colOff>
          <xdr:row>0</xdr:row>
          <xdr:rowOff>68580</xdr:rowOff>
        </xdr:from>
        <xdr:to>
          <xdr:col>21</xdr:col>
          <xdr:colOff>441960</xdr:colOff>
          <xdr:row>1</xdr:row>
          <xdr:rowOff>99060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C6D9F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0" tIns="27432" rIns="27432" bIns="27432" anchor="ctr" upright="1"/>
            <a:lstStyle/>
            <a:p>
              <a:pPr algn="r" rtl="1">
                <a:defRPr sz="1000"/>
              </a:pPr>
              <a:r>
                <a:rPr lang="fa-IR" sz="800" b="0" i="0" u="none" strike="noStrike" baseline="0">
                  <a:solidFill>
                    <a:srgbClr val="000000"/>
                  </a:solidFill>
                  <a:latin typeface="Segoe UI"/>
                  <a:cs typeface="Segoe UI"/>
                </a:rPr>
                <a:t>تعداد پیش فاکتور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487680</xdr:colOff>
          <xdr:row>0</xdr:row>
          <xdr:rowOff>60960</xdr:rowOff>
        </xdr:from>
        <xdr:to>
          <xdr:col>20</xdr:col>
          <xdr:colOff>518160</xdr:colOff>
          <xdr:row>1</xdr:row>
          <xdr:rowOff>83820</xdr:rowOff>
        </xdr:to>
        <xdr:sp macro="" textlink="">
          <xdr:nvSpPr>
            <xdr:cNvPr id="1029" name="Check Box 5" descr="تعداد بارگیری"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C6D9F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0" tIns="27432" rIns="27432" bIns="27432" anchor="ctr" upright="1"/>
            <a:lstStyle/>
            <a:p>
              <a:pPr algn="r" rtl="1">
                <a:defRPr sz="1000"/>
              </a:pPr>
              <a:r>
                <a:rPr lang="fa-IR" sz="800" b="0" i="0" u="none" strike="noStrike" baseline="0">
                  <a:solidFill>
                    <a:srgbClr val="000000"/>
                  </a:solidFill>
                  <a:latin typeface="Segoe UI"/>
                  <a:cs typeface="Segoe UI"/>
                </a:rPr>
                <a:t>تعداد بارگیری</a:t>
              </a:r>
            </a:p>
          </xdr:txBody>
        </xdr:sp>
        <xdr:clientData/>
      </xdr:twoCellAnchor>
    </mc:Choice>
    <mc:Fallback/>
  </mc:AlternateContent>
  <xdr:twoCellAnchor>
    <xdr:from>
      <xdr:col>28</xdr:col>
      <xdr:colOff>176446</xdr:colOff>
      <xdr:row>1</xdr:row>
      <xdr:rowOff>165166</xdr:rowOff>
    </xdr:from>
    <xdr:to>
      <xdr:col>33</xdr:col>
      <xdr:colOff>4575</xdr:colOff>
      <xdr:row>13</xdr:row>
      <xdr:rowOff>286595</xdr:rowOff>
    </xdr:to>
    <xdr:grpSp>
      <xdr:nvGrpSpPr>
        <xdr:cNvPr id="90" name="Group 89">
          <a:extLst>
            <a:ext uri="{FF2B5EF4-FFF2-40B4-BE49-F238E27FC236}">
              <a16:creationId xmlns:a16="http://schemas.microsoft.com/office/drawing/2014/main" id="{00000000-0008-0000-0000-00005A000000}"/>
            </a:ext>
          </a:extLst>
        </xdr:cNvPr>
        <xdr:cNvGrpSpPr/>
      </xdr:nvGrpSpPr>
      <xdr:grpSpPr>
        <a:xfrm>
          <a:off x="10965099225" y="393766"/>
          <a:ext cx="2906609" cy="2453149"/>
          <a:chOff x="9970519808" y="381001"/>
          <a:chExt cx="3068746" cy="2607728"/>
        </a:xfrm>
      </xdr:grpSpPr>
      <xdr:sp macro="" textlink="">
        <xdr:nvSpPr>
          <xdr:cNvPr id="91" name="Rectangle: Rounded Corners 90">
            <a:extLst>
              <a:ext uri="{FF2B5EF4-FFF2-40B4-BE49-F238E27FC236}">
                <a16:creationId xmlns:a16="http://schemas.microsoft.com/office/drawing/2014/main" id="{00000000-0008-0000-0000-00005B000000}"/>
              </a:ext>
            </a:extLst>
          </xdr:cNvPr>
          <xdr:cNvSpPr/>
        </xdr:nvSpPr>
        <xdr:spPr>
          <a:xfrm>
            <a:off x="9970519808" y="567267"/>
            <a:ext cx="3068746" cy="2421462"/>
          </a:xfrm>
          <a:prstGeom prst="roundRect">
            <a:avLst>
              <a:gd name="adj" fmla="val 2333"/>
            </a:avLst>
          </a:prstGeom>
          <a:noFill/>
          <a:ln w="76200">
            <a:solidFill>
              <a:srgbClr val="292A2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92" name="Rectangle: Rounded Corners 91">
            <a:extLst>
              <a:ext uri="{FF2B5EF4-FFF2-40B4-BE49-F238E27FC236}">
                <a16:creationId xmlns:a16="http://schemas.microsoft.com/office/drawing/2014/main" id="{00000000-0008-0000-0000-00005C000000}"/>
              </a:ext>
            </a:extLst>
          </xdr:cNvPr>
          <xdr:cNvSpPr/>
        </xdr:nvSpPr>
        <xdr:spPr>
          <a:xfrm>
            <a:off x="9970672317" y="381001"/>
            <a:ext cx="2773150" cy="304800"/>
          </a:xfrm>
          <a:prstGeom prst="roundRect">
            <a:avLst>
              <a:gd name="adj" fmla="val 22155"/>
            </a:avLst>
          </a:prstGeom>
          <a:solidFill>
            <a:schemeClr val="accent2">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9971040934" y="397934"/>
            <a:ext cx="1844188" cy="2967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400" b="0" i="0" u="none" strike="noStrike">
                <a:solidFill>
                  <a:srgbClr val="FFFFFF"/>
                </a:solidFill>
                <a:latin typeface="Calibri"/>
                <a:cs typeface="Koodak" panose="00000700000000000000" pitchFamily="2" charset="-78"/>
              </a:rPr>
              <a:t>محاسبه تناژ تعادلی بورس</a:t>
            </a:r>
            <a:endParaRPr lang="en-US" sz="1400" b="0" i="0" u="none" strike="noStrike">
              <a:solidFill>
                <a:srgbClr val="FFFFFF"/>
              </a:solidFill>
              <a:latin typeface="Calibri"/>
              <a:cs typeface="Koodak" panose="00000700000000000000" pitchFamily="2" charset="-78"/>
            </a:endParaRPr>
          </a:p>
        </xdr:txBody>
      </xdr:sp>
    </xdr:grpSp>
    <xdr:clientData/>
  </xdr:twoCellAnchor>
  <xdr:twoCellAnchor>
    <xdr:from>
      <xdr:col>28</xdr:col>
      <xdr:colOff>186268</xdr:colOff>
      <xdr:row>17</xdr:row>
      <xdr:rowOff>161923</xdr:rowOff>
    </xdr:from>
    <xdr:to>
      <xdr:col>33</xdr:col>
      <xdr:colOff>14394</xdr:colOff>
      <xdr:row>30</xdr:row>
      <xdr:rowOff>53340</xdr:rowOff>
    </xdr:to>
    <xdr:sp macro="" textlink="">
      <xdr:nvSpPr>
        <xdr:cNvPr id="102" name="Rectangle: Rounded Corners 101">
          <a:extLst>
            <a:ext uri="{FF2B5EF4-FFF2-40B4-BE49-F238E27FC236}">
              <a16:creationId xmlns:a16="http://schemas.microsoft.com/office/drawing/2014/main" id="{00000000-0008-0000-0000-000066000000}"/>
            </a:ext>
          </a:extLst>
        </xdr:cNvPr>
        <xdr:cNvSpPr/>
      </xdr:nvSpPr>
      <xdr:spPr>
        <a:xfrm>
          <a:off x="10965089406" y="3895723"/>
          <a:ext cx="2906606" cy="2466977"/>
        </a:xfrm>
        <a:prstGeom prst="roundRect">
          <a:avLst>
            <a:gd name="adj" fmla="val 2333"/>
          </a:avLst>
        </a:prstGeom>
        <a:noFill/>
        <a:ln w="76200">
          <a:solidFill>
            <a:srgbClr val="292A2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24</xdr:col>
      <xdr:colOff>22860</xdr:colOff>
      <xdr:row>16</xdr:row>
      <xdr:rowOff>159353</xdr:rowOff>
    </xdr:from>
    <xdr:to>
      <xdr:col>33</xdr:col>
      <xdr:colOff>312420</xdr:colOff>
      <xdr:row>18</xdr:row>
      <xdr:rowOff>38848</xdr:rowOff>
    </xdr:to>
    <xdr:grpSp>
      <xdr:nvGrpSpPr>
        <xdr:cNvPr id="103" name="Group 102">
          <a:extLst>
            <a:ext uri="{FF2B5EF4-FFF2-40B4-BE49-F238E27FC236}">
              <a16:creationId xmlns:a16="http://schemas.microsoft.com/office/drawing/2014/main" id="{00000000-0008-0000-0000-000067000000}"/>
            </a:ext>
          </a:extLst>
        </xdr:cNvPr>
        <xdr:cNvGrpSpPr/>
      </xdr:nvGrpSpPr>
      <xdr:grpSpPr>
        <a:xfrm>
          <a:off x="10964791380" y="3656933"/>
          <a:ext cx="6202680" cy="313835"/>
          <a:chOff x="9965370057" y="2669784"/>
          <a:chExt cx="2404430" cy="310483"/>
        </a:xfrm>
      </xdr:grpSpPr>
      <xdr:sp macro="" textlink="">
        <xdr:nvSpPr>
          <xdr:cNvPr id="104" name="Rectangle: Rounded Corners 103">
            <a:extLst>
              <a:ext uri="{FF2B5EF4-FFF2-40B4-BE49-F238E27FC236}">
                <a16:creationId xmlns:a16="http://schemas.microsoft.com/office/drawing/2014/main" id="{00000000-0008-0000-0000-000068000000}"/>
              </a:ext>
            </a:extLst>
          </xdr:cNvPr>
          <xdr:cNvSpPr/>
        </xdr:nvSpPr>
        <xdr:spPr>
          <a:xfrm>
            <a:off x="9965471194" y="2675467"/>
            <a:ext cx="2302934" cy="304800"/>
          </a:xfrm>
          <a:prstGeom prst="roundRect">
            <a:avLst>
              <a:gd name="adj" fmla="val 30488"/>
            </a:avLst>
          </a:prstGeom>
          <a:solidFill>
            <a:schemeClr val="accent2">
              <a:lumMod val="7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rgbClr val="FFFFFF"/>
              </a:solidFill>
            </a:endParaRPr>
          </a:p>
        </xdr:txBody>
      </xdr:sp>
      <xdr:sp macro="" textlink="">
        <xdr:nvSpPr>
          <xdr:cNvPr id="105" name="TextBox 104">
            <a:extLst>
              <a:ext uri="{FF2B5EF4-FFF2-40B4-BE49-F238E27FC236}">
                <a16:creationId xmlns:a16="http://schemas.microsoft.com/office/drawing/2014/main" id="{00000000-0008-0000-0000-000069000000}"/>
              </a:ext>
            </a:extLst>
          </xdr:cNvPr>
          <xdr:cNvSpPr txBox="1"/>
        </xdr:nvSpPr>
        <xdr:spPr>
          <a:xfrm>
            <a:off x="9965370057" y="2669784"/>
            <a:ext cx="2404430"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400" b="1" i="0" u="none" strike="noStrike" baseline="0">
                <a:solidFill>
                  <a:srgbClr val="FFFFFF"/>
                </a:solidFill>
                <a:latin typeface="Calibri"/>
                <a:ea typeface="+mn-ea"/>
                <a:cs typeface="B Koodak" panose="00000700000000000000" pitchFamily="2" charset="-78"/>
              </a:rPr>
              <a:t>مجموع موجودی مخازن تولید و بارگیری در ابتدای هر ماه ( تن )</a:t>
            </a:r>
          </a:p>
        </xdr:txBody>
      </xdr:sp>
    </xdr:grpSp>
    <xdr:clientData/>
  </xdr:twoCellAnchor>
  <xdr:twoCellAnchor>
    <xdr:from>
      <xdr:col>1</xdr:col>
      <xdr:colOff>79816</xdr:colOff>
      <xdr:row>21</xdr:row>
      <xdr:rowOff>155579</xdr:rowOff>
    </xdr:from>
    <xdr:to>
      <xdr:col>6</xdr:col>
      <xdr:colOff>26273</xdr:colOff>
      <xdr:row>24</xdr:row>
      <xdr:rowOff>19052</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10985483887" y="4681859"/>
          <a:ext cx="3817417" cy="457833"/>
          <a:chOff x="9985247129" y="2881347"/>
          <a:chExt cx="3434620" cy="509266"/>
        </a:xfrm>
      </xdr:grpSpPr>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9985247129" y="2997869"/>
            <a:ext cx="3004820" cy="332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200" b="1" i="0" u="none" strike="noStrike" baseline="0">
                <a:solidFill>
                  <a:schemeClr val="bg1">
                    <a:lumMod val="20000"/>
                    <a:lumOff val="80000"/>
                  </a:schemeClr>
                </a:solidFill>
                <a:latin typeface="Calibri"/>
                <a:cs typeface="B Titr" panose="00000700000000000000" pitchFamily="2" charset="-78"/>
              </a:rPr>
              <a:t>بررسی و رتبه بندی کلی شرکت ها </a:t>
            </a:r>
            <a:endParaRPr lang="en-US" sz="1200" b="1" i="0" u="none" strike="noStrike">
              <a:solidFill>
                <a:schemeClr val="bg1">
                  <a:lumMod val="20000"/>
                  <a:lumOff val="80000"/>
                </a:schemeClr>
              </a:solidFill>
              <a:latin typeface="Calibri"/>
              <a:cs typeface="B Titr" panose="00000700000000000000" pitchFamily="2" charset="-78"/>
            </a:endParaRPr>
          </a:p>
        </xdr:txBody>
      </xdr:sp>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1" cstate="print">
            <a:duotone>
              <a:schemeClr val="accent2">
                <a:shade val="45000"/>
                <a:satMod val="135000"/>
              </a:schemeClr>
              <a:prstClr val="white"/>
            </a:duotone>
            <a:extLst>
              <a:ext uri="{BEBA8EAE-BF5A-486C-A8C5-ECC9F3942E4B}">
                <a14:imgProps xmlns:a14="http://schemas.microsoft.com/office/drawing/2010/main">
                  <a14:imgLayer r:embed="rId1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9988248349" y="2881347"/>
            <a:ext cx="433400" cy="509266"/>
          </a:xfrm>
          <a:prstGeom prst="rect">
            <a:avLst/>
          </a:prstGeom>
        </xdr:spPr>
      </xdr:pic>
    </xdr:grpSp>
    <xdr:clientData/>
  </xdr:twoCellAnchor>
  <xdr:twoCellAnchor>
    <xdr:from>
      <xdr:col>9</xdr:col>
      <xdr:colOff>590550</xdr:colOff>
      <xdr:row>24</xdr:row>
      <xdr:rowOff>161925</xdr:rowOff>
    </xdr:from>
    <xdr:to>
      <xdr:col>10</xdr:col>
      <xdr:colOff>47625</xdr:colOff>
      <xdr:row>37</xdr:row>
      <xdr:rowOff>57150</xdr:rowOff>
    </xdr:to>
    <xdr:grpSp>
      <xdr:nvGrpSpPr>
        <xdr:cNvPr id="8" name="Group 7">
          <a:extLst>
            <a:ext uri="{FF2B5EF4-FFF2-40B4-BE49-F238E27FC236}">
              <a16:creationId xmlns:a16="http://schemas.microsoft.com/office/drawing/2014/main" id="{00000000-0008-0000-0000-000008000000}"/>
            </a:ext>
          </a:extLst>
        </xdr:cNvPr>
        <xdr:cNvGrpSpPr/>
      </xdr:nvGrpSpPr>
      <xdr:grpSpPr>
        <a:xfrm>
          <a:off x="10982429775" y="5282565"/>
          <a:ext cx="379095" cy="2775585"/>
          <a:chOff x="9982454001" y="3378199"/>
          <a:chExt cx="330198" cy="3191933"/>
        </a:xfrm>
      </xdr:grpSpPr>
      <xdr:sp macro="" textlink="">
        <xdr:nvSpPr>
          <xdr:cNvPr id="97" name="Rectangle: Rounded Corners 96">
            <a:extLst>
              <a:ext uri="{FF2B5EF4-FFF2-40B4-BE49-F238E27FC236}">
                <a16:creationId xmlns:a16="http://schemas.microsoft.com/office/drawing/2014/main" id="{00000000-0008-0000-0000-000061000000}"/>
              </a:ext>
            </a:extLst>
          </xdr:cNvPr>
          <xdr:cNvSpPr/>
        </xdr:nvSpPr>
        <xdr:spPr>
          <a:xfrm>
            <a:off x="9982454001" y="3378199"/>
            <a:ext cx="330198" cy="3191933"/>
          </a:xfrm>
          <a:prstGeom prst="roundRect">
            <a:avLst>
              <a:gd name="adj" fmla="val 20866"/>
            </a:avLst>
          </a:prstGeom>
          <a:gradFill flip="none" rotWithShape="1">
            <a:gsLst>
              <a:gs pos="0">
                <a:schemeClr val="tx1">
                  <a:lumMod val="75000"/>
                  <a:lumOff val="25000"/>
                  <a:shade val="30000"/>
                  <a:satMod val="115000"/>
                </a:schemeClr>
              </a:gs>
              <a:gs pos="50000">
                <a:schemeClr val="tx1">
                  <a:lumMod val="75000"/>
                  <a:lumOff val="25000"/>
                  <a:shade val="67500"/>
                  <a:satMod val="115000"/>
                </a:schemeClr>
              </a:gs>
              <a:gs pos="100000">
                <a:schemeClr val="accent1"/>
              </a:gs>
            </a:gsLst>
            <a:lin ang="0" scaled="1"/>
            <a:tileRect/>
          </a:gradFill>
          <a:ln w="38100">
            <a:solidFill>
              <a:schemeClr val="bg1">
                <a:lumMod val="20000"/>
                <a:lumOff val="80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rgbClr val="FFFFFF"/>
              </a:solidFill>
            </a:endParaRPr>
          </a:p>
        </xdr:txBody>
      </xdr:sp>
      <mc:AlternateContent xmlns:mc="http://schemas.openxmlformats.org/markup-compatibility/2006">
        <mc:Choice xmlns:a14="http://schemas.microsoft.com/office/drawing/2010/main" Requires="a14">
          <xdr:sp macro="" textlink="">
            <xdr:nvSpPr>
              <xdr:cNvPr id="1026" name="Scroll Bar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9982496335" y="3420533"/>
                <a:ext cx="220133" cy="3124202"/>
              </a:xfrm>
              <a:prstGeom prst="rect">
                <a:avLst/>
              </a:prstGeom>
              <a:noFill/>
              <a:ln w="9525">
                <a:miter lim="800000"/>
                <a:headEnd/>
                <a:tailEnd/>
              </a:ln>
            </xdr:spPr>
          </xdr:sp>
        </mc:Choice>
        <mc:Fallback/>
      </mc:AlternateContent>
    </xdr:grpSp>
    <xdr:clientData/>
  </xdr:twoCellAnchor>
  <xdr:twoCellAnchor>
    <xdr:from>
      <xdr:col>0</xdr:col>
      <xdr:colOff>104708</xdr:colOff>
      <xdr:row>13</xdr:row>
      <xdr:rowOff>270933</xdr:rowOff>
    </xdr:from>
    <xdr:to>
      <xdr:col>10</xdr:col>
      <xdr:colOff>211599</xdr:colOff>
      <xdr:row>21</xdr:row>
      <xdr:rowOff>149858</xdr:rowOff>
    </xdr:to>
    <xdr:grpSp>
      <xdr:nvGrpSpPr>
        <xdr:cNvPr id="30" name="Group 29">
          <a:extLst>
            <a:ext uri="{FF2B5EF4-FFF2-40B4-BE49-F238E27FC236}">
              <a16:creationId xmlns:a16="http://schemas.microsoft.com/office/drawing/2014/main" id="{00000000-0008-0000-0000-00001E000000}"/>
            </a:ext>
          </a:extLst>
        </xdr:cNvPr>
        <xdr:cNvGrpSpPr/>
      </xdr:nvGrpSpPr>
      <xdr:grpSpPr>
        <a:xfrm>
          <a:off x="10982265801" y="2831253"/>
          <a:ext cx="7155391" cy="1844885"/>
          <a:chOff x="9982072999" y="2819401"/>
          <a:chExt cx="6539767" cy="2029458"/>
        </a:xfrm>
      </xdr:grpSpPr>
      <xdr:sp macro="" textlink="">
        <xdr:nvSpPr>
          <xdr:cNvPr id="110" name="Rectangle: Rounded Corners 109">
            <a:extLst>
              <a:ext uri="{FF2B5EF4-FFF2-40B4-BE49-F238E27FC236}">
                <a16:creationId xmlns:a16="http://schemas.microsoft.com/office/drawing/2014/main" id="{00000000-0008-0000-0000-00006E000000}"/>
              </a:ext>
            </a:extLst>
          </xdr:cNvPr>
          <xdr:cNvSpPr/>
        </xdr:nvSpPr>
        <xdr:spPr>
          <a:xfrm>
            <a:off x="9982161856" y="2844801"/>
            <a:ext cx="6450910" cy="1938863"/>
          </a:xfrm>
          <a:prstGeom prst="roundRect">
            <a:avLst>
              <a:gd name="adj" fmla="val 2917"/>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rgbClr val="FFFFFF"/>
              </a:solidFill>
            </a:endParaRPr>
          </a:p>
        </xdr:txBody>
      </xdr:sp>
      <xdr:sp macro="" textlink="">
        <xdr:nvSpPr>
          <xdr:cNvPr id="109" name="TextBox 108">
            <a:extLst>
              <a:ext uri="{FF2B5EF4-FFF2-40B4-BE49-F238E27FC236}">
                <a16:creationId xmlns:a16="http://schemas.microsoft.com/office/drawing/2014/main" id="{00000000-0008-0000-0000-00006D000000}"/>
              </a:ext>
            </a:extLst>
          </xdr:cNvPr>
          <xdr:cNvSpPr txBox="1"/>
        </xdr:nvSpPr>
        <xdr:spPr>
          <a:xfrm>
            <a:off x="9983826441" y="2836333"/>
            <a:ext cx="3004820" cy="2937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100" b="1" i="0" u="none" strike="noStrike" baseline="0">
                <a:solidFill>
                  <a:schemeClr val="accent2"/>
                </a:solidFill>
                <a:latin typeface="Calibri"/>
                <a:cs typeface="B Titr" panose="00000700000000000000" pitchFamily="2" charset="-78"/>
              </a:rPr>
              <a:t>بررسی ماهانه میانگین قیمت بار حمل شده</a:t>
            </a:r>
            <a:endParaRPr lang="en-US" sz="1100" b="1" i="0" u="none" strike="noStrike">
              <a:solidFill>
                <a:schemeClr val="accent2"/>
              </a:solidFill>
              <a:latin typeface="Calibri"/>
              <a:cs typeface="B Titr" panose="00000700000000000000" pitchFamily="2" charset="-78"/>
            </a:endParaRPr>
          </a:p>
        </xdr:txBody>
      </xdr:sp>
      <xdr:graphicFrame macro="">
        <xdr:nvGraphicFramePr>
          <xdr:cNvPr id="112" name="Chart 111">
            <a:extLst>
              <a:ext uri="{FF2B5EF4-FFF2-40B4-BE49-F238E27FC236}">
                <a16:creationId xmlns:a16="http://schemas.microsoft.com/office/drawing/2014/main" id="{00000000-0008-0000-0000-000070000000}"/>
              </a:ext>
            </a:extLst>
          </xdr:cNvPr>
          <xdr:cNvGraphicFramePr>
            <a:graphicFrameLocks/>
          </xdr:cNvGraphicFramePr>
        </xdr:nvGraphicFramePr>
        <xdr:xfrm>
          <a:off x="9982072999" y="3158066"/>
          <a:ext cx="6426200" cy="1690793"/>
        </xdr:xfrm>
        <a:graphic>
          <a:graphicData uri="http://schemas.openxmlformats.org/drawingml/2006/chart">
            <c:chart xmlns:c="http://schemas.openxmlformats.org/drawingml/2006/chart" xmlns:r="http://schemas.openxmlformats.org/officeDocument/2006/relationships" r:id="rId13"/>
          </a:graphicData>
        </a:graphic>
      </xdr:graphicFrame>
      <xdr:sp macro="" textlink="calc!BV5">
        <xdr:nvSpPr>
          <xdr:cNvPr id="113" name="TextBox 112">
            <a:extLst>
              <a:ext uri="{FF2B5EF4-FFF2-40B4-BE49-F238E27FC236}">
                <a16:creationId xmlns:a16="http://schemas.microsoft.com/office/drawing/2014/main" id="{00000000-0008-0000-0000-000071000000}"/>
              </a:ext>
            </a:extLst>
          </xdr:cNvPr>
          <xdr:cNvSpPr txBox="1"/>
        </xdr:nvSpPr>
        <xdr:spPr>
          <a:xfrm>
            <a:off x="9983973859" y="2819401"/>
            <a:ext cx="816941" cy="325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fld id="{21019D9E-FF21-47B3-8A40-3118DDD7A0E3}" type="TxLink">
              <a:rPr lang="en-US" sz="1400" b="1" i="0" u="none" strike="noStrike">
                <a:solidFill>
                  <a:schemeClr val="accent2"/>
                </a:solidFill>
                <a:latin typeface="Calibri"/>
                <a:cs typeface="B Nazanin" panose="00000400000000000000" pitchFamily="2" charset="-78"/>
              </a:rPr>
              <a:pPr algn="r" rtl="1"/>
              <a:t>1405</a:t>
            </a:fld>
            <a:endParaRPr lang="en-US" sz="1400" b="1" i="0" u="none" strike="noStrike">
              <a:solidFill>
                <a:schemeClr val="accent2"/>
              </a:solidFill>
              <a:latin typeface="Calibri"/>
              <a:cs typeface="B Nazanin" panose="00000400000000000000" pitchFamily="2" charset="-78"/>
            </a:endParaRPr>
          </a:p>
        </xdr:txBody>
      </xdr:sp>
    </xdr:grpSp>
    <xdr:clientData/>
  </xdr:twoCellAnchor>
  <xdr:twoCellAnchor>
    <xdr:from>
      <xdr:col>1</xdr:col>
      <xdr:colOff>1</xdr:colOff>
      <xdr:row>12</xdr:row>
      <xdr:rowOff>101796</xdr:rowOff>
    </xdr:from>
    <xdr:to>
      <xdr:col>2</xdr:col>
      <xdr:colOff>778587</xdr:colOff>
      <xdr:row>13</xdr:row>
      <xdr:rowOff>158007</xdr:rowOff>
    </xdr:to>
    <xdr:sp macro="" textlink="">
      <xdr:nvSpPr>
        <xdr:cNvPr id="121" name="TextBox 120">
          <a:extLst>
            <a:ext uri="{FF2B5EF4-FFF2-40B4-BE49-F238E27FC236}">
              <a16:creationId xmlns:a16="http://schemas.microsoft.com/office/drawing/2014/main" id="{00000000-0008-0000-0000-000079000000}"/>
            </a:ext>
          </a:extLst>
        </xdr:cNvPr>
        <xdr:cNvSpPr txBox="1"/>
      </xdr:nvSpPr>
      <xdr:spPr>
        <a:xfrm>
          <a:off x="9987322679" y="2582529"/>
          <a:ext cx="1125720" cy="293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endParaRPr lang="fa-IR" sz="1050" b="1" i="0" u="none" strike="noStrike">
            <a:solidFill>
              <a:srgbClr val="FFFFFF"/>
            </a:solidFill>
            <a:latin typeface="SamanBank" panose="00000500000000000000" pitchFamily="2" charset="-78"/>
            <a:cs typeface="B Nazanin" panose="00000400000000000000" pitchFamily="2" charset="-78"/>
          </a:endParaRPr>
        </a:p>
      </xdr:txBody>
    </xdr:sp>
    <xdr:clientData/>
  </xdr:twoCellAnchor>
  <xdr:twoCellAnchor>
    <xdr:from>
      <xdr:col>2</xdr:col>
      <xdr:colOff>720520</xdr:colOff>
      <xdr:row>12</xdr:row>
      <xdr:rowOff>140676</xdr:rowOff>
    </xdr:from>
    <xdr:to>
      <xdr:col>4</xdr:col>
      <xdr:colOff>119040</xdr:colOff>
      <xdr:row>13</xdr:row>
      <xdr:rowOff>144163</xdr:rowOff>
    </xdr:to>
    <xdr:sp macro="" textlink="">
      <xdr:nvSpPr>
        <xdr:cNvPr id="122" name="TextBox 121">
          <a:extLst>
            <a:ext uri="{FF2B5EF4-FFF2-40B4-BE49-F238E27FC236}">
              <a16:creationId xmlns:a16="http://schemas.microsoft.com/office/drawing/2014/main" id="{00000000-0008-0000-0000-00007A000000}"/>
            </a:ext>
          </a:extLst>
        </xdr:cNvPr>
        <xdr:cNvSpPr txBox="1"/>
      </xdr:nvSpPr>
      <xdr:spPr>
        <a:xfrm>
          <a:off x="9986255026" y="2621409"/>
          <a:ext cx="1125720" cy="2405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endParaRPr lang="fa-IR" sz="1050" b="1" i="0" u="none" strike="noStrike">
            <a:solidFill>
              <a:srgbClr val="FFFFFF"/>
            </a:solidFill>
            <a:latin typeface="SamanBank" panose="00000500000000000000" pitchFamily="2" charset="-78"/>
            <a:cs typeface="B Nazanin" panose="00000400000000000000" pitchFamily="2" charset="-78"/>
          </a:endParaRPr>
        </a:p>
      </xdr:txBody>
    </xdr:sp>
    <xdr:clientData/>
  </xdr:twoCellAnchor>
  <xdr:twoCellAnchor>
    <xdr:from>
      <xdr:col>2</xdr:col>
      <xdr:colOff>561345</xdr:colOff>
      <xdr:row>11</xdr:row>
      <xdr:rowOff>143933</xdr:rowOff>
    </xdr:from>
    <xdr:to>
      <xdr:col>2</xdr:col>
      <xdr:colOff>607064</xdr:colOff>
      <xdr:row>12</xdr:row>
      <xdr:rowOff>11852</xdr:rowOff>
    </xdr:to>
    <xdr:sp macro="" textlink="">
      <xdr:nvSpPr>
        <xdr:cNvPr id="124" name="TextBox 123">
          <a:extLst>
            <a:ext uri="{FF2B5EF4-FFF2-40B4-BE49-F238E27FC236}">
              <a16:creationId xmlns:a16="http://schemas.microsoft.com/office/drawing/2014/main" id="{00000000-0008-0000-0000-00007C000000}"/>
            </a:ext>
          </a:extLst>
        </xdr:cNvPr>
        <xdr:cNvSpPr txBox="1"/>
      </xdr:nvSpPr>
      <xdr:spPr>
        <a:xfrm flipH="1" flipV="1">
          <a:off x="10958866403" y="2387600"/>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1"/>
          <a:endParaRPr lang="en-US" sz="2400" b="1" i="0" u="none" strike="noStrike" cap="none" spc="0">
            <a:ln>
              <a:noFill/>
            </a:ln>
            <a:solidFill>
              <a:schemeClr val="accent6"/>
            </a:solidFill>
            <a:effectLst/>
            <a:latin typeface="Calibri"/>
            <a:ea typeface="+mn-ea"/>
            <a:cs typeface="Koodak" panose="00000700000000000000" pitchFamily="2" charset="-78"/>
          </a:endParaRPr>
        </a:p>
      </xdr:txBody>
    </xdr:sp>
    <xdr:clientData/>
  </xdr:twoCellAnchor>
  <xdr:twoCellAnchor>
    <xdr:from>
      <xdr:col>4</xdr:col>
      <xdr:colOff>260350</xdr:colOff>
      <xdr:row>12</xdr:row>
      <xdr:rowOff>177800</xdr:rowOff>
    </xdr:from>
    <xdr:to>
      <xdr:col>9</xdr:col>
      <xdr:colOff>319616</xdr:colOff>
      <xdr:row>13</xdr:row>
      <xdr:rowOff>203200</xdr:rowOff>
    </xdr:to>
    <xdr:sp macro="" textlink="">
      <xdr:nvSpPr>
        <xdr:cNvPr id="114" name="TextBox 113">
          <a:extLst>
            <a:ext uri="{FF2B5EF4-FFF2-40B4-BE49-F238E27FC236}">
              <a16:creationId xmlns:a16="http://schemas.microsoft.com/office/drawing/2014/main" id="{00000000-0008-0000-0000-000072000000}"/>
            </a:ext>
          </a:extLst>
        </xdr:cNvPr>
        <xdr:cNvSpPr txBox="1"/>
      </xdr:nvSpPr>
      <xdr:spPr>
        <a:xfrm>
          <a:off x="10920988234" y="2482850"/>
          <a:ext cx="3735916" cy="244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100" b="1" i="0">
              <a:solidFill>
                <a:schemeClr val="accent2"/>
              </a:solidFill>
              <a:effectLst/>
              <a:latin typeface="+mn-lt"/>
              <a:ea typeface="+mn-ea"/>
              <a:cs typeface="B Nazanin" panose="00000400000000000000" pitchFamily="2" charset="-78"/>
            </a:rPr>
            <a:t>مقدار کل سفارشات جاری باتوجه به مانده</a:t>
          </a:r>
          <a:r>
            <a:rPr lang="fa-IR" sz="1100" b="1" i="0" baseline="0">
              <a:solidFill>
                <a:schemeClr val="accent2"/>
              </a:solidFill>
              <a:effectLst/>
              <a:latin typeface="+mn-lt"/>
              <a:ea typeface="+mn-ea"/>
              <a:cs typeface="B Nazanin" panose="00000400000000000000" pitchFamily="2" charset="-78"/>
            </a:rPr>
            <a:t> تعهدات </a:t>
          </a:r>
          <a:r>
            <a:rPr lang="fa-IR" sz="1100" b="1" i="0">
              <a:solidFill>
                <a:schemeClr val="accent2"/>
              </a:solidFill>
              <a:effectLst/>
              <a:latin typeface="+mn-lt"/>
              <a:ea typeface="+mn-ea"/>
              <a:cs typeface="B Nazanin" panose="00000400000000000000" pitchFamily="2" charset="-78"/>
            </a:rPr>
            <a:t>سال گذشته</a:t>
          </a:r>
          <a:r>
            <a:rPr lang="fa-IR" sz="1100" b="1" i="0" baseline="0">
              <a:solidFill>
                <a:schemeClr val="accent2"/>
              </a:solidFill>
              <a:effectLst/>
              <a:latin typeface="+mn-lt"/>
              <a:ea typeface="+mn-ea"/>
              <a:cs typeface="B Nazanin" panose="00000400000000000000" pitchFamily="2" charset="-78"/>
            </a:rPr>
            <a:t> </a:t>
          </a:r>
          <a:r>
            <a:rPr lang="fa-IR" sz="1100" b="1" i="0">
              <a:solidFill>
                <a:schemeClr val="accent2"/>
              </a:solidFill>
              <a:effectLst/>
              <a:latin typeface="+mn-lt"/>
              <a:ea typeface="+mn-ea"/>
              <a:cs typeface="B Nazanin" panose="00000400000000000000" pitchFamily="2" charset="-78"/>
            </a:rPr>
            <a:t>است</a:t>
          </a:r>
          <a:endParaRPr lang="fa-IR" sz="1050" b="1" i="0" u="none" strike="noStrike">
            <a:solidFill>
              <a:schemeClr val="accent2"/>
            </a:solidFill>
            <a:latin typeface="SamanBank" panose="00000500000000000000" pitchFamily="2" charset="-78"/>
            <a:cs typeface="B Nazanin" panose="00000400000000000000" pitchFamily="2" charset="-78"/>
          </a:endParaRPr>
        </a:p>
      </xdr:txBody>
    </xdr:sp>
    <xdr:clientData/>
  </xdr:twoCellAnchor>
  <xdr:oneCellAnchor>
    <xdr:from>
      <xdr:col>18</xdr:col>
      <xdr:colOff>615949</xdr:colOff>
      <xdr:row>14</xdr:row>
      <xdr:rowOff>29633</xdr:rowOff>
    </xdr:from>
    <xdr:ext cx="1466850" cy="245533"/>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9975723001" y="3033183"/>
          <a:ext cx="1466850" cy="2455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1" anchor="t">
          <a:noAutofit/>
        </a:bodyPr>
        <a:lstStyle/>
        <a:p>
          <a:pPr algn="r" rtl="1"/>
          <a:r>
            <a:rPr lang="fa-IR" sz="900" b="1">
              <a:solidFill>
                <a:schemeClr val="bg1">
                  <a:lumMod val="20000"/>
                  <a:lumOff val="80000"/>
                </a:schemeClr>
              </a:solidFill>
              <a:cs typeface="B Nazanin" panose="00000400000000000000" pitchFamily="2" charset="-78"/>
            </a:rPr>
            <a:t>میانگین قیمت</a:t>
          </a:r>
          <a:r>
            <a:rPr lang="en-US" sz="900" b="1" baseline="0">
              <a:solidFill>
                <a:schemeClr val="bg1">
                  <a:lumMod val="20000"/>
                  <a:lumOff val="80000"/>
                </a:schemeClr>
              </a:solidFill>
              <a:cs typeface="B Nazanin" panose="00000400000000000000" pitchFamily="2" charset="-78"/>
            </a:rPr>
            <a:t> </a:t>
          </a:r>
          <a:r>
            <a:rPr lang="fa-IR" sz="900" b="1" baseline="0">
              <a:solidFill>
                <a:schemeClr val="bg1">
                  <a:lumMod val="20000"/>
                  <a:lumOff val="80000"/>
                </a:schemeClr>
              </a:solidFill>
              <a:cs typeface="B Nazanin" panose="00000400000000000000" pitchFamily="2" charset="-78"/>
            </a:rPr>
            <a:t>حمل نشده (ریال)</a:t>
          </a:r>
          <a:endParaRPr lang="fa-IR" sz="900" b="1">
            <a:solidFill>
              <a:schemeClr val="bg1">
                <a:lumMod val="20000"/>
                <a:lumOff val="80000"/>
              </a:schemeClr>
            </a:solidFill>
            <a:cs typeface="B Nazanin" panose="00000400000000000000" pitchFamily="2" charset="-78"/>
          </a:endParaRPr>
        </a:p>
      </xdr:txBody>
    </xdr:sp>
    <xdr:clientData/>
  </xdr:oneCellAnchor>
  <xdr:twoCellAnchor>
    <xdr:from>
      <xdr:col>31</xdr:col>
      <xdr:colOff>1170719</xdr:colOff>
      <xdr:row>1</xdr:row>
      <xdr:rowOff>158297</xdr:rowOff>
    </xdr:from>
    <xdr:to>
      <xdr:col>36</xdr:col>
      <xdr:colOff>265131</xdr:colOff>
      <xdr:row>13</xdr:row>
      <xdr:rowOff>212731</xdr:rowOff>
    </xdr:to>
    <xdr:grpSp>
      <xdr:nvGrpSpPr>
        <xdr:cNvPr id="41" name="Group 40">
          <a:extLst>
            <a:ext uri="{FF2B5EF4-FFF2-40B4-BE49-F238E27FC236}">
              <a16:creationId xmlns:a16="http://schemas.microsoft.com/office/drawing/2014/main" id="{00000000-0008-0000-0000-000029000000}"/>
            </a:ext>
          </a:extLst>
        </xdr:cNvPr>
        <xdr:cNvGrpSpPr/>
      </xdr:nvGrpSpPr>
      <xdr:grpSpPr>
        <a:xfrm>
          <a:off x="10962301209" y="386897"/>
          <a:ext cx="2912032" cy="2386154"/>
          <a:chOff x="9965701832" y="996901"/>
          <a:chExt cx="2730075" cy="865059"/>
        </a:xfrm>
      </xdr:grpSpPr>
      <xdr:grpSp>
        <xdr:nvGrpSpPr>
          <xdr:cNvPr id="32" name="Group 31">
            <a:extLst>
              <a:ext uri="{FF2B5EF4-FFF2-40B4-BE49-F238E27FC236}">
                <a16:creationId xmlns:a16="http://schemas.microsoft.com/office/drawing/2014/main" id="{00000000-0008-0000-0000-000020000000}"/>
              </a:ext>
            </a:extLst>
          </xdr:cNvPr>
          <xdr:cNvGrpSpPr/>
        </xdr:nvGrpSpPr>
        <xdr:grpSpPr>
          <a:xfrm>
            <a:off x="9965701832" y="996901"/>
            <a:ext cx="2730075" cy="482243"/>
            <a:chOff x="9965701832" y="996901"/>
            <a:chExt cx="2730075" cy="482243"/>
          </a:xfrm>
        </xdr:grpSpPr>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9965701832" y="996901"/>
              <a:ext cx="2730075"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algn="ctr" rtl="1"/>
              <a:r>
                <a:rPr lang="fa-IR" sz="1400" b="1" i="0" u="none" strike="noStrike" baseline="0">
                  <a:solidFill>
                    <a:srgbClr val="FFFFFF"/>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Koodak" panose="00000700000000000000" pitchFamily="2" charset="-78"/>
                </a:rPr>
                <a:t>میانگین قیمت بار حمل شده سال </a:t>
              </a:r>
            </a:p>
          </xdr:txBody>
        </xdr:sp>
        <xdr:sp macro="" textlink="year">
          <xdr:nvSpPr>
            <xdr:cNvPr id="31" name="TextBox 30">
              <a:extLst>
                <a:ext uri="{FF2B5EF4-FFF2-40B4-BE49-F238E27FC236}">
                  <a16:creationId xmlns:a16="http://schemas.microsoft.com/office/drawing/2014/main" id="{00000000-0008-0000-0000-00001F000000}"/>
                </a:ext>
              </a:extLst>
            </xdr:cNvPr>
            <xdr:cNvSpPr txBox="1"/>
          </xdr:nvSpPr>
          <xdr:spPr>
            <a:xfrm>
              <a:off x="9966368327" y="1182382"/>
              <a:ext cx="1396252"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algn="ctr" rtl="1"/>
              <a:fld id="{83FB68DC-B06E-4539-BD54-FAF5FFAE43E2}" type="TxLink">
                <a:rPr lang="en-US" sz="20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algn="ctr" rtl="1"/>
                <a:t>1405</a:t>
              </a:fld>
              <a:endParaRPr lang="fa-IR" sz="20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Koodak" panose="00000700000000000000" pitchFamily="2" charset="-78"/>
              </a:endParaRPr>
            </a:p>
          </xdr:txBody>
        </xdr:sp>
      </xdr:grpSp>
      <xdr:sp macro="" textlink="calc!DA7">
        <xdr:nvSpPr>
          <xdr:cNvPr id="33" name="TextBox 32">
            <a:extLst>
              <a:ext uri="{FF2B5EF4-FFF2-40B4-BE49-F238E27FC236}">
                <a16:creationId xmlns:a16="http://schemas.microsoft.com/office/drawing/2014/main" id="{00000000-0008-0000-0000-000021000000}"/>
              </a:ext>
            </a:extLst>
          </xdr:cNvPr>
          <xdr:cNvSpPr txBox="1"/>
        </xdr:nvSpPr>
        <xdr:spPr>
          <a:xfrm>
            <a:off x="9966109646" y="1164389"/>
            <a:ext cx="1953186" cy="697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algn="ctr" rtl="1"/>
            <a:fld id="{D16009A5-37D6-4F3C-A76D-1BD23D9A0219}" type="TxLink">
              <a:rPr lang="en-US" sz="2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algn="ctr" rtl="1"/>
              <a:t> 146,292 </a:t>
            </a:fld>
            <a:endParaRPr lang="fa-IR" sz="32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Koodak" panose="00000700000000000000" pitchFamily="2" charset="-78"/>
            </a:endParaRPr>
          </a:p>
        </xdr:txBody>
      </xdr:sp>
    </xdr:grpSp>
    <xdr:clientData/>
  </xdr:twoCellAnchor>
  <xdr:twoCellAnchor>
    <xdr:from>
      <xdr:col>24</xdr:col>
      <xdr:colOff>160865</xdr:colOff>
      <xdr:row>14</xdr:row>
      <xdr:rowOff>59266</xdr:rowOff>
    </xdr:from>
    <xdr:to>
      <xdr:col>35</xdr:col>
      <xdr:colOff>668864</xdr:colOff>
      <xdr:row>16</xdr:row>
      <xdr:rowOff>216219</xdr:rowOff>
    </xdr:to>
    <xdr:graphicFrame macro="">
      <xdr:nvGraphicFramePr>
        <xdr:cNvPr id="40" name="Chart 39">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16</xdr:col>
      <xdr:colOff>530827</xdr:colOff>
      <xdr:row>14</xdr:row>
      <xdr:rowOff>16935</xdr:rowOff>
    </xdr:from>
    <xdr:to>
      <xdr:col>18</xdr:col>
      <xdr:colOff>717627</xdr:colOff>
      <xdr:row>16</xdr:row>
      <xdr:rowOff>47236</xdr:rowOff>
    </xdr:to>
    <xdr:grpSp>
      <xdr:nvGrpSpPr>
        <xdr:cNvPr id="52" name="Group 51">
          <a:extLst>
            <a:ext uri="{FF2B5EF4-FFF2-40B4-BE49-F238E27FC236}">
              <a16:creationId xmlns:a16="http://schemas.microsoft.com/office/drawing/2014/main" id="{00000000-0008-0000-0000-000034000000}"/>
            </a:ext>
          </a:extLst>
        </xdr:cNvPr>
        <xdr:cNvGrpSpPr/>
      </xdr:nvGrpSpPr>
      <xdr:grpSpPr>
        <a:xfrm>
          <a:off x="10974977973" y="2897295"/>
          <a:ext cx="1893680" cy="647521"/>
          <a:chOff x="9977561493" y="1193441"/>
          <a:chExt cx="1806420" cy="655185"/>
        </a:xfrm>
      </xdr:grpSpPr>
      <xdr:grpSp>
        <xdr:nvGrpSpPr>
          <xdr:cNvPr id="53" name="Group 52">
            <a:extLst>
              <a:ext uri="{FF2B5EF4-FFF2-40B4-BE49-F238E27FC236}">
                <a16:creationId xmlns:a16="http://schemas.microsoft.com/office/drawing/2014/main" id="{00000000-0008-0000-0000-000035000000}"/>
              </a:ext>
            </a:extLst>
          </xdr:cNvPr>
          <xdr:cNvGrpSpPr/>
        </xdr:nvGrpSpPr>
        <xdr:grpSpPr>
          <a:xfrm>
            <a:off x="9977561493" y="1193441"/>
            <a:ext cx="1806420" cy="313781"/>
            <a:chOff x="9977561493" y="1193441"/>
            <a:chExt cx="1806420" cy="313781"/>
          </a:xfrm>
        </xdr:grpSpPr>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9977572979" y="1193441"/>
              <a:ext cx="1794934"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r" rtl="1"/>
              <a:r>
                <a:rPr lang="fa-IR" sz="900" b="1" i="0" u="none" strike="noStrike">
                  <a:solidFill>
                    <a:srgbClr val="FFFFFF"/>
                  </a:solidFill>
                  <a:latin typeface="Calibri"/>
                  <a:ea typeface="+mn-ea"/>
                  <a:cs typeface="B Nazanin" panose="00000400000000000000" pitchFamily="2" charset="-78"/>
                </a:rPr>
                <a:t>میانگین قیمت</a:t>
              </a:r>
              <a:r>
                <a:rPr lang="en-US" sz="900" b="1" i="0" u="none" strike="noStrike">
                  <a:solidFill>
                    <a:srgbClr val="FFFFFF"/>
                  </a:solidFill>
                  <a:latin typeface="Calibri"/>
                  <a:ea typeface="+mn-ea"/>
                  <a:cs typeface="B Nazanin" panose="00000400000000000000" pitchFamily="2" charset="-78"/>
                </a:rPr>
                <a:t> </a:t>
              </a:r>
              <a:r>
                <a:rPr lang="fa-IR" sz="900" b="1" i="0" u="none" strike="noStrike">
                  <a:solidFill>
                    <a:srgbClr val="FFFFFF"/>
                  </a:solidFill>
                  <a:latin typeface="Calibri"/>
                  <a:ea typeface="+mn-ea"/>
                  <a:cs typeface="B Nazanin" panose="00000400000000000000" pitchFamily="2" charset="-78"/>
                </a:rPr>
                <a:t>حمل شده سال </a:t>
              </a:r>
            </a:p>
          </xdr:txBody>
        </xdr:sp>
        <xdr:sp macro="" textlink="year">
          <xdr:nvSpPr>
            <xdr:cNvPr id="59" name="TextBox 58">
              <a:extLst>
                <a:ext uri="{FF2B5EF4-FFF2-40B4-BE49-F238E27FC236}">
                  <a16:creationId xmlns:a16="http://schemas.microsoft.com/office/drawing/2014/main" id="{00000000-0008-0000-0000-00003B000000}"/>
                </a:ext>
              </a:extLst>
            </xdr:cNvPr>
            <xdr:cNvSpPr txBox="1"/>
          </xdr:nvSpPr>
          <xdr:spPr>
            <a:xfrm>
              <a:off x="9977561493" y="1210460"/>
              <a:ext cx="558801" cy="29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r" rtl="1"/>
              <a:fld id="{83FB68DC-B06E-4539-BD54-FAF5FFAE43E2}" type="TxLink">
                <a:rPr lang="en-US" sz="1100" b="1" i="0" u="none" strike="noStrike">
                  <a:solidFill>
                    <a:srgbClr val="FFFFFF"/>
                  </a:solidFill>
                  <a:latin typeface="Calibri"/>
                  <a:ea typeface="+mn-ea"/>
                  <a:cs typeface="B Nazanin" panose="00000400000000000000" pitchFamily="2" charset="-78"/>
                </a:rPr>
                <a:pPr marL="0" indent="0" algn="r" rtl="1"/>
                <a:t>1405</a:t>
              </a:fld>
              <a:endParaRPr lang="fa-IR" sz="1100" b="1" i="0" u="none" strike="noStrike">
                <a:solidFill>
                  <a:srgbClr val="FFFFFF"/>
                </a:solidFill>
                <a:latin typeface="Calibri"/>
                <a:ea typeface="+mn-ea"/>
                <a:cs typeface="B Nazanin" panose="00000400000000000000" pitchFamily="2" charset="-78"/>
              </a:endParaRPr>
            </a:p>
          </xdr:txBody>
        </xdr:sp>
      </xdr:grpSp>
      <xdr:sp macro="" textlink="calc!DA13">
        <xdr:nvSpPr>
          <xdr:cNvPr id="54" name="TextBox 53">
            <a:extLst>
              <a:ext uri="{FF2B5EF4-FFF2-40B4-BE49-F238E27FC236}">
                <a16:creationId xmlns:a16="http://schemas.microsoft.com/office/drawing/2014/main" id="{00000000-0008-0000-0000-000036000000}"/>
              </a:ext>
            </a:extLst>
          </xdr:cNvPr>
          <xdr:cNvSpPr txBox="1"/>
        </xdr:nvSpPr>
        <xdr:spPr>
          <a:xfrm>
            <a:off x="9977569031" y="1357560"/>
            <a:ext cx="1320507" cy="4910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r" rtl="1"/>
            <a:fld id="{185DC977-FCAB-4354-B6F7-BDF35C7EA28F}" type="TxLink">
              <a:rPr lang="en-US" sz="1400" b="1" i="0" u="none" strike="noStrike">
                <a:solidFill>
                  <a:schemeClr val="accent2"/>
                </a:solidFill>
                <a:latin typeface="Calibri"/>
                <a:ea typeface="+mn-ea"/>
                <a:cs typeface="B Nazanin"/>
              </a:rPr>
              <a:pPr marL="0" indent="0" algn="r" rtl="1"/>
              <a:t> 125,000 </a:t>
            </a:fld>
            <a:endParaRPr lang="fa-IR" sz="1800" b="1" i="0" u="none" strike="noStrike">
              <a:solidFill>
                <a:schemeClr val="accent2"/>
              </a:solidFill>
              <a:latin typeface="Calibri"/>
              <a:ea typeface="+mn-ea"/>
              <a:cs typeface="B Nazanin" panose="00000400000000000000" pitchFamily="2" charset="-78"/>
            </a:endParaRPr>
          </a:p>
        </xdr:txBody>
      </xdr:sp>
    </xdr:grpSp>
    <xdr:clientData/>
  </xdr:twoCellAnchor>
  <xdr:twoCellAnchor>
    <xdr:from>
      <xdr:col>33</xdr:col>
      <xdr:colOff>142875</xdr:colOff>
      <xdr:row>11</xdr:row>
      <xdr:rowOff>69396</xdr:rowOff>
    </xdr:from>
    <xdr:to>
      <xdr:col>36</xdr:col>
      <xdr:colOff>19050</xdr:colOff>
      <xdr:row>14</xdr:row>
      <xdr:rowOff>25854</xdr:rowOff>
    </xdr:to>
    <xdr:sp macro="" textlink="">
      <xdr:nvSpPr>
        <xdr:cNvPr id="42" name="Rectangle: Rounded Corners 41">
          <a:extLst>
            <a:ext uri="{FF2B5EF4-FFF2-40B4-BE49-F238E27FC236}">
              <a16:creationId xmlns:a16="http://schemas.microsoft.com/office/drawing/2014/main" id="{00000000-0008-0000-0000-00002A000000}"/>
            </a:ext>
          </a:extLst>
        </xdr:cNvPr>
        <xdr:cNvSpPr/>
      </xdr:nvSpPr>
      <xdr:spPr>
        <a:xfrm>
          <a:off x="11004073750" y="2228396"/>
          <a:ext cx="2428875" cy="667658"/>
        </a:xfrm>
        <a:prstGeom prst="roundRect">
          <a:avLst>
            <a:gd name="adj" fmla="val 9359"/>
          </a:avLst>
        </a:prstGeom>
        <a:solidFill>
          <a:srgbClr val="2E3236"/>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rtl="1"/>
          <a:r>
            <a:rPr lang="fa-IR" sz="1200" b="1">
              <a:solidFill>
                <a:srgbClr val="FFFFFF"/>
              </a:solidFill>
              <a:cs typeface="B Nazanin" panose="00000400000000000000" pitchFamily="2" charset="-78"/>
            </a:rPr>
            <a:t>نمودار میانگین قیمت حمل</a:t>
          </a:r>
          <a:r>
            <a:rPr lang="fa-IR" sz="1200" b="1" baseline="0">
              <a:solidFill>
                <a:srgbClr val="FFFFFF"/>
              </a:solidFill>
              <a:cs typeface="B Nazanin" panose="00000400000000000000" pitchFamily="2" charset="-78"/>
            </a:rPr>
            <a:t> شده</a:t>
          </a:r>
          <a:r>
            <a:rPr lang="fa-IR" sz="1200" b="1">
              <a:solidFill>
                <a:srgbClr val="FFFFFF"/>
              </a:solidFill>
              <a:cs typeface="B Nazanin" panose="00000400000000000000" pitchFamily="2" charset="-78"/>
            </a:rPr>
            <a:t> </a:t>
          </a:r>
          <a:endParaRPr lang="en-US" sz="1200" b="1">
            <a:solidFill>
              <a:srgbClr val="FFFFFF"/>
            </a:solidFill>
            <a:cs typeface="B Nazanin" panose="00000400000000000000" pitchFamily="2" charset="-78"/>
          </a:endParaRPr>
        </a:p>
      </xdr:txBody>
    </xdr:sp>
    <xdr:clientData/>
  </xdr:twoCellAnchor>
  <xdr:twoCellAnchor>
    <xdr:from>
      <xdr:col>33</xdr:col>
      <xdr:colOff>560917</xdr:colOff>
      <xdr:row>12</xdr:row>
      <xdr:rowOff>4416</xdr:rowOff>
    </xdr:from>
    <xdr:to>
      <xdr:col>36</xdr:col>
      <xdr:colOff>40218</xdr:colOff>
      <xdr:row>14</xdr:row>
      <xdr:rowOff>167217</xdr:rowOff>
    </xdr:to>
    <xdr:sp macro="" textlink="calc!AA3">
      <xdr:nvSpPr>
        <xdr:cNvPr id="43" name="TextBox 42">
          <a:extLst>
            <a:ext uri="{FF2B5EF4-FFF2-40B4-BE49-F238E27FC236}">
              <a16:creationId xmlns:a16="http://schemas.microsoft.com/office/drawing/2014/main" id="{00000000-0008-0000-0000-00002B000000}"/>
            </a:ext>
          </a:extLst>
        </xdr:cNvPr>
        <xdr:cNvSpPr txBox="1"/>
      </xdr:nvSpPr>
      <xdr:spPr>
        <a:xfrm>
          <a:off x="10035108199" y="2544416"/>
          <a:ext cx="1701801" cy="723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200" b="1" i="0" u="none" strike="noStrike">
              <a:solidFill>
                <a:srgbClr val="FFFFFF"/>
              </a:solidFill>
              <a:latin typeface="Calibri"/>
              <a:cs typeface="B Nazanin" panose="00000400000000000000" pitchFamily="2" charset="-78"/>
            </a:rPr>
            <a:t>به</a:t>
          </a:r>
          <a:r>
            <a:rPr lang="fa-IR" sz="1200" b="1" i="0" u="none" strike="noStrike" baseline="0">
              <a:solidFill>
                <a:srgbClr val="FFFFFF"/>
              </a:solidFill>
              <a:latin typeface="Calibri"/>
              <a:cs typeface="B Nazanin" panose="00000400000000000000" pitchFamily="2" charset="-78"/>
            </a:rPr>
            <a:t> تفکیک ماه</a:t>
          </a:r>
          <a:endParaRPr lang="en-US" sz="1200" b="1" i="0" u="none" strike="noStrike">
            <a:solidFill>
              <a:srgbClr val="FFFFFF"/>
            </a:solidFill>
            <a:latin typeface="Calibri"/>
            <a:cs typeface="B Nazanin" panose="00000400000000000000" pitchFamily="2" charset="-78"/>
          </a:endParaRPr>
        </a:p>
      </xdr:txBody>
    </xdr:sp>
    <xdr:clientData/>
  </xdr:twoCellAnchor>
  <xdr:twoCellAnchor>
    <xdr:from>
      <xdr:col>22</xdr:col>
      <xdr:colOff>923925</xdr:colOff>
      <xdr:row>15</xdr:row>
      <xdr:rowOff>247649</xdr:rowOff>
    </xdr:from>
    <xdr:to>
      <xdr:col>23</xdr:col>
      <xdr:colOff>263493</xdr:colOff>
      <xdr:row>37</xdr:row>
      <xdr:rowOff>28575</xdr:rowOff>
    </xdr:to>
    <xdr:grpSp>
      <xdr:nvGrpSpPr>
        <xdr:cNvPr id="45" name="Group 44">
          <a:extLst>
            <a:ext uri="{FF2B5EF4-FFF2-40B4-BE49-F238E27FC236}">
              <a16:creationId xmlns:a16="http://schemas.microsoft.com/office/drawing/2014/main" id="{00000000-0008-0000-0000-00002D000000}"/>
            </a:ext>
          </a:extLst>
        </xdr:cNvPr>
        <xdr:cNvGrpSpPr/>
      </xdr:nvGrpSpPr>
      <xdr:grpSpPr>
        <a:xfrm>
          <a:off x="10971081087" y="3448049"/>
          <a:ext cx="299688" cy="4581526"/>
          <a:chOff x="9982470239" y="3386756"/>
          <a:chExt cx="302168" cy="3191933"/>
        </a:xfrm>
      </xdr:grpSpPr>
      <xdr:sp macro="" textlink="">
        <xdr:nvSpPr>
          <xdr:cNvPr id="50" name="Rectangle: Rounded Corners 49">
            <a:extLst>
              <a:ext uri="{FF2B5EF4-FFF2-40B4-BE49-F238E27FC236}">
                <a16:creationId xmlns:a16="http://schemas.microsoft.com/office/drawing/2014/main" id="{00000000-0008-0000-0000-000032000000}"/>
              </a:ext>
            </a:extLst>
          </xdr:cNvPr>
          <xdr:cNvSpPr/>
        </xdr:nvSpPr>
        <xdr:spPr>
          <a:xfrm>
            <a:off x="9982470239" y="3386756"/>
            <a:ext cx="302168" cy="3191933"/>
          </a:xfrm>
          <a:prstGeom prst="roundRect">
            <a:avLst>
              <a:gd name="adj" fmla="val 20866"/>
            </a:avLst>
          </a:prstGeom>
          <a:solidFill>
            <a:schemeClr val="bg1">
              <a:lumMod val="75000"/>
            </a:schemeClr>
          </a:solidFill>
          <a:ln w="38100">
            <a:solidFill>
              <a:srgbClr val="2E3236"/>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solidFill>
                <a:srgbClr val="FFFFFF"/>
              </a:solidFill>
            </a:endParaRPr>
          </a:p>
        </xdr:txBody>
      </xdr:sp>
      <mc:AlternateContent xmlns:mc="http://schemas.openxmlformats.org/markup-compatibility/2006">
        <mc:Choice xmlns:a14="http://schemas.microsoft.com/office/drawing/2010/main" Requires="a14">
          <xdr:sp macro="" textlink="">
            <xdr:nvSpPr>
              <xdr:cNvPr id="1031" name="Scroll Bar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9982524440" y="3413924"/>
                <a:ext cx="196475" cy="3124201"/>
              </a:xfrm>
              <a:prstGeom prst="rect">
                <a:avLst/>
              </a:prstGeom>
              <a:noFill/>
              <a:ln w="9525">
                <a:miter lim="800000"/>
                <a:headEnd/>
                <a:tailEnd/>
              </a:ln>
            </xdr:spPr>
          </xdr:sp>
        </mc:Choice>
        <mc:Fallback/>
      </mc:AlternateContent>
    </xdr:grpSp>
    <xdr:clientData/>
  </xdr:twoCellAnchor>
  <xdr:twoCellAnchor>
    <xdr:from>
      <xdr:col>33</xdr:col>
      <xdr:colOff>391584</xdr:colOff>
      <xdr:row>12</xdr:row>
      <xdr:rowOff>194733</xdr:rowOff>
    </xdr:from>
    <xdr:to>
      <xdr:col>34</xdr:col>
      <xdr:colOff>338668</xdr:colOff>
      <xdr:row>14</xdr:row>
      <xdr:rowOff>67733</xdr:rowOff>
    </xdr:to>
    <xdr:sp macro="" textlink="year">
      <xdr:nvSpPr>
        <xdr:cNvPr id="11" name="TextBox 10">
          <a:extLst>
            <a:ext uri="{FF2B5EF4-FFF2-40B4-BE49-F238E27FC236}">
              <a16:creationId xmlns:a16="http://schemas.microsoft.com/office/drawing/2014/main" id="{08315F83-48DB-4102-8278-AD63B2C73173}"/>
            </a:ext>
          </a:extLst>
        </xdr:cNvPr>
        <xdr:cNvSpPr txBox="1"/>
      </xdr:nvSpPr>
      <xdr:spPr>
        <a:xfrm>
          <a:off x="10036291416" y="2734733"/>
          <a:ext cx="687917" cy="43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algn="ctr" rtl="1"/>
          <a:fld id="{83FB68DC-B06E-4539-BD54-FAF5FFAE43E2}" type="TxLink">
            <a:rPr lang="en-US" sz="14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algn="ctr" rtl="1"/>
            <a:t>1405</a:t>
          </a:fld>
          <a:endParaRPr lang="fa-IR" sz="14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Koodak" panose="00000700000000000000" pitchFamily="2" charset="-78"/>
          </a:endParaRPr>
        </a:p>
      </xdr:txBody>
    </xdr:sp>
    <xdr:clientData/>
  </xdr:twoCellAnchor>
  <xdr:twoCellAnchor>
    <xdr:from>
      <xdr:col>10</xdr:col>
      <xdr:colOff>335280</xdr:colOff>
      <xdr:row>38</xdr:row>
      <xdr:rowOff>112485</xdr:rowOff>
    </xdr:from>
    <xdr:to>
      <xdr:col>23</xdr:col>
      <xdr:colOff>24493</xdr:colOff>
      <xdr:row>51</xdr:row>
      <xdr:rowOff>78620</xdr:rowOff>
    </xdr:to>
    <xdr:grpSp>
      <xdr:nvGrpSpPr>
        <xdr:cNvPr id="1034" name="Group 1033">
          <a:extLst>
            <a:ext uri="{FF2B5EF4-FFF2-40B4-BE49-F238E27FC236}">
              <a16:creationId xmlns:a16="http://schemas.microsoft.com/office/drawing/2014/main" id="{0DF19A20-4221-4E69-B05E-42C14B2ABB8C}"/>
            </a:ext>
          </a:extLst>
        </xdr:cNvPr>
        <xdr:cNvGrpSpPr/>
      </xdr:nvGrpSpPr>
      <xdr:grpSpPr>
        <a:xfrm>
          <a:off x="10971320087" y="8288745"/>
          <a:ext cx="10822033" cy="2244515"/>
          <a:chOff x="9983854167" y="8324850"/>
          <a:chExt cx="6423033" cy="3152776"/>
        </a:xfrm>
      </xdr:grpSpPr>
      <xdr:sp macro="" textlink="">
        <xdr:nvSpPr>
          <xdr:cNvPr id="1035" name="Rectangle: Rounded Corners 1034">
            <a:extLst>
              <a:ext uri="{FF2B5EF4-FFF2-40B4-BE49-F238E27FC236}">
                <a16:creationId xmlns:a16="http://schemas.microsoft.com/office/drawing/2014/main" id="{BA1A18A8-991E-03EB-4C33-4D82F628F90C}"/>
              </a:ext>
            </a:extLst>
          </xdr:cNvPr>
          <xdr:cNvSpPr/>
        </xdr:nvSpPr>
        <xdr:spPr>
          <a:xfrm>
            <a:off x="9983854167" y="8324850"/>
            <a:ext cx="6403983" cy="3152776"/>
          </a:xfrm>
          <a:prstGeom prst="roundRect">
            <a:avLst>
              <a:gd name="adj" fmla="val 2917"/>
            </a:avLst>
          </a:prstGeom>
          <a:solidFill>
            <a:srgbClr val="2A2E32"/>
          </a:solidFill>
          <a:ln w="38100" cap="flat" cmpd="sng" algn="ctr">
            <a:noFill/>
            <a:prstDash val="solid"/>
            <a:miter lim="800000"/>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FFBF08"/>
              </a:solidFill>
              <a:effectLst/>
              <a:uLnTx/>
              <a:uFillTx/>
              <a:latin typeface="Calibri" panose="020F0502020204030204"/>
              <a:ea typeface="+mn-ea"/>
              <a:cs typeface="+mn-cs"/>
            </a:endParaRPr>
          </a:p>
        </xdr:txBody>
      </xdr:sp>
      <xdr:graphicFrame macro="">
        <xdr:nvGraphicFramePr>
          <xdr:cNvPr id="1036" name="Chart 1035">
            <a:extLst>
              <a:ext uri="{FF2B5EF4-FFF2-40B4-BE49-F238E27FC236}">
                <a16:creationId xmlns:a16="http://schemas.microsoft.com/office/drawing/2014/main" id="{C5B67BC7-EE12-B6C2-834E-7A3AF3844CB8}"/>
              </a:ext>
            </a:extLst>
          </xdr:cNvPr>
          <xdr:cNvGraphicFramePr>
            <a:graphicFrameLocks/>
          </xdr:cNvGraphicFramePr>
        </xdr:nvGraphicFramePr>
        <xdr:xfrm>
          <a:off x="9983914500" y="8924924"/>
          <a:ext cx="6362700" cy="2373795"/>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mc:AlternateContent xmlns:mc="http://schemas.openxmlformats.org/markup-compatibility/2006">
    <mc:Choice xmlns:a14="http://schemas.microsoft.com/office/drawing/2010/main" Requires="a14">
      <xdr:twoCellAnchor editAs="oneCell">
        <xdr:from>
          <xdr:col>21</xdr:col>
          <xdr:colOff>792480</xdr:colOff>
          <xdr:row>39</xdr:row>
          <xdr:rowOff>60960</xdr:rowOff>
        </xdr:from>
        <xdr:to>
          <xdr:col>22</xdr:col>
          <xdr:colOff>845820</xdr:colOff>
          <xdr:row>41</xdr:row>
          <xdr:rowOff>45720</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00FF00" mc:Ignorable="a14" a14:legacySpreadsheetColorIndex="1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0" tIns="27432" rIns="27432" bIns="27432" anchor="ctr" upright="1"/>
            <a:lstStyle/>
            <a:p>
              <a:pPr algn="r" rtl="1">
                <a:defRPr sz="1000"/>
              </a:pPr>
              <a:r>
                <a:rPr lang="fa-IR" sz="800" b="0" i="0" u="none" strike="noStrike" baseline="0">
                  <a:solidFill>
                    <a:srgbClr val="000000"/>
                  </a:solidFill>
                  <a:latin typeface="Segoe UI"/>
                  <a:cs typeface="Segoe UI"/>
                </a:rPr>
                <a:t>عادی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754380</xdr:colOff>
          <xdr:row>39</xdr:row>
          <xdr:rowOff>60960</xdr:rowOff>
        </xdr:from>
        <xdr:to>
          <xdr:col>21</xdr:col>
          <xdr:colOff>678180</xdr:colOff>
          <xdr:row>41</xdr:row>
          <xdr:rowOff>60960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00FF00" mc:Ignorable="a14" a14:legacySpreadsheetColorIndex="1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0" tIns="27432" rIns="27432" bIns="27432" anchor="ctr" upright="1"/>
            <a:lstStyle/>
            <a:p>
              <a:pPr algn="r" rtl="1">
                <a:defRPr sz="1000"/>
              </a:pPr>
              <a:r>
                <a:rPr lang="fa-IR" sz="800" b="0" i="0" u="none" strike="noStrike" baseline="0">
                  <a:solidFill>
                    <a:srgbClr val="000000"/>
                  </a:solidFill>
                  <a:latin typeface="Segoe UI"/>
                  <a:cs typeface="Segoe UI"/>
                </a:rPr>
                <a:t>انجمن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579120</xdr:colOff>
          <xdr:row>39</xdr:row>
          <xdr:rowOff>60960</xdr:rowOff>
        </xdr:from>
        <xdr:to>
          <xdr:col>20</xdr:col>
          <xdr:colOff>640080</xdr:colOff>
          <xdr:row>41</xdr:row>
          <xdr:rowOff>60960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00FF00" mc:Ignorable="a14" a14:legacySpreadsheetColorIndex="1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0" tIns="27432" rIns="27432" bIns="27432" anchor="ctr" upright="1"/>
            <a:lstStyle/>
            <a:p>
              <a:pPr algn="r" rtl="1">
                <a:defRPr sz="1000"/>
              </a:pPr>
              <a:r>
                <a:rPr lang="fa-IR" sz="800" b="0" i="0" u="none" strike="noStrike" baseline="0">
                  <a:solidFill>
                    <a:srgbClr val="000000"/>
                  </a:solidFill>
                  <a:latin typeface="Segoe UI"/>
                  <a:cs typeface="Segoe UI"/>
                </a:rPr>
                <a:t>بورس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403860</xdr:colOff>
          <xdr:row>39</xdr:row>
          <xdr:rowOff>60960</xdr:rowOff>
        </xdr:from>
        <xdr:to>
          <xdr:col>19</xdr:col>
          <xdr:colOff>464820</xdr:colOff>
          <xdr:row>41</xdr:row>
          <xdr:rowOff>60960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00FF00" mc:Ignorable="a14" a14:legacySpreadsheetColorIndex="11"/>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0" tIns="27432" rIns="27432" bIns="27432" anchor="ctr" upright="1"/>
            <a:lstStyle/>
            <a:p>
              <a:pPr algn="r" rtl="1">
                <a:defRPr sz="1000"/>
              </a:pPr>
              <a:r>
                <a:rPr lang="fa-IR" sz="800" b="0" i="0" u="none" strike="noStrike" baseline="0">
                  <a:solidFill>
                    <a:srgbClr val="000000"/>
                  </a:solidFill>
                  <a:latin typeface="Segoe UI"/>
                  <a:cs typeface="Segoe UI"/>
                </a:rPr>
                <a:t>تعادلی</a:t>
              </a:r>
            </a:p>
          </xdr:txBody>
        </xdr:sp>
        <xdr:clientData/>
      </xdr:twoCellAnchor>
    </mc:Choice>
    <mc:Fallback/>
  </mc:AlternateContent>
  <xdr:twoCellAnchor>
    <xdr:from>
      <xdr:col>11</xdr:col>
      <xdr:colOff>137161</xdr:colOff>
      <xdr:row>42</xdr:row>
      <xdr:rowOff>125186</xdr:rowOff>
    </xdr:from>
    <xdr:to>
      <xdr:col>22</xdr:col>
      <xdr:colOff>780144</xdr:colOff>
      <xdr:row>52</xdr:row>
      <xdr:rowOff>134258</xdr:rowOff>
    </xdr:to>
    <xdr:graphicFrame macro="">
      <xdr:nvGraphicFramePr>
        <xdr:cNvPr id="1055" name="Chart 1054">
          <a:extLst>
            <a:ext uri="{FF2B5EF4-FFF2-40B4-BE49-F238E27FC236}">
              <a16:creationId xmlns:a16="http://schemas.microsoft.com/office/drawing/2014/main" id="{A98A0645-8ADE-4D0E-8623-A588A555A3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228600</xdr:colOff>
      <xdr:row>39</xdr:row>
      <xdr:rowOff>75596</xdr:rowOff>
    </xdr:from>
    <xdr:to>
      <xdr:col>17</xdr:col>
      <xdr:colOff>306450</xdr:colOff>
      <xdr:row>41</xdr:row>
      <xdr:rowOff>106679</xdr:rowOff>
    </xdr:to>
    <xdr:sp macro="" textlink="">
      <xdr:nvSpPr>
        <xdr:cNvPr id="1056" name="TextBox 1055">
          <a:extLst>
            <a:ext uri="{FF2B5EF4-FFF2-40B4-BE49-F238E27FC236}">
              <a16:creationId xmlns:a16="http://schemas.microsoft.com/office/drawing/2014/main" id="{A9386A46-FFF8-4893-A812-29B8A552575A}"/>
            </a:ext>
          </a:extLst>
        </xdr:cNvPr>
        <xdr:cNvSpPr txBox="1"/>
      </xdr:nvSpPr>
      <xdr:spPr>
        <a:xfrm>
          <a:off x="10976288310" y="8549036"/>
          <a:ext cx="5655690" cy="3968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r>
            <a:rPr lang="fa-IR" sz="1100" b="1" i="0" u="none" strike="noStrike" baseline="0">
              <a:solidFill>
                <a:schemeClr val="accent2"/>
              </a:solidFill>
              <a:latin typeface="Calibri"/>
              <a:cs typeface="B Titr" panose="00000700000000000000" pitchFamily="2" charset="-78"/>
            </a:rPr>
            <a:t>میزان فروش ماهانه بر اساس نوع سفارش</a:t>
          </a:r>
          <a:endParaRPr lang="en-US" sz="1100" b="1" i="0" u="none" strike="noStrike">
            <a:solidFill>
              <a:schemeClr val="accent2"/>
            </a:solidFill>
            <a:latin typeface="Calibri"/>
            <a:cs typeface="B Titr" panose="00000700000000000000" pitchFamily="2" charset="-78"/>
          </a:endParaRPr>
        </a:p>
      </xdr:txBody>
    </xdr:sp>
    <xdr:clientData/>
  </xdr:twoCellAnchor>
  <xdr:twoCellAnchor>
    <xdr:from>
      <xdr:col>13</xdr:col>
      <xdr:colOff>733896</xdr:colOff>
      <xdr:row>39</xdr:row>
      <xdr:rowOff>150709</xdr:rowOff>
    </xdr:from>
    <xdr:to>
      <xdr:col>15</xdr:col>
      <xdr:colOff>166268</xdr:colOff>
      <xdr:row>41</xdr:row>
      <xdr:rowOff>91708</xdr:rowOff>
    </xdr:to>
    <xdr:sp macro="" textlink="calc!BV5">
      <xdr:nvSpPr>
        <xdr:cNvPr id="125" name="TextBox 124">
          <a:extLst>
            <a:ext uri="{FF2B5EF4-FFF2-40B4-BE49-F238E27FC236}">
              <a16:creationId xmlns:a16="http://schemas.microsoft.com/office/drawing/2014/main" id="{BB5C2878-4F8D-4C49-9763-155B2E9D6AF5}"/>
            </a:ext>
          </a:extLst>
        </xdr:cNvPr>
        <xdr:cNvSpPr txBox="1"/>
      </xdr:nvSpPr>
      <xdr:spPr>
        <a:xfrm>
          <a:off x="10978226812" y="8624149"/>
          <a:ext cx="1505012" cy="3067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rtl="1"/>
          <a:fld id="{21019D9E-FF21-47B3-8A40-3118DDD7A0E3}" type="TxLink">
            <a:rPr lang="en-US" sz="1400" b="1" i="0" u="none" strike="noStrike">
              <a:solidFill>
                <a:schemeClr val="accent2"/>
              </a:solidFill>
              <a:latin typeface="Calibri"/>
              <a:cs typeface="B Nazanin" panose="00000400000000000000" pitchFamily="2" charset="-78"/>
            </a:rPr>
            <a:pPr algn="r" rtl="1"/>
            <a:t>1405</a:t>
          </a:fld>
          <a:r>
            <a:rPr lang="fa-IR" sz="1400" b="1" i="0" u="none" strike="noStrike" baseline="0">
              <a:solidFill>
                <a:schemeClr val="accent2"/>
              </a:solidFill>
              <a:latin typeface="Calibri"/>
              <a:cs typeface="B Nazanin" panose="00000400000000000000" pitchFamily="2" charset="-78"/>
            </a:rPr>
            <a:t>      (کیلوگرم)</a:t>
          </a:r>
          <a:endParaRPr lang="en-US" sz="1400" b="1" i="0" u="none" strike="noStrike">
            <a:solidFill>
              <a:schemeClr val="accent2"/>
            </a:solidFill>
            <a:latin typeface="Calibri"/>
            <a:cs typeface="B Nazanin" panose="00000400000000000000" pitchFamily="2" charset="-78"/>
          </a:endParaRPr>
        </a:p>
      </xdr:txBody>
    </xdr:sp>
    <xdr:clientData/>
  </xdr:twoCellAnchor>
  <xdr:twoCellAnchor>
    <xdr:from>
      <xdr:col>0</xdr:col>
      <xdr:colOff>-2626213</xdr:colOff>
      <xdr:row>30</xdr:row>
      <xdr:rowOff>161479</xdr:rowOff>
    </xdr:from>
    <xdr:to>
      <xdr:col>0</xdr:col>
      <xdr:colOff>-95755</xdr:colOff>
      <xdr:row>42</xdr:row>
      <xdr:rowOff>96157</xdr:rowOff>
    </xdr:to>
    <xdr:sp macro="" textlink="">
      <xdr:nvSpPr>
        <xdr:cNvPr id="1049" name="Rectangle: Rounded Corners 1048">
          <a:extLst>
            <a:ext uri="{FF2B5EF4-FFF2-40B4-BE49-F238E27FC236}">
              <a16:creationId xmlns:a16="http://schemas.microsoft.com/office/drawing/2014/main" id="{E9938ECD-193A-454B-AE08-0F483876EFCA}"/>
            </a:ext>
          </a:extLst>
        </xdr:cNvPr>
        <xdr:cNvSpPr/>
      </xdr:nvSpPr>
      <xdr:spPr>
        <a:xfrm rot="5400000">
          <a:off x="11031178545" y="6508989"/>
          <a:ext cx="2500078" cy="2530458"/>
        </a:xfrm>
        <a:prstGeom prst="roundRect">
          <a:avLst>
            <a:gd name="adj" fmla="val 9359"/>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24</xdr:col>
      <xdr:colOff>114301</xdr:colOff>
      <xdr:row>30</xdr:row>
      <xdr:rowOff>181435</xdr:rowOff>
    </xdr:from>
    <xdr:to>
      <xdr:col>35</xdr:col>
      <xdr:colOff>847725</xdr:colOff>
      <xdr:row>43</xdr:row>
      <xdr:rowOff>3</xdr:rowOff>
    </xdr:to>
    <xdr:sp macro="" textlink="">
      <xdr:nvSpPr>
        <xdr:cNvPr id="1050" name="Rectangle: Rounded Corners 1049">
          <a:extLst>
            <a:ext uri="{FF2B5EF4-FFF2-40B4-BE49-F238E27FC236}">
              <a16:creationId xmlns:a16="http://schemas.microsoft.com/office/drawing/2014/main" id="{260F0461-279B-4AA2-97AC-6FB37B66F124}"/>
            </a:ext>
          </a:extLst>
        </xdr:cNvPr>
        <xdr:cNvSpPr/>
      </xdr:nvSpPr>
      <xdr:spPr>
        <a:xfrm rot="5400000">
          <a:off x="10903196290" y="3595920"/>
          <a:ext cx="2533193" cy="8315324"/>
        </a:xfrm>
        <a:prstGeom prst="roundRect">
          <a:avLst>
            <a:gd name="adj" fmla="val 9359"/>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600"/>
        </a:p>
      </xdr:txBody>
    </xdr:sp>
    <xdr:clientData/>
  </xdr:twoCellAnchor>
  <xdr:twoCellAnchor>
    <xdr:from>
      <xdr:col>4</xdr:col>
      <xdr:colOff>800099</xdr:colOff>
      <xdr:row>22</xdr:row>
      <xdr:rowOff>19355</xdr:rowOff>
    </xdr:from>
    <xdr:to>
      <xdr:col>8</xdr:col>
      <xdr:colOff>338289</xdr:colOff>
      <xdr:row>23</xdr:row>
      <xdr:rowOff>144189</xdr:rowOff>
    </xdr:to>
    <xdr:sp macro="" textlink="">
      <xdr:nvSpPr>
        <xdr:cNvPr id="1051" name="TextBox 1050">
          <a:extLst>
            <a:ext uri="{FF2B5EF4-FFF2-40B4-BE49-F238E27FC236}">
              <a16:creationId xmlns:a16="http://schemas.microsoft.com/office/drawing/2014/main" id="{16CDA34F-0EBC-4F54-8C85-2ADB7C317537}"/>
            </a:ext>
          </a:extLst>
        </xdr:cNvPr>
        <xdr:cNvSpPr txBox="1"/>
      </xdr:nvSpPr>
      <xdr:spPr>
        <a:xfrm>
          <a:off x="10956019444" y="4743755"/>
          <a:ext cx="2603123" cy="319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100" b="1" i="0" u="none" strike="noStrike">
              <a:solidFill>
                <a:srgbClr val="FFFFFF"/>
              </a:solidFill>
              <a:latin typeface="Calibri"/>
              <a:cs typeface="B Koodak" panose="00000700000000000000" pitchFamily="2" charset="-78"/>
            </a:rPr>
            <a:t>میزان </a:t>
          </a:r>
          <a:r>
            <a:rPr lang="fa-IR" sz="1100" b="1" i="0" u="none" strike="noStrike" baseline="0">
              <a:solidFill>
                <a:srgbClr val="FFFFFF"/>
              </a:solidFill>
              <a:latin typeface="Calibri"/>
              <a:cs typeface="B Koodak" panose="00000700000000000000" pitchFamily="2" charset="-78"/>
            </a:rPr>
            <a:t>حمل نشده بر اساس نوع سفارش (کیلوگرم)</a:t>
          </a:r>
          <a:endParaRPr lang="en-US" sz="1100" b="1" i="0" u="none" strike="noStrike">
            <a:solidFill>
              <a:srgbClr val="FFFFFF"/>
            </a:solidFill>
            <a:latin typeface="Calibri"/>
            <a:cs typeface="B Koodak" panose="00000700000000000000" pitchFamily="2" charset="-78"/>
          </a:endParaRPr>
        </a:p>
      </xdr:txBody>
    </xdr:sp>
    <xdr:clientData/>
  </xdr:twoCellAnchor>
  <xdr:twoCellAnchor>
    <xdr:from>
      <xdr:col>340</xdr:col>
      <xdr:colOff>83860</xdr:colOff>
      <xdr:row>31</xdr:row>
      <xdr:rowOff>67135</xdr:rowOff>
    </xdr:from>
    <xdr:to>
      <xdr:col>344</xdr:col>
      <xdr:colOff>11516</xdr:colOff>
      <xdr:row>32</xdr:row>
      <xdr:rowOff>191969</xdr:rowOff>
    </xdr:to>
    <xdr:sp macro="" textlink="">
      <xdr:nvSpPr>
        <xdr:cNvPr id="1053" name="TextBox 1052">
          <a:extLst>
            <a:ext uri="{FF2B5EF4-FFF2-40B4-BE49-F238E27FC236}">
              <a16:creationId xmlns:a16="http://schemas.microsoft.com/office/drawing/2014/main" id="{70CC3ACD-7DE1-4897-B1FD-18BE1B48FC1F}"/>
            </a:ext>
          </a:extLst>
        </xdr:cNvPr>
        <xdr:cNvSpPr txBox="1"/>
      </xdr:nvSpPr>
      <xdr:spPr>
        <a:xfrm>
          <a:off x="10796512484" y="6633035"/>
          <a:ext cx="2620056" cy="328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1100" b="1" i="0" u="none" strike="noStrike">
              <a:solidFill>
                <a:srgbClr val="FFFFFF"/>
              </a:solidFill>
              <a:latin typeface="Calibri"/>
              <a:cs typeface="B Koodak" panose="00000700000000000000" pitchFamily="2" charset="-78"/>
            </a:rPr>
            <a:t>میزان </a:t>
          </a:r>
          <a:r>
            <a:rPr lang="fa-IR" sz="1100" b="1" i="0" u="none" strike="noStrike" baseline="0">
              <a:solidFill>
                <a:srgbClr val="FFFFFF"/>
              </a:solidFill>
              <a:latin typeface="Calibri"/>
              <a:cs typeface="B Koodak" panose="00000700000000000000" pitchFamily="2" charset="-78"/>
            </a:rPr>
            <a:t>حمل نشده بر اساس نوع سفارش (کیلوگرم)</a:t>
          </a:r>
          <a:endParaRPr lang="en-US" sz="1100" b="1" i="0" u="none" strike="noStrike">
            <a:solidFill>
              <a:srgbClr val="FFFFFF"/>
            </a:solidFill>
            <a:latin typeface="Calibri"/>
            <a:cs typeface="B Koodak" panose="00000700000000000000" pitchFamily="2" charset="-78"/>
          </a:endParaRPr>
        </a:p>
      </xdr:txBody>
    </xdr:sp>
    <xdr:clientData/>
  </xdr:twoCellAnchor>
  <xdr:twoCellAnchor>
    <xdr:from>
      <xdr:col>25</xdr:col>
      <xdr:colOff>423113</xdr:colOff>
      <xdr:row>31</xdr:row>
      <xdr:rowOff>4960</xdr:rowOff>
    </xdr:from>
    <xdr:to>
      <xdr:col>34</xdr:col>
      <xdr:colOff>614680</xdr:colOff>
      <xdr:row>32</xdr:row>
      <xdr:rowOff>142239</xdr:rowOff>
    </xdr:to>
    <xdr:sp macro="" textlink="">
      <xdr:nvSpPr>
        <xdr:cNvPr id="1058" name="TextBox 1057">
          <a:extLst>
            <a:ext uri="{FF2B5EF4-FFF2-40B4-BE49-F238E27FC236}">
              <a16:creationId xmlns:a16="http://schemas.microsoft.com/office/drawing/2014/main" id="{361356A3-29A5-4261-84B3-28027A12CD5B}"/>
            </a:ext>
          </a:extLst>
        </xdr:cNvPr>
        <xdr:cNvSpPr txBox="1"/>
      </xdr:nvSpPr>
      <xdr:spPr>
        <a:xfrm>
          <a:off x="10901395520" y="6510535"/>
          <a:ext cx="6020867" cy="3373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rtl="1"/>
          <a:r>
            <a:rPr lang="fa-IR" sz="2000" b="1" i="0" u="none" strike="noStrike">
              <a:solidFill>
                <a:schemeClr val="accent2"/>
              </a:solidFill>
              <a:latin typeface="Calibri"/>
              <a:cs typeface="B Nazanin" panose="00000400000000000000" pitchFamily="2" charset="-78"/>
            </a:rPr>
            <a:t>میزان</a:t>
          </a:r>
          <a:r>
            <a:rPr lang="fa-IR" sz="2000" b="1" i="0" u="none" strike="noStrike" baseline="0">
              <a:solidFill>
                <a:schemeClr val="accent2"/>
              </a:solidFill>
              <a:latin typeface="Calibri"/>
              <a:cs typeface="B Nazanin" panose="00000400000000000000" pitchFamily="2" charset="-78"/>
            </a:rPr>
            <a:t> بار حمل نشده بر اساس بازه قیمت</a:t>
          </a:r>
          <a:r>
            <a:rPr lang="en-US" sz="2000" b="1" i="0" u="none" strike="noStrike" baseline="0">
              <a:solidFill>
                <a:schemeClr val="accent2"/>
              </a:solidFill>
              <a:latin typeface="Calibri"/>
              <a:cs typeface="B Nazanin" panose="00000400000000000000" pitchFamily="2" charset="-78"/>
            </a:rPr>
            <a:t> </a:t>
          </a:r>
          <a:r>
            <a:rPr lang="fa-IR" sz="2000" b="1" i="0" u="none" strike="noStrike" baseline="0">
              <a:solidFill>
                <a:schemeClr val="accent2"/>
              </a:solidFill>
              <a:latin typeface="Calibri"/>
              <a:cs typeface="B Nazanin" panose="00000400000000000000" pitchFamily="2" charset="-78"/>
            </a:rPr>
            <a:t> (کیلوگرم)</a:t>
          </a:r>
          <a:endParaRPr lang="en-US" sz="2000" b="1" i="0" u="none" strike="noStrike">
            <a:solidFill>
              <a:schemeClr val="accent2"/>
            </a:solidFill>
            <a:latin typeface="Calibri"/>
            <a:cs typeface="B Nazanin" panose="00000400000000000000" pitchFamily="2" charset="-78"/>
          </a:endParaRPr>
        </a:p>
      </xdr:txBody>
    </xdr:sp>
    <xdr:clientData/>
  </xdr:twoCellAnchor>
  <xdr:twoCellAnchor>
    <xdr:from>
      <xdr:col>25</xdr:col>
      <xdr:colOff>440025</xdr:colOff>
      <xdr:row>32</xdr:row>
      <xdr:rowOff>41275</xdr:rowOff>
    </xdr:from>
    <xdr:to>
      <xdr:col>30</xdr:col>
      <xdr:colOff>228600</xdr:colOff>
      <xdr:row>34</xdr:row>
      <xdr:rowOff>153157</xdr:rowOff>
    </xdr:to>
    <xdr:sp macro="" textlink="calc!DI19">
      <xdr:nvSpPr>
        <xdr:cNvPr id="1061" name="TextBox 1060">
          <a:extLst>
            <a:ext uri="{FF2B5EF4-FFF2-40B4-BE49-F238E27FC236}">
              <a16:creationId xmlns:a16="http://schemas.microsoft.com/office/drawing/2014/main" id="{2604EBBE-D655-473D-A684-A40240946E64}"/>
            </a:ext>
          </a:extLst>
        </xdr:cNvPr>
        <xdr:cNvSpPr txBox="1"/>
      </xdr:nvSpPr>
      <xdr:spPr>
        <a:xfrm>
          <a:off x="10904581950" y="6746875"/>
          <a:ext cx="2817525" cy="626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387AED26-A85D-40DD-A628-E52632E8ACF7}" type="TxLink">
            <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pPr marL="0" indent="0" algn="ctr" rtl="1"/>
            <a:t>کمتر از 80.000 ریال</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endParaRPr>
        </a:p>
      </xdr:txBody>
    </xdr:sp>
    <xdr:clientData/>
  </xdr:twoCellAnchor>
  <xdr:twoCellAnchor>
    <xdr:from>
      <xdr:col>25</xdr:col>
      <xdr:colOff>433675</xdr:colOff>
      <xdr:row>33</xdr:row>
      <xdr:rowOff>209550</xdr:rowOff>
    </xdr:from>
    <xdr:to>
      <xdr:col>30</xdr:col>
      <xdr:colOff>104776</xdr:colOff>
      <xdr:row>36</xdr:row>
      <xdr:rowOff>67432</xdr:rowOff>
    </xdr:to>
    <xdr:sp macro="" textlink="calc!DI20">
      <xdr:nvSpPr>
        <xdr:cNvPr id="1062" name="TextBox 1061">
          <a:extLst>
            <a:ext uri="{FF2B5EF4-FFF2-40B4-BE49-F238E27FC236}">
              <a16:creationId xmlns:a16="http://schemas.microsoft.com/office/drawing/2014/main" id="{39C770D6-8ECE-4D38-B2FA-CDADA449D694}"/>
            </a:ext>
          </a:extLst>
        </xdr:cNvPr>
        <xdr:cNvSpPr txBox="1"/>
      </xdr:nvSpPr>
      <xdr:spPr>
        <a:xfrm>
          <a:off x="10904705774" y="7172325"/>
          <a:ext cx="2700051" cy="629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6A7D6151-7B6B-420B-8AD0-D2A01B101DC0}" type="TxLink">
            <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pPr marL="0" indent="0" algn="ctr" rtl="1"/>
            <a:t>از 80.000 تا کمتر از 100.000 ریال</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endParaRPr>
        </a:p>
      </xdr:txBody>
    </xdr:sp>
    <xdr:clientData/>
  </xdr:twoCellAnchor>
  <xdr:twoCellAnchor>
    <xdr:from>
      <xdr:col>25</xdr:col>
      <xdr:colOff>415265</xdr:colOff>
      <xdr:row>35</xdr:row>
      <xdr:rowOff>127000</xdr:rowOff>
    </xdr:from>
    <xdr:to>
      <xdr:col>30</xdr:col>
      <xdr:colOff>142876</xdr:colOff>
      <xdr:row>38</xdr:row>
      <xdr:rowOff>61082</xdr:rowOff>
    </xdr:to>
    <xdr:sp macro="" textlink="calc!DI21">
      <xdr:nvSpPr>
        <xdr:cNvPr id="1063" name="TextBox 1062">
          <a:extLst>
            <a:ext uri="{FF2B5EF4-FFF2-40B4-BE49-F238E27FC236}">
              <a16:creationId xmlns:a16="http://schemas.microsoft.com/office/drawing/2014/main" id="{F812F68B-4D46-4FD3-BD78-0E314B1A31F9}"/>
            </a:ext>
          </a:extLst>
        </xdr:cNvPr>
        <xdr:cNvSpPr txBox="1"/>
      </xdr:nvSpPr>
      <xdr:spPr>
        <a:xfrm>
          <a:off x="10904667674" y="7604125"/>
          <a:ext cx="2756561" cy="6198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B45A95ED-A0D7-49A7-9389-3C7F1C117753}" type="TxLink">
            <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pPr marL="0" indent="0" algn="ctr" rtl="1"/>
            <a:t>از 100.000 تا کمتر از 120.000 ریال</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endParaRPr>
        </a:p>
      </xdr:txBody>
    </xdr:sp>
    <xdr:clientData/>
  </xdr:twoCellAnchor>
  <xdr:twoCellAnchor>
    <xdr:from>
      <xdr:col>25</xdr:col>
      <xdr:colOff>415265</xdr:colOff>
      <xdr:row>37</xdr:row>
      <xdr:rowOff>28575</xdr:rowOff>
    </xdr:from>
    <xdr:to>
      <xdr:col>30</xdr:col>
      <xdr:colOff>200026</xdr:colOff>
      <xdr:row>40</xdr:row>
      <xdr:rowOff>115057</xdr:rowOff>
    </xdr:to>
    <xdr:sp macro="" textlink="calc!DI22">
      <xdr:nvSpPr>
        <xdr:cNvPr id="1064" name="TextBox 1063">
          <a:extLst>
            <a:ext uri="{FF2B5EF4-FFF2-40B4-BE49-F238E27FC236}">
              <a16:creationId xmlns:a16="http://schemas.microsoft.com/office/drawing/2014/main" id="{8C078BB8-43F0-440C-9988-5EC49D2445CB}"/>
            </a:ext>
          </a:extLst>
        </xdr:cNvPr>
        <xdr:cNvSpPr txBox="1"/>
      </xdr:nvSpPr>
      <xdr:spPr>
        <a:xfrm>
          <a:off x="10904610524" y="8020050"/>
          <a:ext cx="2813711" cy="6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02558400-FCD8-495F-8D55-E6BC204BD7BE}" type="TxLink">
            <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pPr marL="0" indent="0" algn="ctr" rtl="1"/>
            <a:t>از 120.000 تا کمتر از 150.000 ریال</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endParaRPr>
        </a:p>
      </xdr:txBody>
    </xdr:sp>
    <xdr:clientData/>
  </xdr:twoCellAnchor>
  <xdr:twoCellAnchor>
    <xdr:from>
      <xdr:col>0</xdr:col>
      <xdr:colOff>-17096700</xdr:colOff>
      <xdr:row>31</xdr:row>
      <xdr:rowOff>36655</xdr:rowOff>
    </xdr:from>
    <xdr:to>
      <xdr:col>0</xdr:col>
      <xdr:colOff>-14574480</xdr:colOff>
      <xdr:row>33</xdr:row>
      <xdr:rowOff>189177</xdr:rowOff>
    </xdr:to>
    <xdr:sp macro="" textlink="calc!DI7">
      <xdr:nvSpPr>
        <xdr:cNvPr id="1069" name="TextBox 1068">
          <a:extLst>
            <a:ext uri="{FF2B5EF4-FFF2-40B4-BE49-F238E27FC236}">
              <a16:creationId xmlns:a16="http://schemas.microsoft.com/office/drawing/2014/main" id="{D4722399-33B7-42D6-B3C0-272FB21F077F}"/>
            </a:ext>
          </a:extLst>
        </xdr:cNvPr>
        <xdr:cNvSpPr txBox="1"/>
      </xdr:nvSpPr>
      <xdr:spPr>
        <a:xfrm>
          <a:off x="11004115620" y="6544135"/>
          <a:ext cx="2522220" cy="60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r>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t>بالاتر از 150.000 ریال</a:t>
          </a:r>
        </a:p>
      </xdr:txBody>
    </xdr:sp>
    <xdr:clientData/>
  </xdr:twoCellAnchor>
  <xdr:twoCellAnchor>
    <xdr:from>
      <xdr:col>31</xdr:col>
      <xdr:colOff>297505</xdr:colOff>
      <xdr:row>32</xdr:row>
      <xdr:rowOff>24765</xdr:rowOff>
    </xdr:from>
    <xdr:to>
      <xdr:col>33</xdr:col>
      <xdr:colOff>790575</xdr:colOff>
      <xdr:row>34</xdr:row>
      <xdr:rowOff>136647</xdr:rowOff>
    </xdr:to>
    <xdr:sp macro="" textlink="calc!DJ19">
      <xdr:nvSpPr>
        <xdr:cNvPr id="1074" name="TextBox 1073">
          <a:extLst>
            <a:ext uri="{FF2B5EF4-FFF2-40B4-BE49-F238E27FC236}">
              <a16:creationId xmlns:a16="http://schemas.microsoft.com/office/drawing/2014/main" id="{D56E5EE6-87BE-4226-A918-4894A20158B1}"/>
            </a:ext>
          </a:extLst>
        </xdr:cNvPr>
        <xdr:cNvSpPr txBox="1"/>
      </xdr:nvSpPr>
      <xdr:spPr>
        <a:xfrm>
          <a:off x="10902076875" y="6730365"/>
          <a:ext cx="1769420" cy="626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4AB7E91D-1743-446A-9C19-29396060F64E}" type="TxLink">
            <a:rPr lang="en-US"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ctr" rtl="1"/>
            <a:t> -   </a:t>
          </a:fld>
          <a:endParaRPr lang="fa-IR"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31</xdr:col>
      <xdr:colOff>302218</xdr:colOff>
      <xdr:row>35</xdr:row>
      <xdr:rowOff>110950</xdr:rowOff>
    </xdr:from>
    <xdr:to>
      <xdr:col>33</xdr:col>
      <xdr:colOff>782956</xdr:colOff>
      <xdr:row>38</xdr:row>
      <xdr:rowOff>47572</xdr:rowOff>
    </xdr:to>
    <xdr:sp macro="" textlink="calc!DJ21">
      <xdr:nvSpPr>
        <xdr:cNvPr id="1076" name="TextBox 1075">
          <a:extLst>
            <a:ext uri="{FF2B5EF4-FFF2-40B4-BE49-F238E27FC236}">
              <a16:creationId xmlns:a16="http://schemas.microsoft.com/office/drawing/2014/main" id="{1487FD5C-2512-444A-8043-1D7493EAF780}"/>
            </a:ext>
          </a:extLst>
        </xdr:cNvPr>
        <xdr:cNvSpPr txBox="1"/>
      </xdr:nvSpPr>
      <xdr:spPr>
        <a:xfrm>
          <a:off x="10902084494" y="7588075"/>
          <a:ext cx="1757088" cy="622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6AC240B1-01B9-46F1-B123-D68951A5E15A}" type="TxLink">
            <a:rPr lang="en-US"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ctr" rtl="1"/>
            <a:t> 3,085,360 </a:t>
          </a:fld>
          <a:endParaRPr lang="fa-IR"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31</xdr:col>
      <xdr:colOff>288985</xdr:colOff>
      <xdr:row>33</xdr:row>
      <xdr:rowOff>198120</xdr:rowOff>
    </xdr:from>
    <xdr:to>
      <xdr:col>33</xdr:col>
      <xdr:colOff>794385</xdr:colOff>
      <xdr:row>36</xdr:row>
      <xdr:rowOff>50922</xdr:rowOff>
    </xdr:to>
    <xdr:sp macro="" textlink="calc!DJ20">
      <xdr:nvSpPr>
        <xdr:cNvPr id="1078" name="TextBox 1077">
          <a:extLst>
            <a:ext uri="{FF2B5EF4-FFF2-40B4-BE49-F238E27FC236}">
              <a16:creationId xmlns:a16="http://schemas.microsoft.com/office/drawing/2014/main" id="{F9A4C762-990A-470C-A66C-CAA8D1CA3ED8}"/>
            </a:ext>
          </a:extLst>
        </xdr:cNvPr>
        <xdr:cNvSpPr txBox="1"/>
      </xdr:nvSpPr>
      <xdr:spPr>
        <a:xfrm>
          <a:off x="10902073065" y="7160895"/>
          <a:ext cx="1781750" cy="6243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869CBF5D-8581-4E79-85E1-697DDAF37825}" type="TxLink">
            <a:rPr lang="en-US"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ctr" rtl="1"/>
            <a:t> -   </a:t>
          </a:fld>
          <a:endParaRPr lang="fa-IR"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31</xdr:col>
      <xdr:colOff>316868</xdr:colOff>
      <xdr:row>37</xdr:row>
      <xdr:rowOff>38100</xdr:rowOff>
    </xdr:from>
    <xdr:to>
      <xdr:col>34</xdr:col>
      <xdr:colOff>26670</xdr:colOff>
      <xdr:row>40</xdr:row>
      <xdr:rowOff>142362</xdr:rowOff>
    </xdr:to>
    <xdr:sp macro="" textlink="calc!DJ22">
      <xdr:nvSpPr>
        <xdr:cNvPr id="1080" name="TextBox 1079">
          <a:extLst>
            <a:ext uri="{FF2B5EF4-FFF2-40B4-BE49-F238E27FC236}">
              <a16:creationId xmlns:a16="http://schemas.microsoft.com/office/drawing/2014/main" id="{F2974674-BEBC-45BC-BD47-F69B195EFB28}"/>
            </a:ext>
          </a:extLst>
        </xdr:cNvPr>
        <xdr:cNvSpPr txBox="1"/>
      </xdr:nvSpPr>
      <xdr:spPr>
        <a:xfrm>
          <a:off x="10901983530" y="8029575"/>
          <a:ext cx="1843402" cy="618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368C4F38-202A-4394-981B-CB1F825F1072}" type="TxLink">
            <a:rPr lang="en-US"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ctr" rtl="1"/>
            <a:t> 1,830,270 </a:t>
          </a:fld>
          <a:endParaRPr lang="fa-IR"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31</xdr:col>
      <xdr:colOff>309145</xdr:colOff>
      <xdr:row>39</xdr:row>
      <xdr:rowOff>99060</xdr:rowOff>
    </xdr:from>
    <xdr:to>
      <xdr:col>33</xdr:col>
      <xdr:colOff>851536</xdr:colOff>
      <xdr:row>43</xdr:row>
      <xdr:rowOff>28062</xdr:rowOff>
    </xdr:to>
    <xdr:sp macro="" textlink="calc!DJ23">
      <xdr:nvSpPr>
        <xdr:cNvPr id="1082" name="TextBox 1081">
          <a:extLst>
            <a:ext uri="{FF2B5EF4-FFF2-40B4-BE49-F238E27FC236}">
              <a16:creationId xmlns:a16="http://schemas.microsoft.com/office/drawing/2014/main" id="{62F2611B-0A72-428B-B074-610D6F7BB881}"/>
            </a:ext>
          </a:extLst>
        </xdr:cNvPr>
        <xdr:cNvSpPr txBox="1"/>
      </xdr:nvSpPr>
      <xdr:spPr>
        <a:xfrm>
          <a:off x="10902015914" y="8433435"/>
          <a:ext cx="1818741" cy="614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5403BD49-3BFD-4FA7-B6D3-2C2E8685A135}" type="TxLink">
            <a:rPr lang="en-US"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ctr" rtl="1"/>
            <a:t> 10,277,973 </a:t>
          </a:fld>
          <a:endParaRPr lang="fa-IR" sz="20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25</xdr:col>
      <xdr:colOff>384785</xdr:colOff>
      <xdr:row>39</xdr:row>
      <xdr:rowOff>135255</xdr:rowOff>
    </xdr:from>
    <xdr:to>
      <xdr:col>30</xdr:col>
      <xdr:colOff>238126</xdr:colOff>
      <xdr:row>43</xdr:row>
      <xdr:rowOff>46477</xdr:rowOff>
    </xdr:to>
    <xdr:sp macro="" textlink="calc!DI23">
      <xdr:nvSpPr>
        <xdr:cNvPr id="1083" name="TextBox 1082">
          <a:extLst>
            <a:ext uri="{FF2B5EF4-FFF2-40B4-BE49-F238E27FC236}">
              <a16:creationId xmlns:a16="http://schemas.microsoft.com/office/drawing/2014/main" id="{27D36526-92C3-4A3E-ACC2-25CCA7006E72}"/>
            </a:ext>
          </a:extLst>
        </xdr:cNvPr>
        <xdr:cNvSpPr txBox="1"/>
      </xdr:nvSpPr>
      <xdr:spPr>
        <a:xfrm>
          <a:off x="10904572424" y="8469630"/>
          <a:ext cx="2882291" cy="597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C7268C9C-0184-4E16-9CFF-4BE1D39FCAC3}" type="TxLink">
            <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pPr marL="0" indent="0" algn="ctr" rtl="1"/>
            <a:t> 150.000 ریال و بالاتر</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endParaRPr>
        </a:p>
      </xdr:txBody>
    </xdr:sp>
    <xdr:clientData/>
  </xdr:twoCellAnchor>
  <xdr:twoCellAnchor>
    <xdr:from>
      <xdr:col>24</xdr:col>
      <xdr:colOff>209550</xdr:colOff>
      <xdr:row>32</xdr:row>
      <xdr:rowOff>161925</xdr:rowOff>
    </xdr:from>
    <xdr:to>
      <xdr:col>35</xdr:col>
      <xdr:colOff>752475</xdr:colOff>
      <xdr:row>32</xdr:row>
      <xdr:rowOff>180975</xdr:rowOff>
    </xdr:to>
    <xdr:cxnSp macro="">
      <xdr:nvCxnSpPr>
        <xdr:cNvPr id="1089" name="Straight Connector 1088">
          <a:extLst>
            <a:ext uri="{FF2B5EF4-FFF2-40B4-BE49-F238E27FC236}">
              <a16:creationId xmlns:a16="http://schemas.microsoft.com/office/drawing/2014/main" id="{DA0CBC9E-EBB8-4BB6-8D88-BF79F86191E9}"/>
            </a:ext>
          </a:extLst>
        </xdr:cNvPr>
        <xdr:cNvCxnSpPr/>
      </xdr:nvCxnSpPr>
      <xdr:spPr>
        <a:xfrm flipH="1">
          <a:off x="10900400475" y="6867525"/>
          <a:ext cx="8124825"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9525</xdr:colOff>
      <xdr:row>32</xdr:row>
      <xdr:rowOff>180975</xdr:rowOff>
    </xdr:from>
    <xdr:to>
      <xdr:col>31</xdr:col>
      <xdr:colOff>9525</xdr:colOff>
      <xdr:row>42</xdr:row>
      <xdr:rowOff>133350</xdr:rowOff>
    </xdr:to>
    <xdr:cxnSp macro="">
      <xdr:nvCxnSpPr>
        <xdr:cNvPr id="1091" name="Straight Connector 1090">
          <a:extLst>
            <a:ext uri="{FF2B5EF4-FFF2-40B4-BE49-F238E27FC236}">
              <a16:creationId xmlns:a16="http://schemas.microsoft.com/office/drawing/2014/main" id="{61091DE5-7DF5-7C09-25A8-3572DD7126E6}"/>
            </a:ext>
          </a:extLst>
        </xdr:cNvPr>
        <xdr:cNvCxnSpPr/>
      </xdr:nvCxnSpPr>
      <xdr:spPr>
        <a:xfrm>
          <a:off x="10904134275" y="6886575"/>
          <a:ext cx="0" cy="20955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104777</xdr:colOff>
      <xdr:row>43</xdr:row>
      <xdr:rowOff>57151</xdr:rowOff>
    </xdr:from>
    <xdr:to>
      <xdr:col>36</xdr:col>
      <xdr:colOff>19052</xdr:colOff>
      <xdr:row>60</xdr:row>
      <xdr:rowOff>133350</xdr:rowOff>
    </xdr:to>
    <xdr:sp macro="" textlink="">
      <xdr:nvSpPr>
        <xdr:cNvPr id="1044" name="Rectangle: Rounded Corners 1043">
          <a:extLst>
            <a:ext uri="{FF2B5EF4-FFF2-40B4-BE49-F238E27FC236}">
              <a16:creationId xmlns:a16="http://schemas.microsoft.com/office/drawing/2014/main" id="{2BEBD9E3-0C94-492B-829F-EF775ED9EA9D}"/>
            </a:ext>
          </a:extLst>
        </xdr:cNvPr>
        <xdr:cNvSpPr/>
      </xdr:nvSpPr>
      <xdr:spPr>
        <a:xfrm rot="5400000">
          <a:off x="10902957936" y="6396038"/>
          <a:ext cx="2990849" cy="8353425"/>
        </a:xfrm>
        <a:prstGeom prst="roundRect">
          <a:avLst>
            <a:gd name="adj" fmla="val 9359"/>
          </a:avLst>
        </a:prstGeom>
        <a:solidFill>
          <a:srgbClr val="2A2E32"/>
        </a:solidFill>
        <a:ln w="38100" cap="flat" cmpd="sng" algn="ctr">
          <a:noFill/>
          <a:prstDash val="solid"/>
          <a:miter lim="800000"/>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vertOverflow="clip" horzOverflow="clip" rtlCol="0" anchor="t"/>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rgbClr val="9CC3E5"/>
            </a:solidFill>
            <a:effectLst/>
            <a:uLnTx/>
            <a:uFillTx/>
            <a:latin typeface="Calibri" panose="020F0502020204030204"/>
            <a:ea typeface="+mn-ea"/>
            <a:cs typeface="+mn-cs"/>
          </a:endParaRPr>
        </a:p>
      </xdr:txBody>
    </xdr:sp>
    <xdr:clientData/>
  </xdr:twoCellAnchor>
  <xdr:twoCellAnchor>
    <xdr:from>
      <xdr:col>24</xdr:col>
      <xdr:colOff>792476</xdr:colOff>
      <xdr:row>47</xdr:row>
      <xdr:rowOff>66675</xdr:rowOff>
    </xdr:from>
    <xdr:to>
      <xdr:col>26</xdr:col>
      <xdr:colOff>266700</xdr:colOff>
      <xdr:row>51</xdr:row>
      <xdr:rowOff>7107</xdr:rowOff>
    </xdr:to>
    <xdr:sp macro="" textlink="calc!DI26">
      <xdr:nvSpPr>
        <xdr:cNvPr id="1059" name="TextBox 1058">
          <a:extLst>
            <a:ext uri="{FF2B5EF4-FFF2-40B4-BE49-F238E27FC236}">
              <a16:creationId xmlns:a16="http://schemas.microsoft.com/office/drawing/2014/main" id="{EAFCE34A-512F-45D4-9F18-EE9F6A8AF5E7}"/>
            </a:ext>
          </a:extLst>
        </xdr:cNvPr>
        <xdr:cNvSpPr txBox="1"/>
      </xdr:nvSpPr>
      <xdr:spPr>
        <a:xfrm>
          <a:off x="10906906050" y="9772650"/>
          <a:ext cx="1036324" cy="626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fld id="{FDA98461-73C8-43CC-AB3B-7F881969D203}" type="TxLink">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r" rtl="1"/>
            <a:t>عادی</a:t>
          </a:fld>
          <a:endPar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24</xdr:col>
      <xdr:colOff>681351</xdr:colOff>
      <xdr:row>49</xdr:row>
      <xdr:rowOff>149225</xdr:rowOff>
    </xdr:from>
    <xdr:to>
      <xdr:col>26</xdr:col>
      <xdr:colOff>28575</xdr:colOff>
      <xdr:row>53</xdr:row>
      <xdr:rowOff>92832</xdr:rowOff>
    </xdr:to>
    <xdr:sp macro="" textlink="calc!DI27">
      <xdr:nvSpPr>
        <xdr:cNvPr id="1060" name="TextBox 1059">
          <a:extLst>
            <a:ext uri="{FF2B5EF4-FFF2-40B4-BE49-F238E27FC236}">
              <a16:creationId xmlns:a16="http://schemas.microsoft.com/office/drawing/2014/main" id="{D45DFA91-3D2C-4392-82D9-7DDAB199590B}"/>
            </a:ext>
          </a:extLst>
        </xdr:cNvPr>
        <xdr:cNvSpPr txBox="1"/>
      </xdr:nvSpPr>
      <xdr:spPr>
        <a:xfrm>
          <a:off x="10907144175" y="10198100"/>
          <a:ext cx="909324" cy="629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fld id="{F85AEB8C-AFD7-4BD5-A218-79C1BC570D11}" type="TxLink">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r" rtl="1"/>
            <a:t>انجمن</a:t>
          </a:fld>
          <a:endPar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24</xdr:col>
      <xdr:colOff>662941</xdr:colOff>
      <xdr:row>52</xdr:row>
      <xdr:rowOff>66675</xdr:rowOff>
    </xdr:from>
    <xdr:to>
      <xdr:col>26</xdr:col>
      <xdr:colOff>209550</xdr:colOff>
      <xdr:row>56</xdr:row>
      <xdr:rowOff>757</xdr:rowOff>
    </xdr:to>
    <xdr:sp macro="" textlink="calc!DI28">
      <xdr:nvSpPr>
        <xdr:cNvPr id="1065" name="TextBox 1064">
          <a:extLst>
            <a:ext uri="{FF2B5EF4-FFF2-40B4-BE49-F238E27FC236}">
              <a16:creationId xmlns:a16="http://schemas.microsoft.com/office/drawing/2014/main" id="{44C474CD-EC6F-4678-B8FF-DF0690C3B24A}"/>
            </a:ext>
          </a:extLst>
        </xdr:cNvPr>
        <xdr:cNvSpPr txBox="1"/>
      </xdr:nvSpPr>
      <xdr:spPr>
        <a:xfrm>
          <a:off x="10906963200" y="10629900"/>
          <a:ext cx="1108709" cy="6198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fld id="{316E669E-50A8-4537-BFDD-0C9DF6725369}" type="TxLink">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r" rtl="1"/>
            <a:t>بورس</a:t>
          </a:fld>
          <a:endPar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24</xdr:col>
      <xdr:colOff>662941</xdr:colOff>
      <xdr:row>54</xdr:row>
      <xdr:rowOff>139700</xdr:rowOff>
    </xdr:from>
    <xdr:to>
      <xdr:col>26</xdr:col>
      <xdr:colOff>171450</xdr:colOff>
      <xdr:row>58</xdr:row>
      <xdr:rowOff>54732</xdr:rowOff>
    </xdr:to>
    <xdr:sp macro="" textlink="calc!DI29">
      <xdr:nvSpPr>
        <xdr:cNvPr id="1066" name="TextBox 1065">
          <a:extLst>
            <a:ext uri="{FF2B5EF4-FFF2-40B4-BE49-F238E27FC236}">
              <a16:creationId xmlns:a16="http://schemas.microsoft.com/office/drawing/2014/main" id="{9FAC722B-275A-4114-BE8A-F96CD7C1ADAF}"/>
            </a:ext>
          </a:extLst>
        </xdr:cNvPr>
        <xdr:cNvSpPr txBox="1"/>
      </xdr:nvSpPr>
      <xdr:spPr>
        <a:xfrm>
          <a:off x="10907001300" y="11045825"/>
          <a:ext cx="1070609" cy="6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fld id="{8F70C9FE-2070-4B0C-800E-22789855169A}" type="TxLink">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pPr marL="0" indent="0" algn="r" rtl="1"/>
            <a:t>تعادلی</a:t>
          </a:fld>
          <a:endPar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endParaRPr>
        </a:p>
      </xdr:txBody>
    </xdr:sp>
    <xdr:clientData/>
  </xdr:twoCellAnchor>
  <xdr:twoCellAnchor>
    <xdr:from>
      <xdr:col>24</xdr:col>
      <xdr:colOff>165736</xdr:colOff>
      <xdr:row>46</xdr:row>
      <xdr:rowOff>0</xdr:rowOff>
    </xdr:from>
    <xdr:to>
      <xdr:col>36</xdr:col>
      <xdr:colOff>47625</xdr:colOff>
      <xdr:row>46</xdr:row>
      <xdr:rowOff>9525</xdr:rowOff>
    </xdr:to>
    <xdr:cxnSp macro="">
      <xdr:nvCxnSpPr>
        <xdr:cNvPr id="1070" name="Straight Connector 1069">
          <a:extLst>
            <a:ext uri="{FF2B5EF4-FFF2-40B4-BE49-F238E27FC236}">
              <a16:creationId xmlns:a16="http://schemas.microsoft.com/office/drawing/2014/main" id="{E08AD0A1-B97D-4D6A-8233-0C1B92AB818E}"/>
            </a:ext>
          </a:extLst>
        </xdr:cNvPr>
        <xdr:cNvCxnSpPr/>
      </xdr:nvCxnSpPr>
      <xdr:spPr>
        <a:xfrm flipH="1" flipV="1">
          <a:off x="10900248075" y="9534525"/>
          <a:ext cx="8321039"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180975</xdr:colOff>
      <xdr:row>42</xdr:row>
      <xdr:rowOff>133350</xdr:rowOff>
    </xdr:from>
    <xdr:to>
      <xdr:col>34</xdr:col>
      <xdr:colOff>19050</xdr:colOff>
      <xdr:row>46</xdr:row>
      <xdr:rowOff>73782</xdr:rowOff>
    </xdr:to>
    <xdr:sp macro="" textlink="">
      <xdr:nvSpPr>
        <xdr:cNvPr id="1072" name="TextBox 1071">
          <a:extLst>
            <a:ext uri="{FF2B5EF4-FFF2-40B4-BE49-F238E27FC236}">
              <a16:creationId xmlns:a16="http://schemas.microsoft.com/office/drawing/2014/main" id="{1DFC5437-0A38-4049-A223-62022369FEC3}"/>
            </a:ext>
          </a:extLst>
        </xdr:cNvPr>
        <xdr:cNvSpPr txBox="1"/>
      </xdr:nvSpPr>
      <xdr:spPr>
        <a:xfrm>
          <a:off x="10901991150" y="8982075"/>
          <a:ext cx="5000625" cy="626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rtl="1" eaLnBrk="1" fontAlgn="auto" latinLnBrk="0" hangingPunct="1">
            <a:lnSpc>
              <a:spcPct val="100000"/>
            </a:lnSpc>
            <a:spcBef>
              <a:spcPts val="0"/>
            </a:spcBef>
            <a:spcAft>
              <a:spcPts val="0"/>
            </a:spcAft>
            <a:buClrTx/>
            <a:buSzTx/>
            <a:buFontTx/>
            <a:buNone/>
            <a:tabLst/>
            <a:defRPr/>
          </a:pPr>
          <a:r>
            <a:rPr lang="fa-IR" sz="2000" b="1" i="0" u="none" strike="noStrike" noProof="0">
              <a:solidFill>
                <a:schemeClr val="accent2"/>
              </a:solidFill>
              <a:latin typeface="Calibri"/>
              <a:ea typeface="+mn-ea"/>
              <a:cs typeface="B Nazanin" panose="00000400000000000000" pitchFamily="2" charset="-78"/>
            </a:rPr>
            <a:t>وضعیت فروش بر اساس نوع پیش فاکتور (کیلوگرم)</a:t>
          </a:r>
        </a:p>
      </xdr:txBody>
    </xdr:sp>
    <xdr:clientData/>
  </xdr:twoCellAnchor>
  <xdr:twoCellAnchor>
    <xdr:from>
      <xdr:col>24</xdr:col>
      <xdr:colOff>152400</xdr:colOff>
      <xdr:row>48</xdr:row>
      <xdr:rowOff>38100</xdr:rowOff>
    </xdr:from>
    <xdr:to>
      <xdr:col>35</xdr:col>
      <xdr:colOff>809625</xdr:colOff>
      <xdr:row>48</xdr:row>
      <xdr:rowOff>47625</xdr:rowOff>
    </xdr:to>
    <xdr:cxnSp macro="">
      <xdr:nvCxnSpPr>
        <xdr:cNvPr id="1079" name="Straight Connector 1078">
          <a:extLst>
            <a:ext uri="{FF2B5EF4-FFF2-40B4-BE49-F238E27FC236}">
              <a16:creationId xmlns:a16="http://schemas.microsoft.com/office/drawing/2014/main" id="{F3D4AA13-5F34-462D-BFFA-D5DCB84E1053}"/>
            </a:ext>
          </a:extLst>
        </xdr:cNvPr>
        <xdr:cNvCxnSpPr/>
      </xdr:nvCxnSpPr>
      <xdr:spPr>
        <a:xfrm flipH="1">
          <a:off x="10900343325" y="9915525"/>
          <a:ext cx="8239125" cy="9525"/>
        </a:xfrm>
        <a:prstGeom prst="line">
          <a:avLst/>
        </a:prstGeom>
        <a:noFill/>
        <a:ln w="6350" cap="flat" cmpd="sng" algn="ctr">
          <a:solidFill>
            <a:srgbClr val="007C7C"/>
          </a:solidFill>
          <a:prstDash val="solid"/>
          <a:miter lim="800000"/>
        </a:ln>
        <a:effectLst/>
      </xdr:spPr>
    </xdr:cxnSp>
    <xdr:clientData/>
  </xdr:twoCellAnchor>
  <xdr:twoCellAnchor>
    <xdr:from>
      <xdr:col>24</xdr:col>
      <xdr:colOff>361950</xdr:colOff>
      <xdr:row>45</xdr:row>
      <xdr:rowOff>47625</xdr:rowOff>
    </xdr:from>
    <xdr:to>
      <xdr:col>26</xdr:col>
      <xdr:colOff>19050</xdr:colOff>
      <xdr:row>48</xdr:row>
      <xdr:rowOff>134107</xdr:rowOff>
    </xdr:to>
    <xdr:sp macro="" textlink="">
      <xdr:nvSpPr>
        <xdr:cNvPr id="1084" name="TextBox 1083">
          <a:extLst>
            <a:ext uri="{FF2B5EF4-FFF2-40B4-BE49-F238E27FC236}">
              <a16:creationId xmlns:a16="http://schemas.microsoft.com/office/drawing/2014/main" id="{361BCFFB-81F0-456A-93AB-B3DB93C27AD0}"/>
            </a:ext>
          </a:extLst>
        </xdr:cNvPr>
        <xdr:cNvSpPr txBox="1"/>
      </xdr:nvSpPr>
      <xdr:spPr>
        <a:xfrm>
          <a:off x="10907153700" y="9410700"/>
          <a:ext cx="1219200" cy="6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r>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t>نوع پیش فاکتور</a:t>
          </a:r>
        </a:p>
      </xdr:txBody>
    </xdr:sp>
    <xdr:clientData/>
  </xdr:twoCellAnchor>
  <xdr:twoCellAnchor>
    <xdr:from>
      <xdr:col>26</xdr:col>
      <xdr:colOff>561976</xdr:colOff>
      <xdr:row>45</xdr:row>
      <xdr:rowOff>57150</xdr:rowOff>
    </xdr:from>
    <xdr:to>
      <xdr:col>29</xdr:col>
      <xdr:colOff>190501</xdr:colOff>
      <xdr:row>48</xdr:row>
      <xdr:rowOff>143632</xdr:rowOff>
    </xdr:to>
    <xdr:sp macro="" textlink="">
      <xdr:nvSpPr>
        <xdr:cNvPr id="1092" name="TextBox 1091">
          <a:extLst>
            <a:ext uri="{FF2B5EF4-FFF2-40B4-BE49-F238E27FC236}">
              <a16:creationId xmlns:a16="http://schemas.microsoft.com/office/drawing/2014/main" id="{90E54F04-74DA-451A-9827-A262839B6F70}"/>
            </a:ext>
          </a:extLst>
        </xdr:cNvPr>
        <xdr:cNvSpPr txBox="1"/>
      </xdr:nvSpPr>
      <xdr:spPr>
        <a:xfrm>
          <a:off x="10905515399" y="9420225"/>
          <a:ext cx="1095375" cy="600832"/>
        </a:xfrm>
        <a:prstGeom prst="rect">
          <a:avLst/>
        </a:prstGeom>
        <a:noFill/>
        <a:ln w="9525" cmpd="sng">
          <a:noFill/>
        </a:ln>
        <a:effectLst/>
      </xdr:spPr>
      <xdr:txBody>
        <a:bodyPr vertOverflow="clip" horzOverflow="clip" wrap="square" lIns="72000" tIns="36000" bIns="36000" rtlCol="0" anchor="ctr"/>
        <a:lstStyle/>
        <a:p>
          <a:pPr marL="0" marR="0" lvl="0" indent="0" algn="ctr" defTabSz="914400" rtl="1" eaLnBrk="1" fontAlgn="auto" latinLnBrk="0" hangingPunct="1">
            <a:lnSpc>
              <a:spcPct val="100000"/>
            </a:lnSpc>
            <a:spcBef>
              <a:spcPts val="0"/>
            </a:spcBef>
            <a:spcAft>
              <a:spcPts val="0"/>
            </a:spcAft>
            <a:buClrTx/>
            <a:buSzTx/>
            <a:buFontTx/>
            <a:buNone/>
            <a:tabLst/>
            <a:defRPr/>
          </a:pPr>
          <a:r>
            <a:rPr kumimoji="0" lang="fa-IR" sz="1400" b="1" i="0" u="none" strike="noStrike" kern="0" cap="none" spc="0" normalizeH="0" baseline="0" noProof="0">
              <a:ln>
                <a:noFill/>
              </a:ln>
              <a:solidFill>
                <a:srgbClr val="007C7C">
                  <a:lumMod val="40000"/>
                  <a:lumOff val="60000"/>
                </a:srgbClr>
              </a:solidFill>
              <a:effectLst>
                <a:outerShdw blurRad="50800" dist="50800" dir="5400000" sx="3000" sy="3000" algn="ctr" rotWithShape="0">
                  <a:srgbClr val="000000">
                    <a:alpha val="43137"/>
                  </a:srgbClr>
                </a:outerShdw>
                <a:reflection stA="45000" endPos="0" dist="50800" dir="5400000" sy="-100000" algn="bl" rotWithShape="0"/>
              </a:effectLst>
              <a:uLnTx/>
              <a:uFillTx/>
              <a:latin typeface="Calibri"/>
              <a:ea typeface="+mn-ea"/>
              <a:cs typeface="B Nazanin" panose="00000400000000000000" pitchFamily="2" charset="-78"/>
            </a:rPr>
            <a:t>جمع تعهدات</a:t>
          </a:r>
        </a:p>
      </xdr:txBody>
    </xdr:sp>
    <xdr:clientData/>
  </xdr:twoCellAnchor>
  <xdr:twoCellAnchor>
    <xdr:from>
      <xdr:col>30</xdr:col>
      <xdr:colOff>447676</xdr:colOff>
      <xdr:row>45</xdr:row>
      <xdr:rowOff>66675</xdr:rowOff>
    </xdr:from>
    <xdr:to>
      <xdr:col>31</xdr:col>
      <xdr:colOff>1000126</xdr:colOff>
      <xdr:row>48</xdr:row>
      <xdr:rowOff>153157</xdr:rowOff>
    </xdr:to>
    <xdr:sp macro="" textlink="">
      <xdr:nvSpPr>
        <xdr:cNvPr id="1093" name="TextBox 1092">
          <a:extLst>
            <a:ext uri="{FF2B5EF4-FFF2-40B4-BE49-F238E27FC236}">
              <a16:creationId xmlns:a16="http://schemas.microsoft.com/office/drawing/2014/main" id="{22439D9C-DAA9-4B95-892A-1F47EF22B319}"/>
            </a:ext>
          </a:extLst>
        </xdr:cNvPr>
        <xdr:cNvSpPr txBox="1"/>
      </xdr:nvSpPr>
      <xdr:spPr>
        <a:xfrm>
          <a:off x="10903143674" y="9429750"/>
          <a:ext cx="1219200" cy="6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r>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t>حمل شده</a:t>
          </a:r>
        </a:p>
      </xdr:txBody>
    </xdr:sp>
    <xdr:clientData/>
  </xdr:twoCellAnchor>
  <xdr:twoCellAnchor>
    <xdr:from>
      <xdr:col>34</xdr:col>
      <xdr:colOff>57151</xdr:colOff>
      <xdr:row>45</xdr:row>
      <xdr:rowOff>76200</xdr:rowOff>
    </xdr:from>
    <xdr:to>
      <xdr:col>35</xdr:col>
      <xdr:colOff>419101</xdr:colOff>
      <xdr:row>48</xdr:row>
      <xdr:rowOff>162682</xdr:rowOff>
    </xdr:to>
    <xdr:sp macro="" textlink="">
      <xdr:nvSpPr>
        <xdr:cNvPr id="1094" name="TextBox 1093">
          <a:extLst>
            <a:ext uri="{FF2B5EF4-FFF2-40B4-BE49-F238E27FC236}">
              <a16:creationId xmlns:a16="http://schemas.microsoft.com/office/drawing/2014/main" id="{16B972DC-7D42-4DCE-B0B4-12A9FC55064F}"/>
            </a:ext>
          </a:extLst>
        </xdr:cNvPr>
        <xdr:cNvSpPr txBox="1"/>
      </xdr:nvSpPr>
      <xdr:spPr>
        <a:xfrm>
          <a:off x="10900733849" y="9439275"/>
          <a:ext cx="1219200" cy="6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r>
            <a:rPr lang="fa-IR" sz="14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panose="00000400000000000000" pitchFamily="2" charset="-78"/>
            </a:rPr>
            <a:t>حمل نشده</a:t>
          </a:r>
        </a:p>
      </xdr:txBody>
    </xdr:sp>
    <xdr:clientData/>
  </xdr:twoCellAnchor>
  <xdr:twoCellAnchor>
    <xdr:from>
      <xdr:col>24</xdr:col>
      <xdr:colOff>133350</xdr:colOff>
      <xdr:row>50</xdr:row>
      <xdr:rowOff>95250</xdr:rowOff>
    </xdr:from>
    <xdr:to>
      <xdr:col>36</xdr:col>
      <xdr:colOff>57150</xdr:colOff>
      <xdr:row>50</xdr:row>
      <xdr:rowOff>95250</xdr:rowOff>
    </xdr:to>
    <xdr:cxnSp macro="">
      <xdr:nvCxnSpPr>
        <xdr:cNvPr id="1095" name="Straight Connector 1094">
          <a:extLst>
            <a:ext uri="{FF2B5EF4-FFF2-40B4-BE49-F238E27FC236}">
              <a16:creationId xmlns:a16="http://schemas.microsoft.com/office/drawing/2014/main" id="{BDDE7B1C-E728-4745-8B28-CF382A0B784C}"/>
            </a:ext>
          </a:extLst>
        </xdr:cNvPr>
        <xdr:cNvCxnSpPr>
          <a:cxnSpLocks/>
        </xdr:cNvCxnSpPr>
      </xdr:nvCxnSpPr>
      <xdr:spPr>
        <a:xfrm flipH="1">
          <a:off x="10900238550" y="10315575"/>
          <a:ext cx="83629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238125</xdr:colOff>
      <xdr:row>46</xdr:row>
      <xdr:rowOff>19050</xdr:rowOff>
    </xdr:from>
    <xdr:to>
      <xdr:col>26</xdr:col>
      <xdr:colOff>266700</xdr:colOff>
      <xdr:row>60</xdr:row>
      <xdr:rowOff>95250</xdr:rowOff>
    </xdr:to>
    <xdr:cxnSp macro="">
      <xdr:nvCxnSpPr>
        <xdr:cNvPr id="1101" name="Straight Connector 1100">
          <a:extLst>
            <a:ext uri="{FF2B5EF4-FFF2-40B4-BE49-F238E27FC236}">
              <a16:creationId xmlns:a16="http://schemas.microsoft.com/office/drawing/2014/main" id="{0E35E765-2A36-44C3-B725-9A0F004812DB}"/>
            </a:ext>
          </a:extLst>
        </xdr:cNvPr>
        <xdr:cNvCxnSpPr/>
      </xdr:nvCxnSpPr>
      <xdr:spPr>
        <a:xfrm>
          <a:off x="10906906050" y="9553575"/>
          <a:ext cx="28575" cy="24765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561975</xdr:colOff>
      <xdr:row>46</xdr:row>
      <xdr:rowOff>19050</xdr:rowOff>
    </xdr:from>
    <xdr:to>
      <xdr:col>29</xdr:col>
      <xdr:colOff>568629</xdr:colOff>
      <xdr:row>60</xdr:row>
      <xdr:rowOff>85725</xdr:rowOff>
    </xdr:to>
    <xdr:cxnSp macro="">
      <xdr:nvCxnSpPr>
        <xdr:cNvPr id="1106" name="Straight Connector 1105">
          <a:extLst>
            <a:ext uri="{FF2B5EF4-FFF2-40B4-BE49-F238E27FC236}">
              <a16:creationId xmlns:a16="http://schemas.microsoft.com/office/drawing/2014/main" id="{9623473C-26BF-47CD-B735-8F4BFD5BAFF0}"/>
            </a:ext>
          </a:extLst>
        </xdr:cNvPr>
        <xdr:cNvCxnSpPr/>
      </xdr:nvCxnSpPr>
      <xdr:spPr>
        <a:xfrm>
          <a:off x="10905137271" y="9553575"/>
          <a:ext cx="6654" cy="24669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266700</xdr:colOff>
      <xdr:row>46</xdr:row>
      <xdr:rowOff>19050</xdr:rowOff>
    </xdr:from>
    <xdr:to>
      <xdr:col>33</xdr:col>
      <xdr:colOff>270483</xdr:colOff>
      <xdr:row>60</xdr:row>
      <xdr:rowOff>57150</xdr:rowOff>
    </xdr:to>
    <xdr:cxnSp macro="">
      <xdr:nvCxnSpPr>
        <xdr:cNvPr id="1107" name="Straight Connector 1106">
          <a:extLst>
            <a:ext uri="{FF2B5EF4-FFF2-40B4-BE49-F238E27FC236}">
              <a16:creationId xmlns:a16="http://schemas.microsoft.com/office/drawing/2014/main" id="{C80B6753-72FB-4631-B91E-5AA035DDE56E}"/>
            </a:ext>
          </a:extLst>
        </xdr:cNvPr>
        <xdr:cNvCxnSpPr/>
      </xdr:nvCxnSpPr>
      <xdr:spPr>
        <a:xfrm>
          <a:off x="10902596967" y="9553575"/>
          <a:ext cx="3783" cy="2438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161926</xdr:colOff>
      <xdr:row>53</xdr:row>
      <xdr:rowOff>0</xdr:rowOff>
    </xdr:from>
    <xdr:to>
      <xdr:col>36</xdr:col>
      <xdr:colOff>47627</xdr:colOff>
      <xdr:row>53</xdr:row>
      <xdr:rowOff>28348</xdr:rowOff>
    </xdr:to>
    <xdr:cxnSp macro="">
      <xdr:nvCxnSpPr>
        <xdr:cNvPr id="1109" name="Straight Connector 1108">
          <a:extLst>
            <a:ext uri="{FF2B5EF4-FFF2-40B4-BE49-F238E27FC236}">
              <a16:creationId xmlns:a16="http://schemas.microsoft.com/office/drawing/2014/main" id="{0E0BDAA2-D8A6-4D61-B3F0-AF5A8A1116F3}"/>
            </a:ext>
          </a:extLst>
        </xdr:cNvPr>
        <xdr:cNvCxnSpPr/>
      </xdr:nvCxnSpPr>
      <xdr:spPr>
        <a:xfrm flipH="1">
          <a:off x="10900248073" y="10734675"/>
          <a:ext cx="8324851" cy="2834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133352</xdr:colOff>
      <xdr:row>55</xdr:row>
      <xdr:rowOff>76200</xdr:rowOff>
    </xdr:from>
    <xdr:to>
      <xdr:col>36</xdr:col>
      <xdr:colOff>19053</xdr:colOff>
      <xdr:row>55</xdr:row>
      <xdr:rowOff>104548</xdr:rowOff>
    </xdr:to>
    <xdr:cxnSp macro="">
      <xdr:nvCxnSpPr>
        <xdr:cNvPr id="1110" name="Straight Connector 1109">
          <a:extLst>
            <a:ext uri="{FF2B5EF4-FFF2-40B4-BE49-F238E27FC236}">
              <a16:creationId xmlns:a16="http://schemas.microsoft.com/office/drawing/2014/main" id="{1CF15D90-3B17-4800-A1C4-E57BACBBA65A}"/>
            </a:ext>
          </a:extLst>
        </xdr:cNvPr>
        <xdr:cNvCxnSpPr/>
      </xdr:nvCxnSpPr>
      <xdr:spPr>
        <a:xfrm flipH="1">
          <a:off x="10900276647" y="11153775"/>
          <a:ext cx="8324851" cy="2834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361951</xdr:colOff>
      <xdr:row>48</xdr:row>
      <xdr:rowOff>57150</xdr:rowOff>
    </xdr:from>
    <xdr:to>
      <xdr:col>29</xdr:col>
      <xdr:colOff>341000</xdr:colOff>
      <xdr:row>50</xdr:row>
      <xdr:rowOff>66675</xdr:rowOff>
    </xdr:to>
    <xdr:sp macro="" textlink="calc!DJ26">
      <xdr:nvSpPr>
        <xdr:cNvPr id="1112" name="TextBox 1111">
          <a:extLst>
            <a:ext uri="{FF2B5EF4-FFF2-40B4-BE49-F238E27FC236}">
              <a16:creationId xmlns:a16="http://schemas.microsoft.com/office/drawing/2014/main" id="{A0D61837-B6DB-4146-B565-F84CFE12A2FE}"/>
            </a:ext>
          </a:extLst>
        </xdr:cNvPr>
        <xdr:cNvSpPr txBox="1"/>
      </xdr:nvSpPr>
      <xdr:spPr>
        <a:xfrm>
          <a:off x="10905364900" y="9934575"/>
          <a:ext cx="144589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23B3C35C-AAA4-40C1-AACC-CD05B07F3376}" type="TxLink">
            <a:rPr lang="en-US" sz="16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14,103,620 </a:t>
          </a:fld>
          <a:endParaRPr lang="fa-IR" sz="16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26</xdr:col>
      <xdr:colOff>331475</xdr:colOff>
      <xdr:row>50</xdr:row>
      <xdr:rowOff>142875</xdr:rowOff>
    </xdr:from>
    <xdr:to>
      <xdr:col>29</xdr:col>
      <xdr:colOff>310524</xdr:colOff>
      <xdr:row>52</xdr:row>
      <xdr:rowOff>152400</xdr:rowOff>
    </xdr:to>
    <xdr:sp macro="" textlink="calc!DJ27">
      <xdr:nvSpPr>
        <xdr:cNvPr id="1113" name="TextBox 1112">
          <a:extLst>
            <a:ext uri="{FF2B5EF4-FFF2-40B4-BE49-F238E27FC236}">
              <a16:creationId xmlns:a16="http://schemas.microsoft.com/office/drawing/2014/main" id="{3E540A45-8843-4ECE-B2D3-89C88F3BBB11}"/>
            </a:ext>
          </a:extLst>
        </xdr:cNvPr>
        <xdr:cNvSpPr txBox="1"/>
      </xdr:nvSpPr>
      <xdr:spPr>
        <a:xfrm>
          <a:off x="10905395376" y="10363200"/>
          <a:ext cx="144589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A566B710-208D-4CB6-A90E-7488852A30D5}"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9,513,728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26</xdr:col>
      <xdr:colOff>329574</xdr:colOff>
      <xdr:row>53</xdr:row>
      <xdr:rowOff>19050</xdr:rowOff>
    </xdr:from>
    <xdr:to>
      <xdr:col>29</xdr:col>
      <xdr:colOff>308623</xdr:colOff>
      <xdr:row>55</xdr:row>
      <xdr:rowOff>28575</xdr:rowOff>
    </xdr:to>
    <xdr:sp macro="" textlink="calc!DJ28">
      <xdr:nvSpPr>
        <xdr:cNvPr id="1114" name="TextBox 1113">
          <a:extLst>
            <a:ext uri="{FF2B5EF4-FFF2-40B4-BE49-F238E27FC236}">
              <a16:creationId xmlns:a16="http://schemas.microsoft.com/office/drawing/2014/main" id="{938EAAD1-0D9B-40EF-995C-FB791BA10DB9}"/>
            </a:ext>
          </a:extLst>
        </xdr:cNvPr>
        <xdr:cNvSpPr txBox="1"/>
      </xdr:nvSpPr>
      <xdr:spPr>
        <a:xfrm>
          <a:off x="10905397277" y="10753725"/>
          <a:ext cx="144589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E80F5624-E9D1-4645-ADC4-08F68726BF87}"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868,755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26</xdr:col>
      <xdr:colOff>318148</xdr:colOff>
      <xdr:row>55</xdr:row>
      <xdr:rowOff>95250</xdr:rowOff>
    </xdr:from>
    <xdr:to>
      <xdr:col>29</xdr:col>
      <xdr:colOff>297197</xdr:colOff>
      <xdr:row>57</xdr:row>
      <xdr:rowOff>104775</xdr:rowOff>
    </xdr:to>
    <xdr:sp macro="" textlink="calc!DJ29">
      <xdr:nvSpPr>
        <xdr:cNvPr id="1115" name="TextBox 1114">
          <a:extLst>
            <a:ext uri="{FF2B5EF4-FFF2-40B4-BE49-F238E27FC236}">
              <a16:creationId xmlns:a16="http://schemas.microsoft.com/office/drawing/2014/main" id="{86E31ED8-E083-4AD2-A7C4-514999525FB6}"/>
            </a:ext>
          </a:extLst>
        </xdr:cNvPr>
        <xdr:cNvSpPr txBox="1"/>
      </xdr:nvSpPr>
      <xdr:spPr>
        <a:xfrm>
          <a:off x="10905408703" y="11172825"/>
          <a:ext cx="144589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27390CD7-8F6D-4D89-9961-89120C3D0BE5}"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1,068,985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29</xdr:col>
      <xdr:colOff>685800</xdr:colOff>
      <xdr:row>47</xdr:row>
      <xdr:rowOff>19050</xdr:rowOff>
    </xdr:from>
    <xdr:to>
      <xdr:col>31</xdr:col>
      <xdr:colOff>903515</xdr:colOff>
      <xdr:row>51</xdr:row>
      <xdr:rowOff>94647</xdr:rowOff>
    </xdr:to>
    <xdr:sp macro="" textlink="calc!DJ7">
      <xdr:nvSpPr>
        <xdr:cNvPr id="1116" name="TextBox 1115">
          <a:extLst>
            <a:ext uri="{FF2B5EF4-FFF2-40B4-BE49-F238E27FC236}">
              <a16:creationId xmlns:a16="http://schemas.microsoft.com/office/drawing/2014/main" id="{50411475-FAED-4A18-A5E8-7C9FF07D2514}"/>
            </a:ext>
          </a:extLst>
        </xdr:cNvPr>
        <xdr:cNvSpPr txBox="1"/>
      </xdr:nvSpPr>
      <xdr:spPr>
        <a:xfrm>
          <a:off x="10903240285" y="9725025"/>
          <a:ext cx="1779815" cy="761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36F3DC69-1448-4950-9DD1-BAF2AF55F4B7}"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7,559,740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29</xdr:col>
      <xdr:colOff>771525</xdr:colOff>
      <xdr:row>50</xdr:row>
      <xdr:rowOff>0</xdr:rowOff>
    </xdr:from>
    <xdr:to>
      <xdr:col>31</xdr:col>
      <xdr:colOff>783850</xdr:colOff>
      <xdr:row>53</xdr:row>
      <xdr:rowOff>83912</xdr:rowOff>
    </xdr:to>
    <xdr:sp macro="" textlink="calc!DJ8">
      <xdr:nvSpPr>
        <xdr:cNvPr id="1117" name="TextBox 1116">
          <a:extLst>
            <a:ext uri="{FF2B5EF4-FFF2-40B4-BE49-F238E27FC236}">
              <a16:creationId xmlns:a16="http://schemas.microsoft.com/office/drawing/2014/main" id="{9F3F0F23-2BD0-46F1-A978-8F5CCFC6D255}"/>
            </a:ext>
          </a:extLst>
        </xdr:cNvPr>
        <xdr:cNvSpPr txBox="1"/>
      </xdr:nvSpPr>
      <xdr:spPr>
        <a:xfrm>
          <a:off x="10903359950" y="10220325"/>
          <a:ext cx="1574425" cy="598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99ACD0E2-2821-4DA2-B56C-93C96DE69865}"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1,769,910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29</xdr:col>
      <xdr:colOff>838200</xdr:colOff>
      <xdr:row>52</xdr:row>
      <xdr:rowOff>57150</xdr:rowOff>
    </xdr:from>
    <xdr:to>
      <xdr:col>31</xdr:col>
      <xdr:colOff>776709</xdr:colOff>
      <xdr:row>55</xdr:row>
      <xdr:rowOff>154972</xdr:rowOff>
    </xdr:to>
    <xdr:sp macro="" textlink="calc!DJ9">
      <xdr:nvSpPr>
        <xdr:cNvPr id="1118" name="TextBox 1117">
          <a:extLst>
            <a:ext uri="{FF2B5EF4-FFF2-40B4-BE49-F238E27FC236}">
              <a16:creationId xmlns:a16="http://schemas.microsoft.com/office/drawing/2014/main" id="{460056AF-F528-4403-9166-3EAE164EA279}"/>
            </a:ext>
          </a:extLst>
        </xdr:cNvPr>
        <xdr:cNvSpPr txBox="1"/>
      </xdr:nvSpPr>
      <xdr:spPr>
        <a:xfrm>
          <a:off x="10903367091" y="10620375"/>
          <a:ext cx="1500609" cy="612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2AA48DD7-0E87-470E-A435-0F6EAB7D48A8}"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214,525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30</xdr:col>
      <xdr:colOff>219075</xdr:colOff>
      <xdr:row>54</xdr:row>
      <xdr:rowOff>133350</xdr:rowOff>
    </xdr:from>
    <xdr:to>
      <xdr:col>31</xdr:col>
      <xdr:colOff>760798</xdr:colOff>
      <xdr:row>58</xdr:row>
      <xdr:rowOff>18598</xdr:rowOff>
    </xdr:to>
    <xdr:sp macro="" textlink="calc!DJ10">
      <xdr:nvSpPr>
        <xdr:cNvPr id="1119" name="TextBox 1118">
          <a:extLst>
            <a:ext uri="{FF2B5EF4-FFF2-40B4-BE49-F238E27FC236}">
              <a16:creationId xmlns:a16="http://schemas.microsoft.com/office/drawing/2014/main" id="{86D8100A-CD41-4BEC-A10D-627A2F53B684}"/>
            </a:ext>
          </a:extLst>
        </xdr:cNvPr>
        <xdr:cNvSpPr txBox="1"/>
      </xdr:nvSpPr>
      <xdr:spPr>
        <a:xfrm>
          <a:off x="10903383002" y="11039475"/>
          <a:ext cx="1208473" cy="5710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B5887625-CD33-4AEA-A822-F754B7EC89ED}"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816,965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33</xdr:col>
      <xdr:colOff>238126</xdr:colOff>
      <xdr:row>47</xdr:row>
      <xdr:rowOff>57151</xdr:rowOff>
    </xdr:from>
    <xdr:to>
      <xdr:col>35</xdr:col>
      <xdr:colOff>303441</xdr:colOff>
      <xdr:row>51</xdr:row>
      <xdr:rowOff>104173</xdr:rowOff>
    </xdr:to>
    <xdr:sp macro="" textlink="calc!DJ13">
      <xdr:nvSpPr>
        <xdr:cNvPr id="1120" name="TextBox 1119">
          <a:extLst>
            <a:ext uri="{FF2B5EF4-FFF2-40B4-BE49-F238E27FC236}">
              <a16:creationId xmlns:a16="http://schemas.microsoft.com/office/drawing/2014/main" id="{1921CB76-5FB8-4D40-ABD9-CDFEC91FCF4C}"/>
            </a:ext>
          </a:extLst>
        </xdr:cNvPr>
        <xdr:cNvSpPr txBox="1"/>
      </xdr:nvSpPr>
      <xdr:spPr>
        <a:xfrm>
          <a:off x="10900849509" y="9763126"/>
          <a:ext cx="1779815" cy="732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4E842DA2-0F4F-49E2-A5E2-C4D99B1E822F}"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6,543,880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33</xdr:col>
      <xdr:colOff>438150</xdr:colOff>
      <xdr:row>50</xdr:row>
      <xdr:rowOff>38100</xdr:rowOff>
    </xdr:from>
    <xdr:to>
      <xdr:col>35</xdr:col>
      <xdr:colOff>306240</xdr:colOff>
      <xdr:row>53</xdr:row>
      <xdr:rowOff>97520</xdr:rowOff>
    </xdr:to>
    <xdr:sp macro="" textlink="calc!DJ14">
      <xdr:nvSpPr>
        <xdr:cNvPr id="1121" name="TextBox 1120">
          <a:extLst>
            <a:ext uri="{FF2B5EF4-FFF2-40B4-BE49-F238E27FC236}">
              <a16:creationId xmlns:a16="http://schemas.microsoft.com/office/drawing/2014/main" id="{A13F05EB-06DE-4168-8F42-C648CDD2A1C5}"/>
            </a:ext>
          </a:extLst>
        </xdr:cNvPr>
        <xdr:cNvSpPr txBox="1"/>
      </xdr:nvSpPr>
      <xdr:spPr>
        <a:xfrm>
          <a:off x="10900846710" y="10258425"/>
          <a:ext cx="1582590" cy="573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89D20D16-8E0A-4CE7-9354-07D3BD364895}"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7,743,818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33</xdr:col>
      <xdr:colOff>438150</xdr:colOff>
      <xdr:row>52</xdr:row>
      <xdr:rowOff>104775</xdr:rowOff>
    </xdr:from>
    <xdr:to>
      <xdr:col>35</xdr:col>
      <xdr:colOff>224259</xdr:colOff>
      <xdr:row>56</xdr:row>
      <xdr:rowOff>9375</xdr:rowOff>
    </xdr:to>
    <xdr:sp macro="" textlink="calc!DJ15">
      <xdr:nvSpPr>
        <xdr:cNvPr id="1122" name="TextBox 1121">
          <a:extLst>
            <a:ext uri="{FF2B5EF4-FFF2-40B4-BE49-F238E27FC236}">
              <a16:creationId xmlns:a16="http://schemas.microsoft.com/office/drawing/2014/main" id="{B1CAFB88-0458-44B6-8359-617FEC3A9B8B}"/>
            </a:ext>
          </a:extLst>
        </xdr:cNvPr>
        <xdr:cNvSpPr txBox="1"/>
      </xdr:nvSpPr>
      <xdr:spPr>
        <a:xfrm>
          <a:off x="10900928691" y="10668000"/>
          <a:ext cx="1500609" cy="590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B8CCBB2F-463F-4458-A98F-0EB00928238D}" type="TxLink">
            <a:rPr lang="en-US"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654,230 </a:t>
          </a:fld>
          <a:endParaRPr lang="fa-IR" sz="18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33</xdr:col>
      <xdr:colOff>714375</xdr:colOff>
      <xdr:row>55</xdr:row>
      <xdr:rowOff>0</xdr:rowOff>
    </xdr:from>
    <xdr:to>
      <xdr:col>35</xdr:col>
      <xdr:colOff>208348</xdr:colOff>
      <xdr:row>58</xdr:row>
      <xdr:rowOff>36286</xdr:rowOff>
    </xdr:to>
    <xdr:sp macro="" textlink="calc!DJ16">
      <xdr:nvSpPr>
        <xdr:cNvPr id="1123" name="TextBox 1122">
          <a:extLst>
            <a:ext uri="{FF2B5EF4-FFF2-40B4-BE49-F238E27FC236}">
              <a16:creationId xmlns:a16="http://schemas.microsoft.com/office/drawing/2014/main" id="{4BE8186F-576F-4E8A-B196-6A0E2046087F}"/>
            </a:ext>
          </a:extLst>
        </xdr:cNvPr>
        <xdr:cNvSpPr txBox="1"/>
      </xdr:nvSpPr>
      <xdr:spPr>
        <a:xfrm>
          <a:off x="10900944602" y="11077575"/>
          <a:ext cx="1208473" cy="550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l" rtl="1"/>
          <a:fld id="{DC8DF230-3D88-4C45-BCF9-A5000651AF21}" type="TxLink">
            <a:rPr lang="en-US" sz="16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l" rtl="1"/>
            <a:t> 252,020 </a:t>
          </a:fld>
          <a:endParaRPr lang="fa-IR" sz="1600" b="1" i="0" u="none" strike="noStrike" baseline="0">
            <a:solidFill>
              <a:schemeClr val="accent1">
                <a:lumMod val="40000"/>
                <a:lumOff val="60000"/>
              </a:schemeClr>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24</xdr:col>
      <xdr:colOff>228600</xdr:colOff>
      <xdr:row>34</xdr:row>
      <xdr:rowOff>57150</xdr:rowOff>
    </xdr:from>
    <xdr:to>
      <xdr:col>35</xdr:col>
      <xdr:colOff>771525</xdr:colOff>
      <xdr:row>34</xdr:row>
      <xdr:rowOff>76200</xdr:rowOff>
    </xdr:to>
    <xdr:cxnSp macro="">
      <xdr:nvCxnSpPr>
        <xdr:cNvPr id="1125" name="Straight Connector 1124">
          <a:extLst>
            <a:ext uri="{FF2B5EF4-FFF2-40B4-BE49-F238E27FC236}">
              <a16:creationId xmlns:a16="http://schemas.microsoft.com/office/drawing/2014/main" id="{77FC07D1-AC38-40F2-8346-D00E621179CD}"/>
            </a:ext>
          </a:extLst>
        </xdr:cNvPr>
        <xdr:cNvCxnSpPr/>
      </xdr:nvCxnSpPr>
      <xdr:spPr>
        <a:xfrm flipH="1">
          <a:off x="10900381425" y="7277100"/>
          <a:ext cx="8124825"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238125</xdr:colOff>
      <xdr:row>35</xdr:row>
      <xdr:rowOff>209550</xdr:rowOff>
    </xdr:from>
    <xdr:to>
      <xdr:col>35</xdr:col>
      <xdr:colOff>781050</xdr:colOff>
      <xdr:row>35</xdr:row>
      <xdr:rowOff>228600</xdr:rowOff>
    </xdr:to>
    <xdr:cxnSp macro="">
      <xdr:nvCxnSpPr>
        <xdr:cNvPr id="1126" name="Straight Connector 1125">
          <a:extLst>
            <a:ext uri="{FF2B5EF4-FFF2-40B4-BE49-F238E27FC236}">
              <a16:creationId xmlns:a16="http://schemas.microsoft.com/office/drawing/2014/main" id="{8F10E843-6970-49B7-9B3F-0D2FE25C4A7F}"/>
            </a:ext>
          </a:extLst>
        </xdr:cNvPr>
        <xdr:cNvCxnSpPr/>
      </xdr:nvCxnSpPr>
      <xdr:spPr>
        <a:xfrm flipH="1">
          <a:off x="10900371900" y="7686675"/>
          <a:ext cx="8124825"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219075</xdr:colOff>
      <xdr:row>37</xdr:row>
      <xdr:rowOff>114300</xdr:rowOff>
    </xdr:from>
    <xdr:to>
      <xdr:col>35</xdr:col>
      <xdr:colOff>762000</xdr:colOff>
      <xdr:row>37</xdr:row>
      <xdr:rowOff>133350</xdr:rowOff>
    </xdr:to>
    <xdr:cxnSp macro="">
      <xdr:nvCxnSpPr>
        <xdr:cNvPr id="1127" name="Straight Connector 1126">
          <a:extLst>
            <a:ext uri="{FF2B5EF4-FFF2-40B4-BE49-F238E27FC236}">
              <a16:creationId xmlns:a16="http://schemas.microsoft.com/office/drawing/2014/main" id="{CDC78BC0-1FAF-48CF-8BBA-A2A85B5B8B2B}"/>
            </a:ext>
          </a:extLst>
        </xdr:cNvPr>
        <xdr:cNvCxnSpPr/>
      </xdr:nvCxnSpPr>
      <xdr:spPr>
        <a:xfrm flipH="1">
          <a:off x="10900390950" y="8105775"/>
          <a:ext cx="8124825"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190500</xdr:colOff>
      <xdr:row>40</xdr:row>
      <xdr:rowOff>76200</xdr:rowOff>
    </xdr:from>
    <xdr:to>
      <xdr:col>35</xdr:col>
      <xdr:colOff>733425</xdr:colOff>
      <xdr:row>40</xdr:row>
      <xdr:rowOff>95250</xdr:rowOff>
    </xdr:to>
    <xdr:cxnSp macro="">
      <xdr:nvCxnSpPr>
        <xdr:cNvPr id="1128" name="Straight Connector 1127">
          <a:extLst>
            <a:ext uri="{FF2B5EF4-FFF2-40B4-BE49-F238E27FC236}">
              <a16:creationId xmlns:a16="http://schemas.microsoft.com/office/drawing/2014/main" id="{8179E89D-46E3-492A-A4BB-35A9D38F81CD}"/>
            </a:ext>
          </a:extLst>
        </xdr:cNvPr>
        <xdr:cNvCxnSpPr/>
      </xdr:nvCxnSpPr>
      <xdr:spPr>
        <a:xfrm flipH="1">
          <a:off x="10900419525" y="8582025"/>
          <a:ext cx="8124825"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104778</xdr:colOff>
      <xdr:row>58</xdr:row>
      <xdr:rowOff>0</xdr:rowOff>
    </xdr:from>
    <xdr:to>
      <xdr:col>35</xdr:col>
      <xdr:colOff>847729</xdr:colOff>
      <xdr:row>58</xdr:row>
      <xdr:rowOff>28348</xdr:rowOff>
    </xdr:to>
    <xdr:cxnSp macro="">
      <xdr:nvCxnSpPr>
        <xdr:cNvPr id="1132" name="Straight Connector 1131">
          <a:extLst>
            <a:ext uri="{FF2B5EF4-FFF2-40B4-BE49-F238E27FC236}">
              <a16:creationId xmlns:a16="http://schemas.microsoft.com/office/drawing/2014/main" id="{1E017E26-41D9-4A50-A62C-B8C4103D7D09}"/>
            </a:ext>
          </a:extLst>
        </xdr:cNvPr>
        <xdr:cNvCxnSpPr/>
      </xdr:nvCxnSpPr>
      <xdr:spPr>
        <a:xfrm flipH="1">
          <a:off x="10900305221" y="11591925"/>
          <a:ext cx="8324851" cy="2834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514350</xdr:colOff>
      <xdr:row>57</xdr:row>
      <xdr:rowOff>101600</xdr:rowOff>
    </xdr:from>
    <xdr:to>
      <xdr:col>26</xdr:col>
      <xdr:colOff>108584</xdr:colOff>
      <xdr:row>61</xdr:row>
      <xdr:rowOff>16632</xdr:rowOff>
    </xdr:to>
    <xdr:sp macro="" textlink="">
      <xdr:nvSpPr>
        <xdr:cNvPr id="1137" name="TextBox 1136">
          <a:extLst>
            <a:ext uri="{FF2B5EF4-FFF2-40B4-BE49-F238E27FC236}">
              <a16:creationId xmlns:a16="http://schemas.microsoft.com/office/drawing/2014/main" id="{70BA62E8-15EF-4BAA-849D-732F7C793F11}"/>
            </a:ext>
          </a:extLst>
        </xdr:cNvPr>
        <xdr:cNvSpPr txBox="1"/>
      </xdr:nvSpPr>
      <xdr:spPr>
        <a:xfrm>
          <a:off x="10907064166" y="11522075"/>
          <a:ext cx="1156334" cy="600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r" rtl="1"/>
          <a:r>
            <a:rPr lang="fa-IR"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Titr" panose="00000700000000000000" pitchFamily="2" charset="-78"/>
            </a:rPr>
            <a:t>جمع کل</a:t>
          </a:r>
        </a:p>
      </xdr:txBody>
    </xdr:sp>
    <xdr:clientData/>
  </xdr:twoCellAnchor>
  <xdr:twoCellAnchor>
    <xdr:from>
      <xdr:col>26</xdr:col>
      <xdr:colOff>203200</xdr:colOff>
      <xdr:row>58</xdr:row>
      <xdr:rowOff>8466</xdr:rowOff>
    </xdr:from>
    <xdr:to>
      <xdr:col>29</xdr:col>
      <xdr:colOff>257196</xdr:colOff>
      <xdr:row>60</xdr:row>
      <xdr:rowOff>66675</xdr:rowOff>
    </xdr:to>
    <xdr:sp macro="" textlink="calc!DJ30">
      <xdr:nvSpPr>
        <xdr:cNvPr id="1138" name="TextBox 1137">
          <a:extLst>
            <a:ext uri="{FF2B5EF4-FFF2-40B4-BE49-F238E27FC236}">
              <a16:creationId xmlns:a16="http://schemas.microsoft.com/office/drawing/2014/main" id="{D83A2B7A-C849-4B3E-AE29-E4F48A072194}"/>
            </a:ext>
          </a:extLst>
        </xdr:cNvPr>
        <xdr:cNvSpPr txBox="1"/>
      </xdr:nvSpPr>
      <xdr:spPr>
        <a:xfrm>
          <a:off x="10940056204" y="11726333"/>
          <a:ext cx="1527196" cy="4138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2FDE3352-1EF1-4F6D-B2BD-431B9F75E56A}" type="TxLink">
            <a:rPr lang="en-US"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25,555,088 </a:t>
          </a:fld>
          <a:endParaRPr lang="fa-IR"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30</xdr:col>
      <xdr:colOff>114321</xdr:colOff>
      <xdr:row>58</xdr:row>
      <xdr:rowOff>8467</xdr:rowOff>
    </xdr:from>
    <xdr:to>
      <xdr:col>31</xdr:col>
      <xdr:colOff>1015999</xdr:colOff>
      <xdr:row>60</xdr:row>
      <xdr:rowOff>76201</xdr:rowOff>
    </xdr:to>
    <xdr:sp macro="" textlink="calc!DJ11">
      <xdr:nvSpPr>
        <xdr:cNvPr id="1139" name="TextBox 1138">
          <a:extLst>
            <a:ext uri="{FF2B5EF4-FFF2-40B4-BE49-F238E27FC236}">
              <a16:creationId xmlns:a16="http://schemas.microsoft.com/office/drawing/2014/main" id="{7EA569A6-FB58-43B2-A8EE-6384C7BE65E1}"/>
            </a:ext>
          </a:extLst>
        </xdr:cNvPr>
        <xdr:cNvSpPr txBox="1"/>
      </xdr:nvSpPr>
      <xdr:spPr>
        <a:xfrm>
          <a:off x="10937731067" y="11726334"/>
          <a:ext cx="1570545" cy="423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EC1A69DD-6152-4407-832E-F1488FC287E1}" type="TxLink">
            <a:rPr lang="en-US"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10,361,140 </a:t>
          </a:fld>
          <a:endParaRPr lang="fa-IR"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33</xdr:col>
      <xdr:colOff>693445</xdr:colOff>
      <xdr:row>57</xdr:row>
      <xdr:rowOff>160867</xdr:rowOff>
    </xdr:from>
    <xdr:to>
      <xdr:col>35</xdr:col>
      <xdr:colOff>440266</xdr:colOff>
      <xdr:row>60</xdr:row>
      <xdr:rowOff>76201</xdr:rowOff>
    </xdr:to>
    <xdr:sp macro="" textlink="calc!DJ17">
      <xdr:nvSpPr>
        <xdr:cNvPr id="1140" name="TextBox 1139">
          <a:extLst>
            <a:ext uri="{FF2B5EF4-FFF2-40B4-BE49-F238E27FC236}">
              <a16:creationId xmlns:a16="http://schemas.microsoft.com/office/drawing/2014/main" id="{CB6F3EF6-A2A4-48F5-BFC6-DA81AF2941DE}"/>
            </a:ext>
          </a:extLst>
        </xdr:cNvPr>
        <xdr:cNvSpPr txBox="1"/>
      </xdr:nvSpPr>
      <xdr:spPr>
        <a:xfrm>
          <a:off x="10935309600" y="11700934"/>
          <a:ext cx="1457088" cy="448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171CC42A-D619-4D1C-8FE0-272DC45B2BED}" type="TxLink">
            <a:rPr lang="en-US"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marL="0" indent="0" algn="ctr" rtl="1"/>
            <a:t> 15,193,948 </a:t>
          </a:fld>
          <a:endParaRPr lang="fa-IR" sz="16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twoCellAnchor>
    <xdr:from>
      <xdr:col>33</xdr:col>
      <xdr:colOff>114300</xdr:colOff>
      <xdr:row>17</xdr:row>
      <xdr:rowOff>104775</xdr:rowOff>
    </xdr:from>
    <xdr:to>
      <xdr:col>35</xdr:col>
      <xdr:colOff>855435</xdr:colOff>
      <xdr:row>25</xdr:row>
      <xdr:rowOff>137432</xdr:rowOff>
    </xdr:to>
    <xdr:sp macro="" textlink="">
      <xdr:nvSpPr>
        <xdr:cNvPr id="44" name="Rectangle: Rounded Corners 43">
          <a:extLst>
            <a:ext uri="{FF2B5EF4-FFF2-40B4-BE49-F238E27FC236}">
              <a16:creationId xmlns:a16="http://schemas.microsoft.com/office/drawing/2014/main" id="{A3B234E4-E266-466D-9339-544551003CD8}"/>
            </a:ext>
          </a:extLst>
        </xdr:cNvPr>
        <xdr:cNvSpPr/>
      </xdr:nvSpPr>
      <xdr:spPr>
        <a:xfrm>
          <a:off x="10900297515" y="3810000"/>
          <a:ext cx="2455635" cy="1632857"/>
        </a:xfrm>
        <a:prstGeom prst="roundRect">
          <a:avLst>
            <a:gd name="adj" fmla="val 9359"/>
          </a:avLst>
        </a:prstGeom>
        <a:solidFill>
          <a:srgbClr val="2A2E32"/>
        </a:solidFill>
        <a:ln w="38100">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31</xdr:col>
      <xdr:colOff>1026885</xdr:colOff>
      <xdr:row>16</xdr:row>
      <xdr:rowOff>152400</xdr:rowOff>
    </xdr:from>
    <xdr:to>
      <xdr:col>36</xdr:col>
      <xdr:colOff>121297</xdr:colOff>
      <xdr:row>20</xdr:row>
      <xdr:rowOff>120363</xdr:rowOff>
    </xdr:to>
    <xdr:sp macro="" textlink="">
      <xdr:nvSpPr>
        <xdr:cNvPr id="51" name="TextBox 50">
          <a:extLst>
            <a:ext uri="{FF2B5EF4-FFF2-40B4-BE49-F238E27FC236}">
              <a16:creationId xmlns:a16="http://schemas.microsoft.com/office/drawing/2014/main" id="{A4679B09-864B-4C00-A43A-9F9720D8BC04}"/>
            </a:ext>
          </a:extLst>
        </xdr:cNvPr>
        <xdr:cNvSpPr txBox="1"/>
      </xdr:nvSpPr>
      <xdr:spPr>
        <a:xfrm>
          <a:off x="10900174403" y="3619500"/>
          <a:ext cx="2942512" cy="806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algn="ctr" rtl="1"/>
          <a:r>
            <a:rPr lang="fa-IR" sz="1400" b="1" i="0" u="none" strike="noStrike" baseline="0">
              <a:solidFill>
                <a:srgbClr val="FFFFFF"/>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Koodak" panose="00000700000000000000" pitchFamily="2" charset="-78"/>
            </a:rPr>
            <a:t>میانگین قیمت بار حمل نشده سال </a:t>
          </a:r>
        </a:p>
      </xdr:txBody>
    </xdr:sp>
    <xdr:clientData/>
  </xdr:twoCellAnchor>
  <xdr:twoCellAnchor>
    <xdr:from>
      <xdr:col>33</xdr:col>
      <xdr:colOff>566988</xdr:colOff>
      <xdr:row>18</xdr:row>
      <xdr:rowOff>101147</xdr:rowOff>
    </xdr:from>
    <xdr:to>
      <xdr:col>35</xdr:col>
      <xdr:colOff>357387</xdr:colOff>
      <xdr:row>22</xdr:row>
      <xdr:rowOff>107210</xdr:rowOff>
    </xdr:to>
    <xdr:sp macro="" textlink="year">
      <xdr:nvSpPr>
        <xdr:cNvPr id="57" name="TextBox 56">
          <a:extLst>
            <a:ext uri="{FF2B5EF4-FFF2-40B4-BE49-F238E27FC236}">
              <a16:creationId xmlns:a16="http://schemas.microsoft.com/office/drawing/2014/main" id="{0B013448-2AC7-4032-8BA9-BC26BAC2D490}"/>
            </a:ext>
          </a:extLst>
        </xdr:cNvPr>
        <xdr:cNvSpPr txBox="1"/>
      </xdr:nvSpPr>
      <xdr:spPr>
        <a:xfrm>
          <a:off x="10900795563" y="4006397"/>
          <a:ext cx="1504899" cy="806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algn="ctr" rtl="1"/>
          <a:fld id="{83FB68DC-B06E-4539-BD54-FAF5FFAE43E2}" type="TxLink">
            <a:rPr lang="en-US" sz="20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rPr>
            <a:pPr algn="ctr" rtl="1"/>
            <a:t>1405</a:t>
          </a:fld>
          <a:endParaRPr lang="fa-IR" sz="2000" b="1" i="0" u="none" strike="noStrike" baseline="0">
            <a:solidFill>
              <a:schemeClr val="accent2"/>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Koodak" panose="00000700000000000000" pitchFamily="2" charset="-78"/>
          </a:endParaRPr>
        </a:p>
      </xdr:txBody>
    </xdr:sp>
    <xdr:clientData/>
  </xdr:twoCellAnchor>
  <xdr:twoCellAnchor>
    <xdr:from>
      <xdr:col>33</xdr:col>
      <xdr:colOff>318048</xdr:colOff>
      <xdr:row>18</xdr:row>
      <xdr:rowOff>179464</xdr:rowOff>
    </xdr:from>
    <xdr:to>
      <xdr:col>35</xdr:col>
      <xdr:colOff>708718</xdr:colOff>
      <xdr:row>28</xdr:row>
      <xdr:rowOff>74187</xdr:rowOff>
    </xdr:to>
    <xdr:sp macro="" textlink="calc!DB30">
      <xdr:nvSpPr>
        <xdr:cNvPr id="62" name="TextBox 61">
          <a:extLst>
            <a:ext uri="{FF2B5EF4-FFF2-40B4-BE49-F238E27FC236}">
              <a16:creationId xmlns:a16="http://schemas.microsoft.com/office/drawing/2014/main" id="{75F4B69E-695F-4C15-AD97-6586DA548614}"/>
            </a:ext>
          </a:extLst>
        </xdr:cNvPr>
        <xdr:cNvSpPr txBox="1"/>
      </xdr:nvSpPr>
      <xdr:spPr>
        <a:xfrm>
          <a:off x="10935041148" y="4124931"/>
          <a:ext cx="2100937" cy="1842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36000" rtlCol="0" anchor="ctr"/>
        <a:lstStyle/>
        <a:p>
          <a:pPr marL="0" indent="0" algn="ctr" rtl="1"/>
          <a:fld id="{0FB9100C-D0AA-4D0B-9F5B-4F0748C805C2}" type="TxLink">
            <a:rPr lang="en-US" sz="2400" b="1" i="0" u="none" strike="noStrike" baseline="0">
              <a:solidFill>
                <a:srgbClr val="FFFFFF"/>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B Nazanin"/>
            </a:rPr>
            <a:pPr marL="0" indent="0" algn="ctr" rtl="1"/>
            <a:t> 191,079 </a:t>
          </a:fld>
          <a:endParaRPr lang="fa-IR" sz="4800" b="1" i="0" u="none" strike="noStrike" baseline="0">
            <a:solidFill>
              <a:srgbClr val="FFFFFF"/>
            </a:solidFill>
            <a:effectLst>
              <a:outerShdw blurRad="50800" dist="50800" dir="5400000" sx="3000" sy="3000" algn="ctr" rotWithShape="0">
                <a:srgbClr val="000000">
                  <a:alpha val="43137"/>
                </a:srgbClr>
              </a:outerShdw>
              <a:reflection stA="45000" endPos="0" dist="50800" dir="5400000" sy="-100000" algn="bl" rotWithShape="0"/>
            </a:effectLst>
            <a:latin typeface="Calibri"/>
            <a:ea typeface="+mn-ea"/>
            <a:cs typeface="Calibri"/>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0.4415</cdr:x>
      <cdr:y>0.91858</cdr:y>
    </cdr:from>
    <cdr:to>
      <cdr:x>0.59107</cdr:x>
      <cdr:y>0.94849</cdr:y>
    </cdr:to>
    <cdr:sp macro="" textlink="">
      <cdr:nvSpPr>
        <cdr:cNvPr id="2" name="TextBox 1">
          <a:extLst xmlns:a="http://schemas.openxmlformats.org/drawingml/2006/main">
            <a:ext uri="{FF2B5EF4-FFF2-40B4-BE49-F238E27FC236}">
              <a16:creationId xmlns:a16="http://schemas.microsoft.com/office/drawing/2014/main" id="{C22E4517-5977-1350-5569-7AFC871C5584}"/>
            </a:ext>
          </a:extLst>
        </cdr:cNvPr>
        <cdr:cNvSpPr txBox="1"/>
      </cdr:nvSpPr>
      <cdr:spPr>
        <a:xfrm xmlns:a="http://schemas.openxmlformats.org/drawingml/2006/main">
          <a:off x="3098800" y="1404098"/>
          <a:ext cx="1049867" cy="45719"/>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fa-IR" sz="1100" kern="1200"/>
        </a:p>
      </cdr:txBody>
    </cdr:sp>
  </cdr:relSizeAnchor>
</c:userShapes>
</file>

<file path=xl/drawings/drawing3.xml><?xml version="1.0" encoding="utf-8"?>
<c:userShapes xmlns:c="http://schemas.openxmlformats.org/drawingml/2006/chart">
  <cdr:relSizeAnchor xmlns:cdr="http://schemas.openxmlformats.org/drawingml/2006/chartDrawing">
    <cdr:from>
      <cdr:x>0.4415</cdr:x>
      <cdr:y>0.91858</cdr:y>
    </cdr:from>
    <cdr:to>
      <cdr:x>0.59107</cdr:x>
      <cdr:y>0.94849</cdr:y>
    </cdr:to>
    <cdr:sp macro="" textlink="">
      <cdr:nvSpPr>
        <cdr:cNvPr id="2" name="TextBox 1">
          <a:extLst xmlns:a="http://schemas.openxmlformats.org/drawingml/2006/main">
            <a:ext uri="{FF2B5EF4-FFF2-40B4-BE49-F238E27FC236}">
              <a16:creationId xmlns:a16="http://schemas.microsoft.com/office/drawing/2014/main" id="{C22E4517-5977-1350-5569-7AFC871C5584}"/>
            </a:ext>
          </a:extLst>
        </cdr:cNvPr>
        <cdr:cNvSpPr txBox="1"/>
      </cdr:nvSpPr>
      <cdr:spPr>
        <a:xfrm xmlns:a="http://schemas.openxmlformats.org/drawingml/2006/main">
          <a:off x="3098800" y="1404098"/>
          <a:ext cx="1049867" cy="45719"/>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fa-IR" sz="1100" kern="1200"/>
        </a:p>
      </cdr:txBody>
    </cdr:sp>
  </cdr:relSizeAnchor>
</c:userShape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Moghadam" refreshedDate="46228.414951388891" backgroundQuery="1" createdVersion="6" refreshedVersion="8" minRefreshableVersion="3" recordCount="0" supportSubquery="1" supportAdvancedDrill="1" xr:uid="{0AB4DF81-2CD9-429C-AE47-1EEEE3CAD299}">
  <cacheSource type="external" connectionId="12"/>
  <cacheFields count="6">
    <cacheField name="[invoice].[نام مشتری].[نام مشتری]" caption="نام مشتری" numFmtId="0" hierarchy="13" level="1">
      <sharedItems containsSemiMixedTypes="0" containsNonDate="0" containsString="0"/>
    </cacheField>
    <cacheField name="[invoice2].[نام مشتری].[نام مشتری]" caption="نام مشتری" numFmtId="0" hierarchy="33" level="1">
      <sharedItems containsSemiMixedTypes="0" containsNonDate="0" containsString="0"/>
    </cacheField>
    <cacheField name="[Measures].[Sum of میزان سفارش 2]" caption="Sum of میزان سفارش 2" numFmtId="0" hierarchy="71" level="32767"/>
    <cacheField name="[invoice2].[شماره پیش فاکتور].[شماره پیش فاکتور]" caption="شماره پیش فاکتور" numFmtId="0" hierarchy="32" level="1">
      <sharedItems count="1">
        <s v="پ/70-1403"/>
      </sharedItems>
      <extLst>
        <ext xmlns:x15="http://schemas.microsoft.com/office/spreadsheetml/2010/11/main" uri="{4F2E5C28-24EA-4eb8-9CBF-B6C8F9C3D259}">
          <x15:cachedUniqueNames>
            <x15:cachedUniqueName index="0" name="[invoice2].[شماره پیش فاکتور].&amp;[پ/70-1403]"/>
          </x15:cachedUniqueNames>
        </ext>
      </extLst>
    </cacheField>
    <cacheField name="[Measures].[Average of فی 3]" caption="Average of فی 3" numFmtId="0" hierarchy="74" level="32767"/>
    <cacheField name="[invoice2].[نوع].[نوع]" caption="نوع" numFmtId="0" hierarchy="40" level="1">
      <sharedItems containsSemiMixedTypes="0" containsNonDate="0" containsString="0"/>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2" memberValueDatatype="130" unbalanced="0">
      <fieldsUsage count="2">
        <fieldUsage x="-1"/>
        <fieldUsage x="3"/>
      </fieldsUsage>
    </cacheHierarchy>
    <cacheHierarchy uniqueName="[invoice2].[نام مشتری]" caption="نام مشتری" attribute="1" defaultMemberUniqueName="[invoice2].[نام مشتری].[All]" allUniqueName="[invoice2].[نام مشتری].[All]" dimensionUniqueName="[invoice2]" displayFolder="" count="2" memberValueDatatype="130" unbalanced="0">
      <fieldsUsage count="2">
        <fieldUsage x="-1"/>
        <fieldUsage x="1"/>
      </fieldsUsage>
    </cacheHierarchy>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2" memberValueDatatype="130" unbalanced="0">
      <fieldsUsage count="2">
        <fieldUsage x="-1"/>
        <fieldUsage x="5"/>
      </fieldsUsage>
    </cacheHierarchy>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oneField="1">
      <fieldsUsage count="1">
        <fieldUsage x="2"/>
      </fieldsUsage>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oneField="1">
      <fieldsUsage count="1">
        <fieldUsage x="4"/>
      </fieldsUsage>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59374998" backgroundQuery="1" createdVersion="6" refreshedVersion="8" minRefreshableVersion="3" recordCount="0" supportSubquery="1" supportAdvancedDrill="1" xr:uid="{B638EDCB-CF54-4428-944C-3067DC353D74}">
  <cacheSource type="external" connectionId="12"/>
  <cacheFields count="5">
    <cacheField name="[Measures].[Sum of میزان بارگیری شده]" caption="Sum of میزان بارگیری شده" numFmtId="0" hierarchy="50" level="32767"/>
    <cacheField name="[invoice].[نام مشتری].[نام مشتری]" caption="نام مشتری" numFmtId="0" hierarchy="13" level="1">
      <sharedItems containsSemiMixedTypes="0" containsNonDate="0" containsString="0"/>
    </cacheField>
    <cacheField name="[Measures].[Count of شماره پیش فاکتور]" caption="Count of شماره پیش فاکتور" numFmtId="0" hierarchy="58" level="32767"/>
    <cacheField name="[bargiri].[ماه].[ماه]" caption="ماه" numFmtId="0" hierarchy="6" level="1">
      <sharedItems count="12">
        <s v="آبان"/>
        <s v="آذر"/>
        <s v="اردیبهشت"/>
        <s v="اسفند"/>
        <s v="بهمن"/>
        <s v="تیر"/>
        <s v="خرداد"/>
        <s v="دی"/>
        <s v="شهریور"/>
        <s v="فروردین"/>
        <s v="مرداد"/>
        <s v="مهر"/>
      </sharedItems>
      <extLst>
        <ext xmlns:x15="http://schemas.microsoft.com/office/spreadsheetml/2010/11/main" uri="{4F2E5C28-24EA-4eb8-9CBF-B6C8F9C3D259}">
          <x15:cachedUniqueNames>
            <x15:cachedUniqueName index="0" name="[bargiri].[ماه].&amp;[آبان]"/>
            <x15:cachedUniqueName index="1" name="[bargiri].[ماه].&amp;[آذر]"/>
            <x15:cachedUniqueName index="2" name="[bargiri].[ماه].&amp;[اردیبهشت]"/>
            <x15:cachedUniqueName index="3" name="[bargiri].[ماه].&amp;[اسفند]"/>
            <x15:cachedUniqueName index="4" name="[bargiri].[ماه].&amp;[بهمن]"/>
            <x15:cachedUniqueName index="5" name="[bargiri].[ماه].&amp;[تیر]"/>
            <x15:cachedUniqueName index="6" name="[bargiri].[ماه].&amp;[خرداد]"/>
            <x15:cachedUniqueName index="7" name="[bargiri].[ماه].&amp;[دی]"/>
            <x15:cachedUniqueName index="8" name="[bargiri].[ماه].&amp;[شهریور]"/>
            <x15:cachedUniqueName index="9" name="[bargiri].[ماه].&amp;[فروردین]"/>
            <x15:cachedUniqueName index="10" name="[bargiri].[ماه].&amp;[مرداد]"/>
            <x15:cachedUniqueName index="11" name="[bargiri].[ماه].&amp;[مهر]"/>
          </x15:cachedUniqueNames>
        </ext>
      </extLst>
    </cacheField>
    <cacheField name="[bargiri].[سال].[سال]" caption="سال" numFmtId="0" hierarchy="5" level="1">
      <sharedItems containsNonDate="0" containsMixedTypes="1" containsNumber="1" containsInteger="1" minValue="1403" maxValue="1404" count="3">
        <n v="1403"/>
        <n v="1404"/>
        <s v="1404" u="1"/>
      </sharedItems>
      <extLst>
        <ext xmlns:x15="http://schemas.microsoft.com/office/spreadsheetml/2010/11/main" uri="{4F2E5C28-24EA-4eb8-9CBF-B6C8F9C3D259}">
          <x15:cachedUniqueNames>
            <x15:cachedUniqueName index="0" name="[bargiri].[سال].&amp;[1403]"/>
            <x15:cachedUniqueName index="1" name="[bargiri].[سال].&amp;[1404]"/>
          </x15:cachedUniqueNames>
        </ext>
      </extLst>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2" memberValueDatatype="20" unbalanced="0">
      <fieldsUsage count="2">
        <fieldUsage x="-1"/>
        <fieldUsage x="4"/>
      </fieldsUsage>
    </cacheHierarchy>
    <cacheHierarchy uniqueName="[bargiri].[ماه]" caption="ماه" attribute="1" defaultMemberUniqueName="[bargiri].[ماه].[All]" allUniqueName="[bargiri].[ماه].[All]" dimensionUniqueName="[bargiri]" displayFolder="" count="2" memberValueDatatype="130" unbalanced="0">
      <fieldsUsage count="2">
        <fieldUsage x="-1"/>
        <fieldUsage x="3"/>
      </fieldsUsage>
    </cacheHierarchy>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1"/>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0"/>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oneField="1">
      <fieldsUsage count="1">
        <fieldUsage x="2"/>
      </fieldsUsage>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0416667" backgroundQuery="1" createdVersion="6" refreshedVersion="8" minRefreshableVersion="3" recordCount="0" supportSubquery="1" supportAdvancedDrill="1" xr:uid="{39030B83-33C8-46AD-B668-D03D6714D3A9}">
  <cacheSource type="external" connectionId="12"/>
  <cacheFields count="12">
    <cacheField name="[Measures].[Sum of میزان بارگیری شده]" caption="Sum of میزان بارگیری شده" numFmtId="0" hierarchy="50" level="32767"/>
    <cacheField name="[Measures].[Average of فی 2]" caption="Average of فی 2" numFmtId="0" hierarchy="56" level="32767"/>
    <cacheField name="[Measures].[Sum of میزان سفارش]" caption="Sum of میزان سفارش" numFmtId="0" hierarchy="52" level="32767"/>
    <cacheField name="[invoice].[نام مشتری].[نام مشتری]" caption="نام مشتری" numFmtId="0" hierarchy="13" level="1">
      <sharedItems containsSemiMixedTypes="0" containsNonDate="0" containsString="0"/>
    </cacheField>
    <cacheField name="[Measures].[Count of شماره پیش فاکتور 2]" caption="Count of شماره پیش فاکتور 2" numFmtId="0" hierarchy="60" level="32767"/>
    <cacheField name="[Measures].[Count of شماره پیش فاکتور]" caption="Count of شماره پیش فاکتور" numFmtId="0" hierarchy="58" level="32767"/>
    <cacheField name="[Measures].[Average of میزان بارگیری شده]" caption="Average of میزان بارگیری شده" numFmtId="0" hierarchy="65" level="32767"/>
    <cacheField name="[Measures].[Average of میزان سفارش]" caption="Average of میزان سفارش" numFmtId="0" hierarchy="66" level="32767"/>
    <cacheField name="[Measures].[StdDev of میزان بارگیری شده]" caption="StdDev of میزان بارگیری شده" numFmtId="0" hierarchy="67" level="32767"/>
    <cacheField name="[Measures].[StdDevp of میزان سفارش]" caption="StdDevp of میزان سفارش" numFmtId="0" hierarchy="69" level="32767"/>
    <cacheField name="[invoice].[سال].[سال]" caption="سال" numFmtId="0" hierarchy="19" level="1">
      <sharedItems containsSemiMixedTypes="0" containsNonDate="0" containsString="0"/>
    </cacheField>
    <cacheField name="[Measures].[Distinct Count of نام مشتری]" caption="Distinct Count of نام مشتری" numFmtId="0" hierarchy="63" level="32767"/>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3"/>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2" memberValueDatatype="20" unbalanced="0">
      <fieldsUsage count="2">
        <fieldUsage x="-1"/>
        <fieldUsage x="10"/>
      </fieldsUsage>
    </cacheHierarchy>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0"/>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2"/>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oneField="1">
      <fieldsUsage count="1">
        <fieldUsage x="1"/>
      </fieldsUsage>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oneField="1">
      <fieldsUsage count="1">
        <fieldUsage x="5"/>
      </fieldsUsage>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oneField="1">
      <fieldsUsage count="1">
        <fieldUsage x="4"/>
      </fieldsUsage>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oneField="1">
      <fieldsUsage count="1">
        <fieldUsage x="11"/>
      </fieldsUsage>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oneField="1">
      <fieldsUsage count="1">
        <fieldUsage x="6"/>
      </fieldsUsage>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oneField="1">
      <fieldsUsage count="1">
        <fieldUsage x="7"/>
      </fieldsUsage>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oneField="1">
      <fieldsUsage count="1">
        <fieldUsage x="8"/>
      </fieldsUsage>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oneField="1">
      <fieldsUsage count="1">
        <fieldUsage x="9"/>
      </fieldsUsage>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2037038" backgroundQuery="1" createdVersion="6" refreshedVersion="8" minRefreshableVersion="3" recordCount="0" supportSubquery="1" supportAdvancedDrill="1" xr:uid="{ACCF7665-BEE1-4097-B22C-7A7E9A32FDF7}">
  <cacheSource type="external" connectionId="12"/>
  <cacheFields count="6">
    <cacheField name="[invoice].[نام مشتری].[نام مشتری]" caption="نام مشتری" numFmtId="0" hierarchy="13" level="1">
      <sharedItems containsSemiMixedTypes="0" containsNonDate="0" containsString="0"/>
    </cacheField>
    <cacheField name="[bargiri].[ماه].[ماه]" caption="ماه" numFmtId="0" hierarchy="6" level="1">
      <sharedItems count="12">
        <s v="آبان"/>
        <s v="آذر"/>
        <s v="اردیبهشت"/>
        <s v="اسفند"/>
        <s v="بهمن"/>
        <s v="تیر"/>
        <s v="خرداد"/>
        <s v="دی"/>
        <s v="شهریور"/>
        <s v="فروردین"/>
        <s v="مرداد"/>
        <s v="مهر"/>
      </sharedItems>
    </cacheField>
    <cacheField name="[Measures].[Sum of میزان سفارش]" caption="Sum of میزان سفارش" numFmtId="0" hierarchy="52" level="32767"/>
    <cacheField name="[invoice].[ماه].[ماه]" caption="ماه" numFmtId="0" hierarchy="18" level="1">
      <sharedItems count="12">
        <s v="آبان"/>
        <s v="آذر"/>
        <s v="اردیبهشت"/>
        <s v="اسفند"/>
        <s v="بهمن"/>
        <s v="تیر"/>
        <s v="خرداد"/>
        <s v="دی"/>
        <s v="شهریور"/>
        <s v="فروردین"/>
        <s v="مرداد"/>
        <s v="مهر"/>
      </sharedItems>
      <extLst>
        <ext xmlns:x15="http://schemas.microsoft.com/office/spreadsheetml/2010/11/main" uri="{4F2E5C28-24EA-4eb8-9CBF-B6C8F9C3D259}">
          <x15:cachedUniqueNames>
            <x15:cachedUniqueName index="0" name="[invoice].[ماه].&amp;[آبان]"/>
            <x15:cachedUniqueName index="1" name="[invoice].[ماه].&amp;[آذر]"/>
            <x15:cachedUniqueName index="2" name="[invoice].[ماه].&amp;[اردیبهشت]"/>
            <x15:cachedUniqueName index="3" name="[invoice].[ماه].&amp;[اسفند]"/>
            <x15:cachedUniqueName index="4" name="[invoice].[ماه].&amp;[بهمن]"/>
            <x15:cachedUniqueName index="5" name="[invoice].[ماه].&amp;[تیر]"/>
            <x15:cachedUniqueName index="6" name="[invoice].[ماه].&amp;[خرداد]"/>
            <x15:cachedUniqueName index="7" name="[invoice].[ماه].&amp;[دی]"/>
            <x15:cachedUniqueName index="8" name="[invoice].[ماه].&amp;[شهریور]"/>
            <x15:cachedUniqueName index="9" name="[invoice].[ماه].&amp;[فروردین]"/>
            <x15:cachedUniqueName index="10" name="[invoice].[ماه].&amp;[مرداد]"/>
            <x15:cachedUniqueName index="11" name="[invoice].[ماه].&amp;[مهر]"/>
          </x15:cachedUniqueNames>
        </ext>
      </extLst>
    </cacheField>
    <cacheField name="[Measures].[Count of شماره پیش فاکتور 2]" caption="Count of شماره پیش فاکتور 2" numFmtId="0" hierarchy="60" level="32767"/>
    <cacheField name="[bargiri].[سال].[سال]" caption="سال" numFmtId="0" hierarchy="5" level="1">
      <sharedItems containsSemiMixedTypes="0" containsNonDate="0" containsString="0"/>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2" memberValueDatatype="20" unbalanced="0">
      <fieldsUsage count="2">
        <fieldUsage x="-1"/>
        <fieldUsage x="5"/>
      </fieldsUsage>
    </cacheHierarchy>
    <cacheHierarchy uniqueName="[bargiri].[ماه]" caption="ماه" attribute="1" defaultMemberUniqueName="[bargiri].[ماه].[All]" allUniqueName="[bargiri].[ماه].[All]" dimensionUniqueName="[bargiri]" displayFolder="" count="2" memberValueDatatype="130" unbalanced="0">
      <fieldsUsage count="2">
        <fieldUsage x="-1"/>
        <fieldUsage x="1"/>
      </fieldsUsage>
    </cacheHierarchy>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2" memberValueDatatype="130" unbalanced="0">
      <fieldsUsage count="2">
        <fieldUsage x="-1"/>
        <fieldUsage x="3"/>
      </fieldsUsage>
    </cacheHierarchy>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2"/>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oneField="1">
      <fieldsUsage count="1">
        <fieldUsage x="4"/>
      </fieldsUsage>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3425923" backgroundQuery="1" createdVersion="6" refreshedVersion="8" minRefreshableVersion="3" recordCount="0" supportSubquery="1" supportAdvancedDrill="1" xr:uid="{8D26D0D7-E1CD-4B91-97E1-4B6D89F7F609}">
  <cacheSource type="external" connectionId="12"/>
  <cacheFields count="8">
    <cacheField name="[Measures].[Sum of میزان بارگیری شده]" caption="Sum of میزان بارگیری شده" numFmtId="0" hierarchy="50" level="32767"/>
    <cacheField name="[Measures].[Average of فی 2]" caption="Average of فی 2" numFmtId="0" hierarchy="56" level="32767"/>
    <cacheField name="[Measures].[Sum of میزان سفارش]" caption="Sum of میزان سفارش" numFmtId="0" hierarchy="52" level="32767"/>
    <cacheField name="[invoice].[نام مشتری].[نام مشتری]" caption="نام مشتری" numFmtId="0" hierarchy="13" level="1">
      <sharedItems count="35">
        <s v="آیس کار"/>
        <s v="اکسیژن ارومیه گاز"/>
        <s v="برفاب گاز تبریز"/>
        <s v="پارس اکسیر البرز شمالی"/>
        <s v="پارس کربنیک کردستان"/>
        <s v="پاینده ساز فردوس"/>
        <s v="تعاونی ماهان گاز"/>
        <s v="تولید گازهای طبی و صنعتی مددکاران اصفهان"/>
        <s v="تولیدی گازهای طبی و صنعتی طوس سبزوار"/>
        <s v="جوش شیرین خراسان"/>
        <s v="چشمه بهشت"/>
        <s v="خوش نوش همدان"/>
        <s v="راسا پایدار مصباح"/>
        <s v="رایا شیمی پارسیان"/>
        <s v="رهام گاز"/>
        <s v="سپهر سرمد"/>
        <s v="سهیل گاز کاسپین"/>
        <s v="شرکت امین گاز ایرانیان"/>
        <s v="شرکت دیبا گاز پارسه"/>
        <s v="شرکت گروه صنعتی پاژ گاز خراسان"/>
        <s v="طاها اندیشان همپای البرز"/>
        <s v="طاهر افروز همپای البرز"/>
        <s v="طوس قزوین"/>
        <s v="طوفان کویر"/>
        <s v="عبیر شیمی"/>
        <s v="عراق اربیل"/>
        <s v="فرافن گاز تهران"/>
        <s v="کوشا تجارت زاگرس"/>
        <s v="گاز اکسیژن طوس"/>
        <s v="گاز کربنیک غرب"/>
        <s v="گاز کربنیک نورین ابهر"/>
        <s v="گروه صنایع شیمیایی به آفرین گاز تیسفون"/>
        <s v="ماشین سازی پیشتازان گاز کربنیک اردستان"/>
        <s v="محمود احمدی زلتی"/>
        <s v="میثاق گاز فراز کرج"/>
      </sharedItems>
      <extLst>
        <ext xmlns:x15="http://schemas.microsoft.com/office/spreadsheetml/2010/11/main" uri="{4F2E5C28-24EA-4eb8-9CBF-B6C8F9C3D259}">
          <x15:cachedUniqueNames>
            <x15:cachedUniqueName index="0" name="[invoice].[نام مشتری].&amp;[آیس کار]"/>
            <x15:cachedUniqueName index="1" name="[invoice].[نام مشتری].&amp;[اکسیژن ارومیه گاز]"/>
            <x15:cachedUniqueName index="2" name="[invoice].[نام مشتری].&amp;[برفاب گاز تبریز]"/>
            <x15:cachedUniqueName index="3" name="[invoice].[نام مشتری].&amp;[پارس اکسیر البرز شمالی]"/>
            <x15:cachedUniqueName index="4" name="[invoice].[نام مشتری].&amp;[پارس کربنیک کردستان]"/>
            <x15:cachedUniqueName index="5" name="[invoice].[نام مشتری].&amp;[پاینده ساز فردوس]"/>
            <x15:cachedUniqueName index="6" name="[invoice].[نام مشتری].&amp;[تعاونی ماهان گاز]"/>
            <x15:cachedUniqueName index="7" name="[invoice].[نام مشتری].&amp;[تولید گازهای طبی و صنعتی مددکاران اصفهان]"/>
            <x15:cachedUniqueName index="8" name="[invoice].[نام مشتری].&amp;[تولیدی گازهای طبی و صنعتی طوس سبزوار]"/>
            <x15:cachedUniqueName index="9" name="[invoice].[نام مشتری].&amp;[جوش شیرین خراسان]"/>
            <x15:cachedUniqueName index="10" name="[invoice].[نام مشتری].&amp;[چشمه بهشت]"/>
            <x15:cachedUniqueName index="11" name="[invoice].[نام مشتری].&amp;[خوش نوش همدان]"/>
            <x15:cachedUniqueName index="12" name="[invoice].[نام مشتری].&amp;[راسا پایدار مصباح]"/>
            <x15:cachedUniqueName index="13" name="[invoice].[نام مشتری].&amp;[رایا شیمی پارسیان]"/>
            <x15:cachedUniqueName index="14" name="[invoice].[نام مشتری].&amp;[رهام گاز]"/>
            <x15:cachedUniqueName index="15" name="[invoice].[نام مشتری].&amp;[سپهر سرمد]"/>
            <x15:cachedUniqueName index="16" name="[invoice].[نام مشتری].&amp;[سهیل گاز کاسپین]"/>
            <x15:cachedUniqueName index="17" name="[invoice].[نام مشتری].&amp;[شرکت امین گاز ایرانیان]"/>
            <x15:cachedUniqueName index="18" name="[invoice].[نام مشتری].&amp;[شرکت دیبا گاز پارسه]"/>
            <x15:cachedUniqueName index="19" name="[invoice].[نام مشتری].&amp;[شرکت گروه صنعتی پاژ گاز خراسان]"/>
            <x15:cachedUniqueName index="20" name="[invoice].[نام مشتری].&amp;[طاها اندیشان همپای البرز]"/>
            <x15:cachedUniqueName index="21" name="[invoice].[نام مشتری].&amp;[طاهر افروز همپای البرز]"/>
            <x15:cachedUniqueName index="22" name="[invoice].[نام مشتری].&amp;[طوس قزوین]"/>
            <x15:cachedUniqueName index="23" name="[invoice].[نام مشتری].&amp;[طوفان کویر]"/>
            <x15:cachedUniqueName index="24" name="[invoice].[نام مشتری].&amp;[عبیر شیمی]"/>
            <x15:cachedUniqueName index="25" name="[invoice].[نام مشتری].&amp;[عراق اربیل]"/>
            <x15:cachedUniqueName index="26" name="[invoice].[نام مشتری].&amp;[فرافن گاز تهران]"/>
            <x15:cachedUniqueName index="27" name="[invoice].[نام مشتری].&amp;[کوشا تجارت زاگرس]"/>
            <x15:cachedUniqueName index="28" name="[invoice].[نام مشتری].&amp;[گاز اکسیژن طوس]"/>
            <x15:cachedUniqueName index="29" name="[invoice].[نام مشتری].&amp;[گاز کربنیک غرب]"/>
            <x15:cachedUniqueName index="30" name="[invoice].[نام مشتری].&amp;[گاز کربنیک نورین ابهر]"/>
            <x15:cachedUniqueName index="31" name="[invoice].[نام مشتری].&amp;[گروه صنایع شیمیایی به آفرین گاز تیسفون]"/>
            <x15:cachedUniqueName index="32" name="[invoice].[نام مشتری].&amp;[ماشین سازی پیشتازان گاز کربنیک اردستان]"/>
            <x15:cachedUniqueName index="33" name="[invoice].[نام مشتری].&amp;[محمود احمدی زلتی]"/>
            <x15:cachedUniqueName index="34" name="[invoice].[نام مشتری].&amp;[میثاق گاز فراز کرج]"/>
          </x15:cachedUniqueNames>
        </ext>
      </extLst>
    </cacheField>
    <cacheField name="[Measures].[Count of شماره پیش فاکتور 2]" caption="Count of شماره پیش فاکتور 2" numFmtId="0" hierarchy="60" level="32767"/>
    <cacheField name="[Measures].[Count of شماره پیش فاکتور]" caption="Count of شماره پیش فاکتور" numFmtId="0" hierarchy="58" level="32767"/>
    <cacheField name="[bargiri].[سال].[سال]" caption="سال" numFmtId="0" hierarchy="5" level="1">
      <sharedItems containsSemiMixedTypes="0" containsNonDate="0" containsString="0"/>
    </cacheField>
    <cacheField name="Unsupported0" numFmtId="0" hierarchy="83" level="32767">
      <extLst>
        <ext xmlns:x14="http://schemas.microsoft.com/office/spreadsheetml/2009/9/main" uri="{63CAB8AC-B538-458d-9737-405883B0398D}">
          <x14:cacheField ignore="1"/>
        </ext>
      </extLst>
    </cacheField>
  </cacheFields>
  <cacheHierarchies count="84">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2" memberValueDatatype="20" unbalanced="0">
      <fieldsUsage count="2">
        <fieldUsage x="-1"/>
        <fieldUsage x="6"/>
      </fieldsUsage>
    </cacheHierarchy>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3"/>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0"/>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2"/>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oneField="1">
      <fieldsUsage count="1">
        <fieldUsage x="1"/>
      </fieldsUsage>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oneField="1">
      <fieldsUsage count="1">
        <fieldUsage x="5"/>
      </fieldsUsage>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oneField="1">
      <fieldsUsage count="1">
        <fieldUsage x="4"/>
      </fieldsUsage>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y uniqueName="Unsupported0" caption="تاریخ بارگیری" measure="1" count="0">
      <extLst>
        <ext xmlns:x14="http://schemas.microsoft.com/office/spreadsheetml/2009/9/main" uri="{8CF416AD-EC4C-4aba-99F5-12A058AE0983}">
          <x14:cacheHierarchy ignore="1"/>
        </ext>
      </extLst>
    </cacheHierarchy>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4583332" backgroundQuery="1" createdVersion="6" refreshedVersion="8" minRefreshableVersion="3" recordCount="0" supportSubquery="1" supportAdvancedDrill="1" xr:uid="{1E80DDDB-309E-4F03-B4B0-B20088E05AAA}">
  <cacheSource type="external" connectionId="12"/>
  <cacheFields count="12">
    <cacheField name="[Measures].[Sum of میزان بارگیری شده]" caption="Sum of میزان بارگیری شده" numFmtId="0" hierarchy="50" level="32767"/>
    <cacheField name="[Measures].[Average of فی 2]" caption="Average of فی 2" numFmtId="0" hierarchy="56" level="32767"/>
    <cacheField name="[Measures].[Sum of میزان سفارش]" caption="Sum of میزان سفارش" numFmtId="0" hierarchy="52" level="32767"/>
    <cacheField name="[invoice].[نام مشتری].[نام مشتری]" caption="نام مشتری" numFmtId="0" hierarchy="13" level="1">
      <sharedItems containsSemiMixedTypes="0" containsNonDate="0" containsString="0"/>
    </cacheField>
    <cacheField name="[Measures].[Count of شماره پیش فاکتور 2]" caption="Count of شماره پیش فاکتور 2" numFmtId="0" hierarchy="60" level="32767"/>
    <cacheField name="[Measures].[Distinct Count of نام مشتری]" caption="Distinct Count of نام مشتری" numFmtId="0" hierarchy="63" level="32767"/>
    <cacheField name="[Measures].[Count of شماره پیش فاکتور]" caption="Count of شماره پیش فاکتور" numFmtId="0" hierarchy="58" level="32767"/>
    <cacheField name="[Measures].[Average of میزان بارگیری شده]" caption="Average of میزان بارگیری شده" numFmtId="0" hierarchy="65" level="32767"/>
    <cacheField name="[Measures].[Average of میزان سفارش]" caption="Average of میزان سفارش" numFmtId="0" hierarchy="66" level="32767"/>
    <cacheField name="[Measures].[StdDev of میزان بارگیری شده]" caption="StdDev of میزان بارگیری شده" numFmtId="0" hierarchy="67" level="32767"/>
    <cacheField name="[Measures].[StdDevp of میزان سفارش]" caption="StdDevp of میزان سفارش" numFmtId="0" hierarchy="69" level="32767"/>
    <cacheField name="[invoice].[کمکی].[کمکی]" caption="کمکی" numFmtId="0" hierarchy="23" level="1">
      <sharedItems containsSemiMixedTypes="0" containsNonDate="0" containsString="0"/>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3"/>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2" memberValueDatatype="20" unbalanced="0">
      <fieldsUsage count="2">
        <fieldUsage x="-1"/>
        <fieldUsage x="11"/>
      </fieldsUsage>
    </cacheHierarchy>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0"/>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2"/>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oneField="1">
      <fieldsUsage count="1">
        <fieldUsage x="1"/>
      </fieldsUsage>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oneField="1">
      <fieldsUsage count="1">
        <fieldUsage x="6"/>
      </fieldsUsage>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oneField="1">
      <fieldsUsage count="1">
        <fieldUsage x="4"/>
      </fieldsUsage>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oneField="1">
      <fieldsUsage count="1">
        <fieldUsage x="5"/>
      </fieldsUsage>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oneField="1">
      <fieldsUsage count="1">
        <fieldUsage x="7"/>
      </fieldsUsage>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oneField="1">
      <fieldsUsage count="1">
        <fieldUsage x="8"/>
      </fieldsUsage>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oneField="1">
      <fieldsUsage count="1">
        <fieldUsage x="9"/>
      </fieldsUsage>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oneField="1">
      <fieldsUsage count="1">
        <fieldUsage x="10"/>
      </fieldsUsage>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6666664" backgroundQuery="1" createdVersion="6" refreshedVersion="8" minRefreshableVersion="3" recordCount="0" supportSubquery="1" supportAdvancedDrill="1" xr:uid="{34D6D375-FC4F-4DBB-8166-A86FB534DE81}">
  <cacheSource type="external" connectionId="12"/>
  <cacheFields count="8">
    <cacheField name="[invoice].[نام مشتری].[نام مشتری]" caption="نام مشتری" numFmtId="0" hierarchy="13" level="1">
      <sharedItems containsSemiMixedTypes="0" containsNonDate="0" containsString="0"/>
    </cacheField>
    <cacheField name="[invoice2].[نام مشتری].[نام مشتری]" caption="نام مشتری" numFmtId="0" hierarchy="33" level="1">
      <sharedItems containsSemiMixedTypes="0" containsNonDate="0" containsString="0"/>
    </cacheField>
    <cacheField name="[Measures].[Sum of میزان بارگیری شده]" caption="Sum of میزان بارگیری شده" numFmtId="0" hierarchy="50" level="32767"/>
    <cacheField name="[invoice].[شماره پیش فاکتور].[شماره پیش فاکتور]" caption="شماره پیش فاکتور" numFmtId="0" hierarchy="12" level="1">
      <sharedItems count="9">
        <s v="پ/102-1404"/>
        <s v="پ/113-1404"/>
        <s v="پ/2-1403"/>
        <s v="پ/32-1403"/>
        <s v="پ/37-1402"/>
        <s v="پ/38-1402"/>
        <s v="پ/40-1402"/>
        <s v="پ/48-1403"/>
        <s v="پ/68-1404"/>
      </sharedItems>
      <extLst>
        <ext xmlns:x15="http://schemas.microsoft.com/office/spreadsheetml/2010/11/main" uri="{4F2E5C28-24EA-4eb8-9CBF-B6C8F9C3D259}">
          <x15:cachedUniqueNames>
            <x15:cachedUniqueName index="0" name="[invoice].[شماره پیش فاکتور].&amp;[پ/102-1404]"/>
            <x15:cachedUniqueName index="1" name="[invoice].[شماره پیش فاکتور].&amp;[پ/113-1404]"/>
            <x15:cachedUniqueName index="2" name="[invoice].[شماره پیش فاکتور].&amp;[پ/2-1403]"/>
            <x15:cachedUniqueName index="3" name="[invoice].[شماره پیش فاکتور].&amp;[پ/32-1403]"/>
            <x15:cachedUniqueName index="4" name="[invoice].[شماره پیش فاکتور].&amp;[پ/37-1402]"/>
            <x15:cachedUniqueName index="5" name="[invoice].[شماره پیش فاکتور].&amp;[پ/38-1402]"/>
            <x15:cachedUniqueName index="6" name="[invoice].[شماره پیش فاکتور].&amp;[پ/40-1402]"/>
            <x15:cachedUniqueName index="7" name="[invoice].[شماره پیش فاکتور].&amp;[پ/48-1403]"/>
            <x15:cachedUniqueName index="8" name="[invoice].[شماره پیش فاکتور].&amp;[پ/68-1404]"/>
          </x15:cachedUniqueNames>
        </ext>
      </extLst>
    </cacheField>
    <cacheField name="[Measures].[Sum of میزان سفارش]" caption="Sum of میزان سفارش" numFmtId="0" hierarchy="52" level="32767"/>
    <cacheField name="[Measures].[Average of فی]" caption="Average of فی" numFmtId="0" hierarchy="55" level="32767"/>
    <cacheField name="[Measures].[Average of فی 2]" caption="Average of فی 2" numFmtId="0" hierarchy="56" level="32767"/>
    <cacheField name="[invoice].[نوع سفارش].[نوع سفارش]" caption="نوع سفارش" numFmtId="0" hierarchy="20" level="1">
      <sharedItems containsSemiMixedTypes="0" containsNonDate="0" containsString="0"/>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2" memberValueDatatype="130" unbalanced="0">
      <fieldsUsage count="2">
        <fieldUsage x="-1"/>
        <fieldUsage x="3"/>
      </fieldsUsage>
    </cacheHierarchy>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0"/>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7"/>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2" memberValueDatatype="130" unbalanced="0">
      <fieldsUsage count="2">
        <fieldUsage x="-1"/>
        <fieldUsage x="1"/>
      </fieldsUsage>
    </cacheHierarchy>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2"/>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4"/>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oneField="1">
      <fieldsUsage count="1">
        <fieldUsage x="5"/>
      </fieldsUsage>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oneField="1">
      <fieldsUsage count="1">
        <fieldUsage x="6"/>
      </fieldsUsage>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8518519" backgroundQuery="1" createdVersion="6" refreshedVersion="8" minRefreshableVersion="3" recordCount="0" supportSubquery="1" supportAdvancedDrill="1" xr:uid="{4B0A6C45-218A-4F97-A3D1-E4187FBFCBAC}">
  <cacheSource type="external" connectionId="12"/>
  <cacheFields count="8">
    <cacheField name="[Measures].[Sum of میزان بارگیری شده]" caption="Sum of میزان بارگیری شده" numFmtId="0" hierarchy="50" level="32767"/>
    <cacheField name="[Measures].[Average of فی 2]" caption="Average of فی 2" numFmtId="0" hierarchy="56" level="32767"/>
    <cacheField name="[invoice].[نام مشتری].[نام مشتری]" caption="نام مشتری" numFmtId="0" hierarchy="13" level="1">
      <sharedItems containsSemiMixedTypes="0" containsNonDate="0" containsString="0"/>
    </cacheField>
    <cacheField name="[Measures].[Sum of میزان سفارش]" caption="Sum of میزان سفارش" numFmtId="0" hierarchy="52" level="32767"/>
    <cacheField name="[invoice].[شماره پیش فاکتور].[شماره پیش فاکتور]" caption="شماره پیش فاکتور" numFmtId="0" hierarchy="12" level="1">
      <sharedItems count="9">
        <s v="پ/102-1404"/>
        <s v="پ/113-1404"/>
        <s v="پ/2-1403"/>
        <s v="پ/32-1403"/>
        <s v="پ/37-1402"/>
        <s v="پ/38-1402"/>
        <s v="پ/40-1402"/>
        <s v="پ/48-1403"/>
        <s v="پ/68-1404"/>
      </sharedItems>
      <extLst>
        <ext xmlns:x15="http://schemas.microsoft.com/office/spreadsheetml/2010/11/main" uri="{4F2E5C28-24EA-4eb8-9CBF-B6C8F9C3D259}">
          <x15:cachedUniqueNames>
            <x15:cachedUniqueName index="0" name="[invoice].[شماره پیش فاکتور].&amp;[پ/102-1404]"/>
            <x15:cachedUniqueName index="1" name="[invoice].[شماره پیش فاکتور].&amp;[پ/113-1404]"/>
            <x15:cachedUniqueName index="2" name="[invoice].[شماره پیش فاکتور].&amp;[پ/2-1403]"/>
            <x15:cachedUniqueName index="3" name="[invoice].[شماره پیش فاکتور].&amp;[پ/32-1403]"/>
            <x15:cachedUniqueName index="4" name="[invoice].[شماره پیش فاکتور].&amp;[پ/37-1402]"/>
            <x15:cachedUniqueName index="5" name="[invoice].[شماره پیش فاکتور].&amp;[پ/38-1402]"/>
            <x15:cachedUniqueName index="6" name="[invoice].[شماره پیش فاکتور].&amp;[پ/40-1402]"/>
            <x15:cachedUniqueName index="7" name="[invoice].[شماره پیش فاکتور].&amp;[پ/48-1403]"/>
            <x15:cachedUniqueName index="8" name="[invoice].[شماره پیش فاکتور].&amp;[پ/68-1404]"/>
          </x15:cachedUniqueNames>
        </ext>
      </extLst>
    </cacheField>
    <cacheField name="[invoice].[نوع سفارش].[نوع سفارش]" caption="نوع سفارش" numFmtId="0" hierarchy="20" level="1">
      <sharedItems containsSemiMixedTypes="0" containsNonDate="0" containsString="0"/>
    </cacheField>
    <cacheField name="[Measures].[Sum of درصد میزان بارگیری شده]" caption="Sum of درصد میزان بارگیری شده" numFmtId="0" hierarchy="76" level="32767"/>
    <cacheField name="[invoice].[Calculated Column 1].[Calculated Column 1]" caption="Calculated Column 1" numFmtId="0" hierarchy="27" level="1">
      <sharedItems containsSemiMixedTypes="0" containsNonDate="0" containsString="0"/>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2" memberValueDatatype="130" unbalanced="0">
      <fieldsUsage count="2">
        <fieldUsage x="-1"/>
        <fieldUsage x="4"/>
      </fieldsUsage>
    </cacheHierarchy>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2"/>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5"/>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2" memberValueDatatype="130" unbalanced="0">
      <fieldsUsage count="2">
        <fieldUsage x="-1"/>
        <fieldUsage x="7"/>
      </fieldsUsage>
    </cacheHierarchy>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0"/>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3"/>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oneField="1">
      <fieldsUsage count="1">
        <fieldUsage x="1"/>
      </fieldsUsage>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oneField="1">
      <fieldsUsage count="1">
        <fieldUsage x="6"/>
      </fieldsUsage>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70254628" backgroundQuery="1" createdVersion="6" refreshedVersion="8" minRefreshableVersion="3" recordCount="0" supportSubquery="1" supportAdvancedDrill="1" xr:uid="{14EB0739-B222-43C4-ADEE-75094D11E1E4}">
  <cacheSource type="external" connectionId="12"/>
  <cacheFields count="7">
    <cacheField name="[Measures].[Sum of میزان بارگیری شده]" caption="Sum of میزان بارگیری شده" numFmtId="0" hierarchy="50" level="32767"/>
    <cacheField name="[invoice].[نام مشتری].[نام مشتری]" caption="نام مشتری" numFmtId="0" hierarchy="13" level="1">
      <sharedItems containsSemiMixedTypes="0" containsNonDate="0" containsString="0"/>
    </cacheField>
    <cacheField name="[Measures].[Count of شماره پیش فاکتور]" caption="Count of شماره پیش فاکتور" numFmtId="0" hierarchy="58" level="32767"/>
    <cacheField name="[Measures].[Average of فی 2]" caption="Average of فی 2" numFmtId="0" hierarchy="56" level="32767"/>
    <cacheField name="[Measures].[Count of شماره پیش فاکتور 2]" caption="Count of شماره پیش فاکتور 2" numFmtId="0" hierarchy="60" level="32767"/>
    <cacheField name="[Measures].[Sum of میزان سفارش]" caption="Sum of میزان سفارش" numFmtId="0" hierarchy="52" level="32767"/>
    <cacheField name="[invoice].[نوع سفارش].[نوع سفارش]" caption="نوع سفارش" numFmtId="0" hierarchy="20" level="1">
      <sharedItems containsSemiMixedTypes="0" containsNonDate="0" containsString="0"/>
    </cacheField>
  </cacheFields>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fieldsUsage count="2">
        <fieldUsage x="-1"/>
        <fieldUsage x="1"/>
      </fieldsUsage>
    </cacheHierarchy>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2" memberValueDatatype="130" unbalanced="0">
      <fieldsUsage count="2">
        <fieldUsage x="-1"/>
        <fieldUsage x="6"/>
      </fieldsUsage>
    </cacheHierarchy>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oneField="1">
      <fieldsUsage count="1">
        <fieldUsage x="0"/>
      </fieldsUsage>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oneField="1">
      <fieldsUsage count="1">
        <fieldUsage x="5"/>
      </fieldsUsage>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oneField="1">
      <fieldsUsage count="1">
        <fieldUsage x="3"/>
      </fieldsUsage>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oneField="1">
      <fieldsUsage count="1">
        <fieldUsage x="2"/>
      </fieldsUsage>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oneField="1">
      <fieldsUsage count="1">
        <fieldUsage x="4"/>
      </fieldsUsage>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dimensions count="5">
    <dimension name="bargiri" uniqueName="[bargiri]" caption="bargiri"/>
    <dimension name="invoice" uniqueName="[invoice]" caption="invoice"/>
    <dimension name="invoice2" uniqueName="[invoice2]" caption="invoice2"/>
    <dimension measure="1" name="Measures" uniqueName="[Measures]" caption="Measures"/>
    <dimension name="Table1" uniqueName="[Table1]" caption="Table1"/>
  </dimensions>
  <measureGroups count="4">
    <measureGroup name="bargiri" caption="bargiri"/>
    <measureGroup name="invoice" caption="invoice"/>
    <measureGroup name="invoice2" caption="invoice2"/>
    <measureGroup name="Table1" caption="Table1"/>
  </measureGroups>
  <maps count="7">
    <map measureGroup="0" dimension="0"/>
    <map measureGroup="0" dimension="1"/>
    <map measureGroup="0" dimension="2"/>
    <map measureGroup="1" dimension="1"/>
    <map measureGroup="1" dimension="2"/>
    <map measureGroup="2" dimension="2"/>
    <map measureGroup="3" dimension="4"/>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kram Faraji" refreshedDate="46303.323065393517" backgroundQuery="1" createdVersion="3" refreshedVersion="8" minRefreshableVersion="3" recordCount="0" supportSubquery="1" supportAdvancedDrill="1" xr:uid="{95FF389D-28A4-4A37-B3F9-D6CDB1F0FF69}">
  <cacheSource type="external" connectionId="12">
    <extLst>
      <ext xmlns:x14="http://schemas.microsoft.com/office/spreadsheetml/2009/9/main" uri="{F057638F-6D5F-4e77-A914-E7F072B9BCA8}">
        <x14:sourceConnection name="ThisWorkbookDataModel"/>
      </ext>
    </extLst>
  </cacheSource>
  <cacheFields count="0"/>
  <cacheHierarchies count="83">
    <cacheHierarchy uniqueName="[bargiri].[تاریخ بارگیری]" caption="تاریخ بارگیری" attribute="1" defaultMemberUniqueName="[bargiri].[تاریخ بارگیری].[All]" allUniqueName="[bargiri].[تاریخ بارگیری].[All]" dimensionUniqueName="[bargiri]" displayFolder="" count="0" memberValueDatatype="130" unbalanced="0"/>
    <cacheHierarchy uniqueName="[bargiri].[نام مشتری]" caption="نام مشتری" attribute="1" defaultMemberUniqueName="[bargiri].[نام مشتری].[All]" allUniqueName="[bargiri].[نام مشتری].[All]" dimensionUniqueName="[bargiri]" displayFolder="" count="0" memberValueDatatype="130" unbalanced="0"/>
    <cacheHierarchy uniqueName="[bargiri].[شماره پیش فاکتور]" caption="شماره پیش فاکتور" attribute="1" defaultMemberUniqueName="[bargiri].[شماره پیش فاکتور].[All]" allUniqueName="[bargiri].[شماره پیش فاکتور].[All]" dimensionUniqueName="[bargiri]" displayFolder="" count="0" memberValueDatatype="130" unbalanced="0"/>
    <cacheHierarchy uniqueName="[bargiri].[میزان بارگیری شده]" caption="میزان بارگیری شده" attribute="1" defaultMemberUniqueName="[bargiri].[میزان بارگیری شده].[All]" allUniqueName="[bargiri].[میزان بارگیری شده].[All]" dimensionUniqueName="[bargiri]" displayFolder="" count="0" memberValueDatatype="20" unbalanced="0"/>
    <cacheHierarchy uniqueName="[bargiri].[فی]" caption="فی" attribute="1" defaultMemberUniqueName="[bargiri].[فی].[All]" allUniqueName="[bargiri].[فی].[All]" dimensionUniqueName="[bargiri]" displayFolder="" count="0" memberValueDatatype="20" unbalanced="0"/>
    <cacheHierarchy uniqueName="[bargiri].[سال]" caption="سال" attribute="1" defaultMemberUniqueName="[bargiri].[سال].[All]" allUniqueName="[bargiri].[سال].[All]" dimensionUniqueName="[bargiri]" displayFolder="" count="0" memberValueDatatype="20" unbalanced="0"/>
    <cacheHierarchy uniqueName="[bargiri].[ماه]" caption="ماه" attribute="1" defaultMemberUniqueName="[bargiri].[ماه].[All]" allUniqueName="[bargiri].[ماه].[All]" dimensionUniqueName="[bargiri]" displayFolder="" count="0" memberValueDatatype="130" unbalanced="0"/>
    <cacheHierarchy uniqueName="[bargiri].[قیمت کل بار]" caption="قیمت کل بار" attribute="1" defaultMemberUniqueName="[bargiri].[قیمت کل بار].[All]" allUniqueName="[bargiri].[قیمت کل بار].[All]" dimensionUniqueName="[bargiri]" displayFolder="" count="0" memberValueDatatype="5" unbalanced="0"/>
    <cacheHierarchy uniqueName="[bargiri].[کمکی2]" caption="کمکی2" attribute="1" defaultMemberUniqueName="[bargiri].[کمکی2].[All]" allUniqueName="[bargiri].[کمکی2].[All]" dimensionUniqueName="[bargiri]" displayFolder="" count="0" memberValueDatatype="20" unbalanced="0"/>
    <cacheHierarchy uniqueName="[bargiri].[LoadingAfter1403_Column]" caption="LoadingAfter1403_Column" attribute="1" defaultMemberUniqueName="[bargiri].[LoadingAfter1403_Column].[All]" allUniqueName="[bargiri].[LoadingAfter1403_Column].[All]" dimensionUniqueName="[bargiri]" displayFolder="" count="0" memberValueDatatype="130" unbalanced="0"/>
    <cacheHierarchy uniqueName="[bargiri].[نوع سفارش]" caption="نوع سفارش" attribute="1" defaultMemberUniqueName="[bargiri].[نوع سفارش].[All]" allUniqueName="[bargiri].[نوع سفارش].[All]" dimensionUniqueName="[bargiri]" displayFolder="" count="0" memberValueDatatype="130" unbalanced="0"/>
    <cacheHierarchy uniqueName="[bargiri].[ناخالص]" caption="ناخالص" attribute="1" defaultMemberUniqueName="[bargiri].[ناخالص].[All]" allUniqueName="[bargiri].[ناخالص].[All]" dimensionUniqueName="[bargiri]" displayFolder="" count="0" memberValueDatatype="5" unbalanced="0"/>
    <cacheHierarchy uniqueName="[invoice].[شماره پیش فاکتور]" caption="شماره پیش فاکتور" attribute="1" defaultMemberUniqueName="[invoice].[شماره پیش فاکتور].[All]" allUniqueName="[invoice].[شماره پیش فاکتور].[All]" dimensionUniqueName="[invoice]" displayFolder="" count="0" memberValueDatatype="130" unbalanced="0"/>
    <cacheHierarchy uniqueName="[invoice].[نام مشتری]" caption="نام مشتری" attribute="1" defaultMemberUniqueName="[invoice].[نام مشتری].[All]" allUniqueName="[invoice].[نام مشتری].[All]" dimensionUniqueName="[invoice]" displayFolder="" count="2" memberValueDatatype="130" unbalanced="0"/>
    <cacheHierarchy uniqueName="[invoice].[تاریخ]" caption="تاریخ" attribute="1" defaultMemberUniqueName="[invoice].[تاریخ].[All]" allUniqueName="[invoice].[تاریخ].[All]" dimensionUniqueName="[invoice]" displayFolder="" count="0" memberValueDatatype="130" unbalanced="0"/>
    <cacheHierarchy uniqueName="[invoice].[تاریخ مجوز بهره برداری]" caption="تاریخ مجوز بهره برداری" attribute="1" defaultMemberUniqueName="[invoice].[تاریخ مجوز بهره برداری].[All]" allUniqueName="[invoice].[تاریخ مجوز بهره برداری].[All]" dimensionUniqueName="[invoice]" displayFolder="" count="0" memberValueDatatype="130" unbalanced="0"/>
    <cacheHierarchy uniqueName="[invoice].[میزان سفارش]" caption="میزان سفارش" attribute="1" defaultMemberUniqueName="[invoice].[میزان سفارش].[All]" allUniqueName="[invoice].[میزان سفارش].[All]" dimensionUniqueName="[invoice]" displayFolder="" count="0" memberValueDatatype="20" unbalanced="0"/>
    <cacheHierarchy uniqueName="[invoice].[فی]" caption="فی" attribute="1" defaultMemberUniqueName="[invoice].[فی].[All]" allUniqueName="[invoice].[فی].[All]" dimensionUniqueName="[invoice]" displayFolder="" count="0" memberValueDatatype="20" unbalanced="0"/>
    <cacheHierarchy uniqueName="[invoice].[ماه]" caption="ماه" attribute="1" defaultMemberUniqueName="[invoice].[ماه].[All]" allUniqueName="[invoice].[ماه].[All]" dimensionUniqueName="[invoice]" displayFolder="" count="0" memberValueDatatype="130" unbalanced="0"/>
    <cacheHierarchy uniqueName="[invoice].[سال]" caption="سال" attribute="1" defaultMemberUniqueName="[invoice].[سال].[All]" allUniqueName="[invoice].[سال].[All]" dimensionUniqueName="[invoice]" displayFolder="" count="0" memberValueDatatype="20" unbalanced="0"/>
    <cacheHierarchy uniqueName="[invoice].[نوع سفارش]" caption="نوع سفارش" attribute="1" defaultMemberUniqueName="[invoice].[نوع سفارش].[All]" allUniqueName="[invoice].[نوع سفارش].[All]" dimensionUniqueName="[invoice]" displayFolder="" count="0" memberValueDatatype="130" unbalanced="0"/>
    <cacheHierarchy uniqueName="[invoice].[نوع شرکت]" caption="نوع شرکت" attribute="1" defaultMemberUniqueName="[invoice].[نوع شرکت].[All]" allUniqueName="[invoice].[نوع شرکت].[All]" dimensionUniqueName="[invoice]" displayFolder="" count="0" memberValueDatatype="130" unbalanced="0"/>
    <cacheHierarchy uniqueName="[invoice].[تاریخ انقضا]" caption="تاریخ انقضا" attribute="1" defaultMemberUniqueName="[invoice].[تاریخ انقضا].[All]" allUniqueName="[invoice].[تاریخ انقضا].[All]" dimensionUniqueName="[invoice]" displayFolder="" count="0" memberValueDatatype="130" unbalanced="0"/>
    <cacheHierarchy uniqueName="[invoice].[کمکی]" caption="کمکی" attribute="1" defaultMemberUniqueName="[invoice].[کمکی].[All]" allUniqueName="[invoice].[کمکی].[All]" dimensionUniqueName="[invoice]" displayFolder="" count="0" memberValueDatatype="20" unbalanced="0"/>
    <cacheHierarchy uniqueName="[invoice].[درصد مبلغ پیش دریافت]" caption="درصد مبلغ پیش دریافت" attribute="1" defaultMemberUniqueName="[invoice].[درصد مبلغ پیش دریافت].[All]" allUniqueName="[invoice].[درصد مبلغ پیش دریافت].[All]" dimensionUniqueName="[invoice]" displayFolder="" count="0" memberValueDatatype="130" unbalanced="0"/>
    <cacheHierarchy uniqueName="[invoice].[ارزش افزوده]" caption="ارزش افزوده" attribute="1" defaultMemberUniqueName="[invoice].[ارزش افزوده].[All]" allUniqueName="[invoice].[ارزش افزوده].[All]" dimensionUniqueName="[invoice]" displayFolder="" count="0" memberValueDatatype="130" unbalanced="0"/>
    <cacheHierarchy uniqueName="[invoice].[درصد میزان بارگیری شده]" caption="درصد میزان بارگیری شده" attribute="1" defaultMemberUniqueName="[invoice].[درصد میزان بارگیری شده].[All]" allUniqueName="[invoice].[درصد میزان بارگیری شده].[All]" dimensionUniqueName="[invoice]" displayFolder="" count="0" memberValueDatatype="5" unbalanced="0"/>
    <cacheHierarchy uniqueName="[invoice].[Calculated Column 1]" caption="Calculated Column 1" attribute="1" defaultMemberUniqueName="[invoice].[Calculated Column 1].[All]" allUniqueName="[invoice].[Calculated Column 1].[All]" dimensionUniqueName="[invoice]" displayFolder="" count="0" memberValueDatatype="130" unbalanced="0"/>
    <cacheHierarchy uniqueName="[invoice].[Column1]" caption="Column1" attribute="1" defaultMemberUniqueName="[invoice].[Column1].[All]" allUniqueName="[invoice].[Column1].[All]" dimensionUniqueName="[invoice]" displayFolder="" count="0" memberValueDatatype="130" unbalanced="0"/>
    <cacheHierarchy uniqueName="[invoice].[میزان حمل شده]" caption="میزان حمل شده" attribute="1" defaultMemberUniqueName="[invoice].[میزان حمل شده].[All]" allUniqueName="[invoice].[میزان حمل شده].[All]" dimensionUniqueName="[invoice]" displayFolder="" count="0" memberValueDatatype="20" unbalanced="0"/>
    <cacheHierarchy uniqueName="[invoice].[میزان حمل نشده]" caption="میزان حمل نشده" attribute="1" defaultMemberUniqueName="[invoice].[میزان حمل نشده].[All]" allUniqueName="[invoice].[میزان حمل نشده].[All]" dimensionUniqueName="[invoice]" displayFolder="" count="0" memberValueDatatype="20" unbalanced="0"/>
    <cacheHierarchy uniqueName="[invoice].[Column2]" caption="Column2" attribute="1" defaultMemberUniqueName="[invoice].[Column2].[All]" allUniqueName="[invoice].[Column2].[All]" dimensionUniqueName="[invoice]" displayFolder="" count="0" memberValueDatatype="5" unbalanced="0"/>
    <cacheHierarchy uniqueName="[invoice2].[شماره پیش فاکتور]" caption="شماره پیش فاکتور" attribute="1" defaultMemberUniqueName="[invoice2].[شماره پیش فاکتور].[All]" allUniqueName="[invoice2].[شماره پیش فاکتور].[All]" dimensionUniqueName="[invoice2]" displayFolder="" count="0" memberValueDatatype="130" unbalanced="0"/>
    <cacheHierarchy uniqueName="[invoice2].[نام مشتری]" caption="نام مشتری" attribute="1" defaultMemberUniqueName="[invoice2].[نام مشتری].[All]" allUniqueName="[invoice2].[نام مشتری].[All]" dimensionUniqueName="[invoice2]" displayFolder="" count="0" memberValueDatatype="130" unbalanced="0"/>
    <cacheHierarchy uniqueName="[invoice2].[تاریخ]" caption="تاریخ" attribute="1" defaultMemberUniqueName="[invoice2].[تاریخ].[All]" allUniqueName="[invoice2].[تاریخ].[All]" dimensionUniqueName="[invoice2]" displayFolder="" count="0" memberValueDatatype="130" unbalanced="0"/>
    <cacheHierarchy uniqueName="[invoice2].[تاریخ مجوز بهره برداری]" caption="تاریخ مجوز بهره برداری" attribute="1" defaultMemberUniqueName="[invoice2].[تاریخ مجوز بهره برداری].[All]" allUniqueName="[invoice2].[تاریخ مجوز بهره برداری].[All]" dimensionUniqueName="[invoice2]" displayFolder="" count="0" memberValueDatatype="130" unbalanced="0"/>
    <cacheHierarchy uniqueName="[invoice2].[میزان سفارش]" caption="میزان سفارش" attribute="1" defaultMemberUniqueName="[invoice2].[میزان سفارش].[All]" allUniqueName="[invoice2].[میزان سفارش].[All]" dimensionUniqueName="[invoice2]" displayFolder="" count="0" memberValueDatatype="20" unbalanced="0"/>
    <cacheHierarchy uniqueName="[invoice2].[فی]" caption="فی" attribute="1" defaultMemberUniqueName="[invoice2].[فی].[All]" allUniqueName="[invoice2].[فی].[All]" dimensionUniqueName="[invoice2]" displayFolder="" count="0" memberValueDatatype="20" unbalanced="0"/>
    <cacheHierarchy uniqueName="[invoice2].[حمل شده]" caption="حمل شده" attribute="1" defaultMemberUniqueName="[invoice2].[حمل شده].[All]" allUniqueName="[invoice2].[حمل شده].[All]" dimensionUniqueName="[invoice2]" displayFolder="" count="0" memberValueDatatype="130" unbalanced="0"/>
    <cacheHierarchy uniqueName="[invoice2].[مانده]" caption="مانده" attribute="1" defaultMemberUniqueName="[invoice2].[مانده].[All]" allUniqueName="[invoice2].[مانده].[All]" dimensionUniqueName="[invoice2]" displayFolder="" count="0" memberValueDatatype="130" unbalanced="0"/>
    <cacheHierarchy uniqueName="[invoice2].[نوع]" caption="نوع" attribute="1" defaultMemberUniqueName="[invoice2].[نوع].[All]" allUniqueName="[invoice2].[نوع].[All]" dimensionUniqueName="[invoice2]" displayFolder="" count="0" memberValueDatatype="130" unbalanced="0"/>
    <cacheHierarchy uniqueName="[invoice2].[شش ماهه اول]" caption="شش ماهه اول" attribute="1" defaultMemberUniqueName="[invoice2].[شش ماهه اول].[All]" allUniqueName="[invoice2].[شش ماهه اول].[All]" dimensionUniqueName="[invoice2]" displayFolder="" count="0" memberValueDatatype="130" unbalanced="0"/>
    <cacheHierarchy uniqueName="[invoice2].[توزیع هفتگی]" caption="توزیع هفتگی" attribute="1" defaultMemberUniqueName="[invoice2].[توزیع هفتگی].[All]" allUniqueName="[invoice2].[توزیع هفتگی].[All]" dimensionUniqueName="[invoice2]" displayFolder="" count="0" memberValueDatatype="130" unbalanced="0"/>
    <cacheHierarchy uniqueName="[invoice2].[شش ماهه دوم]" caption="شش ماهه دوم" attribute="1" defaultMemberUniqueName="[invoice2].[شش ماهه دوم].[All]" allUniqueName="[invoice2].[شش ماهه دوم].[All]" dimensionUniqueName="[invoice2]" displayFolder="" count="0" memberValueDatatype="130" unbalanced="0"/>
    <cacheHierarchy uniqueName="[invoice2].[توزیع هفتگی2]" caption="توزیع هفتگی2" attribute="1" defaultMemberUniqueName="[invoice2].[توزیع هفتگی2].[All]" allUniqueName="[invoice2].[توزیع هفتگی2].[All]" dimensionUniqueName="[invoice2]" displayFolder="" count="0" memberValueDatatype="130" unbalanced="0"/>
    <cacheHierarchy uniqueName="[invoice2].[توضیحات]" caption="توضیحات" attribute="1" defaultMemberUniqueName="[invoice2].[توضیحات].[All]" allUniqueName="[invoice2].[توضیحات].[All]" dimensionUniqueName="[invoice2]" displayFolder="" count="0" memberValueDatatype="130" unbalanced="0"/>
    <cacheHierarchy uniqueName="[Table1].[Row Labels]" caption="Row Labels" attribute="1" defaultMemberUniqueName="[Table1].[Row Labels].[All]" allUniqueName="[Table1].[Row Labels].[All]" dimensionUniqueName="[Table1]" displayFolder="" count="0" memberValueDatatype="130" unbalanced="0"/>
    <cacheHierarchy uniqueName="[Table1].[Sum of فی 2]" caption="Sum of فی 2" attribute="1" defaultMemberUniqueName="[Table1].[Sum of فی 2].[All]" allUniqueName="[Table1].[Sum of فی 2].[All]" dimensionUniqueName="[Table1]" displayFolder="" count="0" memberValueDatatype="130" unbalanced="0"/>
    <cacheHierarchy uniqueName="[Table1].[Sum of میزان بارگیری شده]" caption="Sum of میزان بارگیری شده" attribute="1" defaultMemberUniqueName="[Table1].[Sum of میزان بارگیری شده].[All]" allUniqueName="[Table1].[Sum of میزان بارگیری شده].[All]" dimensionUniqueName="[Table1]" displayFolder="" count="0" memberValueDatatype="130" unbalanced="0"/>
    <cacheHierarchy uniqueName="[Table1].[مانده]" caption="مانده" attribute="1" defaultMemberUniqueName="[Table1].[مانده].[All]" allUniqueName="[Table1].[مانده].[All]" dimensionUniqueName="[Table1]" displayFolder="" count="0" memberValueDatatype="130" unbalanced="0"/>
    <cacheHierarchy uniqueName="[Measures].[Sum of میزان بارگیری شده]" caption="Sum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um of فی]" caption="Sum of فی" measure="1" displayFolder="" measureGroup="bargiri" count="0">
      <extLst>
        <ext xmlns:x15="http://schemas.microsoft.com/office/spreadsheetml/2010/11/main" uri="{B97F6D7D-B522-45F9-BDA1-12C45D357490}">
          <x15:cacheHierarchy aggregatedColumn="4"/>
        </ext>
      </extLst>
    </cacheHierarchy>
    <cacheHierarchy uniqueName="[Measures].[Sum of میزان سفارش]" caption="Sum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Max of میزان سفارش]" caption="Max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فی 2]" caption="Sum of فی 2" measure="1" displayFolder="" measureGroup="invoice" count="0">
      <extLst>
        <ext xmlns:x15="http://schemas.microsoft.com/office/spreadsheetml/2010/11/main" uri="{B97F6D7D-B522-45F9-BDA1-12C45D357490}">
          <x15:cacheHierarchy aggregatedColumn="17"/>
        </ext>
      </extLst>
    </cacheHierarchy>
    <cacheHierarchy uniqueName="[Measures].[Average of فی]" caption="Average of فی" measure="1" displayFolder="" measureGroup="invoice" count="0">
      <extLst>
        <ext xmlns:x15="http://schemas.microsoft.com/office/spreadsheetml/2010/11/main" uri="{B97F6D7D-B522-45F9-BDA1-12C45D357490}">
          <x15:cacheHierarchy aggregatedColumn="17"/>
        </ext>
      </extLst>
    </cacheHierarchy>
    <cacheHierarchy uniqueName="[Measures].[Average of فی 2]" caption="Average of فی 2" measure="1" displayFolder="" measureGroup="bargiri" count="0">
      <extLst>
        <ext xmlns:x15="http://schemas.microsoft.com/office/spreadsheetml/2010/11/main" uri="{B97F6D7D-B522-45F9-BDA1-12C45D357490}">
          <x15:cacheHierarchy aggregatedColumn="4"/>
        </ext>
      </extLst>
    </cacheHierarchy>
    <cacheHierarchy uniqueName="[Measures].[Count of تاریخ]" caption="Count of تاریخ" measure="1" displayFolder="" measureGroup="invoice" count="0">
      <extLst>
        <ext xmlns:x15="http://schemas.microsoft.com/office/spreadsheetml/2010/11/main" uri="{B97F6D7D-B522-45F9-BDA1-12C45D357490}">
          <x15:cacheHierarchy aggregatedColumn="14"/>
        </ext>
      </extLst>
    </cacheHierarchy>
    <cacheHierarchy uniqueName="[Measures].[Count of شماره پیش فاکتور]" caption="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Distinct Count of شماره پیش فاکتور]" caption="Distinct Count of شماره پیش فاکتور" measure="1" displayFolder="" measureGroup="bargiri" count="0">
      <extLst>
        <ext xmlns:x15="http://schemas.microsoft.com/office/spreadsheetml/2010/11/main" uri="{B97F6D7D-B522-45F9-BDA1-12C45D357490}">
          <x15:cacheHierarchy aggregatedColumn="2"/>
        </ext>
      </extLst>
    </cacheHierarchy>
    <cacheHierarchy uniqueName="[Measures].[Count of شماره پیش فاکتور 2]" caption="Count of شماره پیش فاکتور 2" measure="1" displayFolder="" measureGroup="invoice" count="0">
      <extLst>
        <ext xmlns:x15="http://schemas.microsoft.com/office/spreadsheetml/2010/11/main" uri="{B97F6D7D-B522-45F9-BDA1-12C45D357490}">
          <x15:cacheHierarchy aggregatedColumn="12"/>
        </ext>
      </extLst>
    </cacheHierarchy>
    <cacheHierarchy uniqueName="[Measures].[Count of تاریخ بارگیری]" caption="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Count of نام مشتری]" caption="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نام مشتری]" caption="Distinct Count of نام مشتری" measure="1" displayFolder="" measureGroup="bargiri" count="0">
      <extLst>
        <ext xmlns:x15="http://schemas.microsoft.com/office/spreadsheetml/2010/11/main" uri="{B97F6D7D-B522-45F9-BDA1-12C45D357490}">
          <x15:cacheHierarchy aggregatedColumn="1"/>
        </ext>
      </extLst>
    </cacheHierarchy>
    <cacheHierarchy uniqueName="[Measures].[Distinct Count of تاریخ بارگیری]" caption="Distinct Count of تاریخ بارگیری" measure="1" displayFolder="" measureGroup="bargiri" count="0">
      <extLst>
        <ext xmlns:x15="http://schemas.microsoft.com/office/spreadsheetml/2010/11/main" uri="{B97F6D7D-B522-45F9-BDA1-12C45D357490}">
          <x15:cacheHierarchy aggregatedColumn="0"/>
        </ext>
      </extLst>
    </cacheHierarchy>
    <cacheHierarchy uniqueName="[Measures].[Average of میزان بارگیری شده]" caption="Average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Average of میزان سفارش]" caption="Average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 of میزان بارگیری شده]" caption="StdDev of میزان بارگیری شده" measure="1" displayFolder="" measureGroup="bargiri" count="0">
      <extLst>
        <ext xmlns:x15="http://schemas.microsoft.com/office/spreadsheetml/2010/11/main" uri="{B97F6D7D-B522-45F9-BDA1-12C45D357490}">
          <x15:cacheHierarchy aggregatedColumn="3"/>
        </ext>
      </extLst>
    </cacheHierarchy>
    <cacheHierarchy uniqueName="[Measures].[StdDev of میزان سفارش]" caption="StdDev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tdDevp of میزان سفارش]" caption="StdDevp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Var of میزان سفارش]" caption="Var of میزان سفارش" measure="1" displayFolder="" measureGroup="invoice" count="0">
      <extLst>
        <ext xmlns:x15="http://schemas.microsoft.com/office/spreadsheetml/2010/11/main" uri="{B97F6D7D-B522-45F9-BDA1-12C45D357490}">
          <x15:cacheHierarchy aggregatedColumn="16"/>
        </ext>
      </extLst>
    </cacheHierarchy>
    <cacheHierarchy uniqueName="[Measures].[Sum of میزان سفارش 2]" caption="Sum of میزان سفارش 2" measure="1" displayFolder="" measureGroup="invoice2" count="0">
      <extLst>
        <ext xmlns:x15="http://schemas.microsoft.com/office/spreadsheetml/2010/11/main" uri="{B97F6D7D-B522-45F9-BDA1-12C45D357490}">
          <x15:cacheHierarchy aggregatedColumn="36"/>
        </ext>
      </extLst>
    </cacheHierarchy>
    <cacheHierarchy uniqueName="[Measures].[Count of شماره پیش فاکتور 3]" caption="Count of شماره پیش فاکتور 3" measure="1" displayFolder="" measureGroup="invoice2" count="0">
      <extLst>
        <ext xmlns:x15="http://schemas.microsoft.com/office/spreadsheetml/2010/11/main" uri="{B97F6D7D-B522-45F9-BDA1-12C45D357490}">
          <x15:cacheHierarchy aggregatedColumn="32"/>
        </ext>
      </extLst>
    </cacheHierarchy>
    <cacheHierarchy uniqueName="[Measures].[Sum of فی 3]" caption="Sum of فی 3" measure="1" displayFolder="" measureGroup="invoice2" count="0">
      <extLst>
        <ext xmlns:x15="http://schemas.microsoft.com/office/spreadsheetml/2010/11/main" uri="{B97F6D7D-B522-45F9-BDA1-12C45D357490}">
          <x15:cacheHierarchy aggregatedColumn="37"/>
        </ext>
      </extLst>
    </cacheHierarchy>
    <cacheHierarchy uniqueName="[Measures].[Average of فی 3]" caption="Average of فی 3" measure="1" displayFolder="" measureGroup="invoice2" count="0">
      <extLst>
        <ext xmlns:x15="http://schemas.microsoft.com/office/spreadsheetml/2010/11/main" uri="{B97F6D7D-B522-45F9-BDA1-12C45D357490}">
          <x15:cacheHierarchy aggregatedColumn="37"/>
        </ext>
      </extLst>
    </cacheHierarchy>
    <cacheHierarchy uniqueName="[Measures].[Sum of سال]" caption="Sum of سال" measure="1" displayFolder="" measureGroup="bargiri" count="0">
      <extLst>
        <ext xmlns:x15="http://schemas.microsoft.com/office/spreadsheetml/2010/11/main" uri="{B97F6D7D-B522-45F9-BDA1-12C45D357490}">
          <x15:cacheHierarchy aggregatedColumn="5"/>
        </ext>
      </extLst>
    </cacheHierarchy>
    <cacheHierarchy uniqueName="[Measures].[Sum of درصد میزان بارگیری شده]" caption="Sum of درصد میزان بارگیری شده" measure="1" displayFolder="" measureGroup="invoice" count="0">
      <extLst>
        <ext xmlns:x15="http://schemas.microsoft.com/office/spreadsheetml/2010/11/main" uri="{B97F6D7D-B522-45F9-BDA1-12C45D357490}">
          <x15:cacheHierarchy aggregatedColumn="26"/>
        </ext>
      </extLst>
    </cacheHierarchy>
    <cacheHierarchy uniqueName="[Measures].[maxyearloading]" caption="maxyearloading" measure="1" displayFolder="" measureGroup="bargiri" count="0"/>
    <cacheHierarchy uniqueName="[Measures].[__XL_Count bargiri]" caption="__XL_Count bargiri" measure="1" displayFolder="" measureGroup="bargiri" count="0" hidden="1"/>
    <cacheHierarchy uniqueName="[Measures].[__XL_Count invoice]" caption="__XL_Count invoice" measure="1" displayFolder="" measureGroup="invoice" count="0" hidden="1"/>
    <cacheHierarchy uniqueName="[Measures].[__XL_Count Table1]" caption="__XL_Count Table1" measure="1" displayFolder="" measureGroup="Table1" count="0" hidden="1"/>
    <cacheHierarchy uniqueName="[Measures].[__XL_Count invoice2]" caption="__XL_Count invoice2" measure="1" displayFolder="" measureGroup="invoice2"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826532664"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A4E08B6-F72D-4E41-B924-3CA604C1084D}" name="PivotTable1" cacheId="2191" applyNumberFormats="0" applyBorderFormats="0" applyFontFormats="0" applyPatternFormats="0" applyAlignmentFormats="0" applyWidthHeightFormats="1" dataCaption="Values" tag="d0b1dd00-fb0f-41fd-b834-2b5192085c50" updatedVersion="8" minRefreshableVersion="3" useAutoFormatting="1" subtotalHiddenItems="1" rowGrandTotals="0" colGrandTotals="0" itemPrintTitles="1" createdVersion="6" indent="0" outline="1" outlineData="1" multipleFieldFilters="0" rowHeaderCaption="شماره پیش فاکتور">
  <location ref="CC8:CE9" firstHeaderRow="0" firstDataRow="1" firstDataCol="1" rowPageCount="2" colPageCount="1"/>
  <pivotFields count="6">
    <pivotField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axis="axisRow" allDrilled="1" subtotalTop="0" showAll="0" dataSourceSort="1" defaultSubtotal="0" defaultAttributeDrillState="1">
      <items count="1">
        <item x="0"/>
      </items>
    </pivotField>
    <pivotField dataField="1" subtotalTop="0" showAll="0" defaultSubtotal="0"/>
    <pivotField axis="axisPage" allDrilled="1" subtotalTop="0" showAll="0" dataSourceSort="1" defaultSubtotal="0" defaultAttributeDrillState="1"/>
  </pivotFields>
  <rowFields count="1">
    <field x="3"/>
  </rowFields>
  <rowItems count="1">
    <i>
      <x/>
    </i>
  </rowItems>
  <colFields count="1">
    <field x="-2"/>
  </colFields>
  <colItems count="2">
    <i>
      <x/>
    </i>
    <i i="1">
      <x v="1"/>
    </i>
  </colItems>
  <pageFields count="2">
    <pageField fld="1" hier="33" name="[invoice2].[نام مشتری].&amp;[ارومیه گاز]" cap="ارومیه گاز"/>
    <pageField fld="5" hier="40" name="[invoice2].[نوع].&amp;[بورس]" cap="بورس"/>
  </pageFields>
  <dataFields count="2">
    <dataField name="Sum of میزان سفارش" fld="2" baseField="0" baseItem="0" numFmtId="166"/>
    <dataField name="Average of فی" fld="4" subtotal="average" baseField="3" baseItem="0" numFmtId="166"/>
  </dataFields>
  <formats count="12">
    <format dxfId="716">
      <pivotArea outline="0" collapsedLevelsAreSubtotals="1" fieldPosition="0">
        <references count="1">
          <reference field="4294967294" count="1" selected="0">
            <x v="0"/>
          </reference>
        </references>
      </pivotArea>
    </format>
    <format dxfId="715">
      <pivotArea outline="0" collapsedLevelsAreSubtotals="1" fieldPosition="0">
        <references count="1">
          <reference field="4294967294" count="1" selected="0">
            <x v="1"/>
          </reference>
        </references>
      </pivotArea>
    </format>
    <format dxfId="714">
      <pivotArea type="all" dataOnly="0" outline="0" fieldPosition="0"/>
    </format>
    <format dxfId="713">
      <pivotArea outline="0" collapsedLevelsAreSubtotals="1" fieldPosition="0"/>
    </format>
    <format dxfId="712">
      <pivotArea field="3" type="button" dataOnly="0" labelOnly="1" outline="0" axis="axisRow" fieldPosition="0"/>
    </format>
    <format dxfId="711">
      <pivotArea dataOnly="0" labelOnly="1" fieldPosition="0">
        <references count="1">
          <reference field="3" count="0"/>
        </references>
      </pivotArea>
    </format>
    <format dxfId="710">
      <pivotArea dataOnly="0" labelOnly="1" outline="0" fieldPosition="0">
        <references count="1">
          <reference field="4294967294" count="2">
            <x v="0"/>
            <x v="1"/>
          </reference>
        </references>
      </pivotArea>
    </format>
    <format dxfId="709">
      <pivotArea type="all" dataOnly="0" outline="0" fieldPosition="0"/>
    </format>
    <format dxfId="708">
      <pivotArea outline="0" collapsedLevelsAreSubtotals="1" fieldPosition="0"/>
    </format>
    <format dxfId="707">
      <pivotArea field="3" type="button" dataOnly="0" labelOnly="1" outline="0" axis="axisRow" fieldPosition="0"/>
    </format>
    <format dxfId="706">
      <pivotArea dataOnly="0" labelOnly="1" fieldPosition="0">
        <references count="1">
          <reference field="3" count="0"/>
        </references>
      </pivotArea>
    </format>
    <format dxfId="705">
      <pivotArea dataOnly="0" labelOnly="1" outline="0" fieldPosition="0">
        <references count="1">
          <reference field="4294967294" count="2">
            <x v="0"/>
            <x v="1"/>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پارس اکسیر البرز شمالی]"/>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2].[نام مشتری].&amp;[ارومیه گاز]"/>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
    <pivotHierarchy dragToData="1"/>
    <pivotHierarchy dragToData="1" caption="میزان سفارش"/>
    <pivotHierarchy dragToData="1"/>
    <pivotHierarchy dragToData="1"/>
    <pivotHierarchy dragToData="1"/>
    <pivotHierarchy dragToData="1" caption="میانگین فی"/>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سفارش"/>
    <pivotHierarchy dragToData="1"/>
    <pivotHierarchy dragToData="1"/>
    <pivotHierarchy dragToData="1" caption="Average of فی"/>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3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BE4D81E-81BF-4FBB-9BE4-F4C0683D0E73}" name="PivotTable3" cacheId="2970" applyNumberFormats="0" applyBorderFormats="0" applyFontFormats="0" applyPatternFormats="0" applyAlignmentFormats="0" applyWidthHeightFormats="1" dataCaption="Values" tag="8c99efcd-b569-44f8-98a1-d0463c26ed6b" updatedVersion="8" minRefreshableVersion="3" useAutoFormatting="1" subtotalHiddenItems="1" rowGrandTotals="0" colGrandTotals="0" itemPrintTitles="1" createdVersion="6" indent="0" outline="1" outlineData="1" multipleFieldFilters="0" rowHeaderCaption="شماره پیش فاکتور">
  <location ref="K19:T20" firstHeaderRow="0" firstDataRow="1" firstDataCol="0" rowPageCount="1" colPageCount="1"/>
  <pivotFields count="12">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xis="axisPage" allDrilled="1" subtotalTop="0" showAll="0" dataSourceSort="1" defaultSubtotal="0" defaultAttributeDrillState="1"/>
  </pivotFields>
  <rowItems count="1">
    <i/>
  </rowItems>
  <colFields count="1">
    <field x="-2"/>
  </colFields>
  <colItems count="10">
    <i>
      <x/>
    </i>
    <i i="1">
      <x v="1"/>
    </i>
    <i i="2">
      <x v="2"/>
    </i>
    <i i="3">
      <x v="3"/>
    </i>
    <i i="4">
      <x v="4"/>
    </i>
    <i i="5">
      <x v="5"/>
    </i>
    <i i="6">
      <x v="6"/>
    </i>
    <i i="7">
      <x v="7"/>
    </i>
    <i i="8">
      <x v="8"/>
    </i>
    <i i="9">
      <x v="9"/>
    </i>
  </colItems>
  <pageFields count="1">
    <pageField fld="11" hier="23" name="[invoice].[کمکی].[All]" cap="All"/>
  </pageFields>
  <dataFields count="10">
    <dataField name="تعداد مشتری" fld="5" subtotal="count" baseField="0" baseItem="1">
      <extLst>
        <ext xmlns:x15="http://schemas.microsoft.com/office/spreadsheetml/2010/11/main" uri="{FABC7310-3BB5-11E1-824E-6D434824019B}">
          <x15:dataField isCountDistinct="1"/>
        </ext>
      </extLst>
    </dataField>
    <dataField name="تعداد پیش فاکتور" fld="4" subtotal="count" baseField="0" baseItem="0"/>
    <dataField name="تعداد بارگیری" fld="6" subtotal="count" baseField="0" baseItem="0" numFmtId="166"/>
    <dataField name="میزان سفارش" fld="2" baseField="0" baseItem="4" numFmtId="168"/>
    <dataField name="میزان بارگیری شده" fld="0" baseField="0" baseItem="4" numFmtId="168"/>
    <dataField name="میانگین فی" fld="1" subtotal="average" baseField="3" baseItem="0" numFmtId="166"/>
    <dataField name="میانگین سفارش" fld="8" subtotal="average" baseField="0" baseItem="6" numFmtId="169"/>
    <dataField name="میانگین بارگیری" fld="7" subtotal="average" baseField="0" baseItem="7" numFmtId="169"/>
    <dataField name="انحراف بارگیری" fld="9" subtotal="stdDev" baseField="0" baseItem="8" numFmtId="169"/>
    <dataField name="انحراف سفارش" fld="10" subtotal="stdDevp" baseField="0" baseItem="8" numFmtId="169"/>
  </dataFields>
  <formats count="16">
    <format dxfId="732">
      <pivotArea outline="0" collapsedLevelsAreSubtotals="1" fieldPosition="0">
        <references count="1">
          <reference field="4294967294" count="1" selected="0">
            <x v="5"/>
          </reference>
        </references>
      </pivotArea>
    </format>
    <format dxfId="731">
      <pivotArea outline="0" collapsedLevelsAreSubtotals="1" fieldPosition="0">
        <references count="1">
          <reference field="4294967294" count="3" selected="0">
            <x v="2"/>
            <x v="3"/>
            <x v="4"/>
          </reference>
        </references>
      </pivotArea>
    </format>
    <format dxfId="730">
      <pivotArea outline="0" collapsedLevelsAreSubtotals="1" fieldPosition="0">
        <references count="1">
          <reference field="4294967294" count="1" selected="0">
            <x v="7"/>
          </reference>
        </references>
      </pivotArea>
    </format>
    <format dxfId="729">
      <pivotArea outline="0" collapsedLevelsAreSubtotals="1" fieldPosition="0">
        <references count="1">
          <reference field="4294967294" count="1" selected="0">
            <x v="6"/>
          </reference>
        </references>
      </pivotArea>
    </format>
    <format dxfId="728">
      <pivotArea outline="0" fieldPosition="0">
        <references count="1">
          <reference field="4294967294" count="1">
            <x v="3"/>
          </reference>
        </references>
      </pivotArea>
    </format>
    <format dxfId="727">
      <pivotArea outline="0" fieldPosition="0">
        <references count="1">
          <reference field="4294967294" count="1">
            <x v="4"/>
          </reference>
        </references>
      </pivotArea>
    </format>
    <format dxfId="726">
      <pivotArea outline="0" fieldPosition="0">
        <references count="1">
          <reference field="4294967294" count="1">
            <x v="6"/>
          </reference>
        </references>
      </pivotArea>
    </format>
    <format dxfId="725">
      <pivotArea outline="0" fieldPosition="0">
        <references count="1">
          <reference field="4294967294" count="1">
            <x v="7"/>
          </reference>
        </references>
      </pivotArea>
    </format>
    <format dxfId="724">
      <pivotArea outline="0" fieldPosition="0">
        <references count="1">
          <reference field="4294967294" count="1">
            <x v="9"/>
          </reference>
        </references>
      </pivotArea>
    </format>
    <format dxfId="723">
      <pivotArea outline="0" fieldPosition="0">
        <references count="1">
          <reference field="4294967294" count="1">
            <x v="8"/>
          </reference>
        </references>
      </pivotArea>
    </format>
    <format dxfId="722">
      <pivotArea type="all" dataOnly="0" outline="0" fieldPosition="0"/>
    </format>
    <format dxfId="721">
      <pivotArea outline="0" collapsedLevelsAreSubtotals="1" fieldPosition="0"/>
    </format>
    <format dxfId="720">
      <pivotArea dataOnly="0" labelOnly="1" outline="0" fieldPosition="0">
        <references count="1">
          <reference field="4294967294" count="10">
            <x v="0"/>
            <x v="1"/>
            <x v="2"/>
            <x v="3"/>
            <x v="4"/>
            <x v="5"/>
            <x v="6"/>
            <x v="7"/>
            <x v="8"/>
            <x v="9"/>
          </reference>
        </references>
      </pivotArea>
    </format>
    <format dxfId="719">
      <pivotArea type="all" dataOnly="0" outline="0" fieldPosition="0"/>
    </format>
    <format dxfId="718">
      <pivotArea outline="0" collapsedLevelsAreSubtotals="1" fieldPosition="0"/>
    </format>
    <format dxfId="717">
      <pivotArea dataOnly="0" labelOnly="1" outline="0" fieldPosition="0">
        <references count="1">
          <reference field="4294967294" count="10">
            <x v="0"/>
            <x v="1"/>
            <x v="2"/>
            <x v="3"/>
            <x v="4"/>
            <x v="5"/>
            <x v="6"/>
            <x v="7"/>
            <x v="8"/>
            <x v="9"/>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تعاونی ماهان گاز]"/>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
    <pivotHierarchy dragToData="1"/>
    <pivotHierarchy dragToData="1" caption="میزان سفارش"/>
    <pivotHierarchy dragToData="1"/>
    <pivotHierarchy dragToData="1"/>
    <pivotHierarchy dragToData="1"/>
    <pivotHierarchy dragToData="1" caption="میانگین فی"/>
    <pivotHierarchy dragToData="1"/>
    <pivotHierarchy dragToData="1" caption="تعداد بارگیری"/>
    <pivotHierarchy dragToData="1"/>
    <pivotHierarchy dragToData="1" caption="تعداد پیش فاکتور"/>
    <pivotHierarchy dragToData="1"/>
    <pivotHierarchy dragToData="1" caption="Count of نام مشتری"/>
    <pivotHierarchy dragToData="1" caption="تعداد مشتری"/>
    <pivotHierarchy dragToData="1" caption="Distinct Count of تاریخ بارگیری"/>
    <pivotHierarchy dragToData="1" caption="میانگین بارگیری"/>
    <pivotHierarchy dragToData="1" caption="میانگین سفارش"/>
    <pivotHierarchy dragToData="1" caption="انحراف بارگیری"/>
    <pivotHierarchy dragToData="1" caption="StdDev of میزان سفارش"/>
    <pivotHierarchy dragToData="1" caption="انحراف سفارش"/>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D81FFC8-BCFE-44D5-A2FD-80ED018179FF}" name="month" cacheId="2958" applyNumberFormats="0" applyBorderFormats="0" applyFontFormats="0" applyPatternFormats="0" applyAlignmentFormats="0" applyWidthHeightFormats="1" dataCaption="Values" tag="3ed8f735-c971-4b57-b08a-87d5ab2dc74c" updatedVersion="8" minRefreshableVersion="3" useAutoFormatting="1" subtotalHiddenItems="1" rowGrandTotals="0" colGrandTotals="0" itemPrintTitles="1" createdVersion="6" indent="0" outline="1" outlineData="1" multipleFieldFilters="0" chartFormat="9" rowHeaderCaption="شماره پیش فاکتور">
  <location ref="BJ7:BL19" firstHeaderRow="0" firstDataRow="1" firstDataCol="1" rowPageCount="1" colPageCount="1"/>
  <pivotFields count="5">
    <pivotField dataField="1" subtotalTop="0" showAll="0" defaultSubtotal="0"/>
    <pivotField allDrilled="1" subtotalTop="0" showAll="0" dataSourceSort="1" defaultSubtotal="0" defaultAttributeDrillState="1"/>
    <pivotField dataField="1" subtotalTop="0" showAll="0" defaultSubtotal="0"/>
    <pivotField axis="axisRow" allDrilled="1" subtotalTop="0" showAll="0" sortType="ascending" defaultSubtotal="0" defaultAttributeDrillState="1">
      <items count="12">
        <item x="0"/>
        <item x="1"/>
        <item x="2"/>
        <item x="3"/>
        <item x="4"/>
        <item x="5"/>
        <item x="6"/>
        <item x="7"/>
        <item x="8"/>
        <item x="9"/>
        <item x="10"/>
        <item x="11"/>
      </items>
    </pivotField>
    <pivotField axis="axisPage" allDrilled="1" subtotalTop="0" showAll="0" dataSourceSort="1" defaultSubtotal="0" defaultAttributeDrillState="1">
      <items count="3">
        <item s="1" x="0"/>
        <item x="1"/>
        <item x="2"/>
      </items>
    </pivotField>
  </pivotFields>
  <rowFields count="1">
    <field x="3"/>
  </rowFields>
  <rowItems count="12">
    <i>
      <x/>
    </i>
    <i>
      <x v="1"/>
    </i>
    <i>
      <x v="2"/>
    </i>
    <i>
      <x v="3"/>
    </i>
    <i>
      <x v="4"/>
    </i>
    <i>
      <x v="5"/>
    </i>
    <i>
      <x v="6"/>
    </i>
    <i>
      <x v="7"/>
    </i>
    <i>
      <x v="8"/>
    </i>
    <i>
      <x v="9"/>
    </i>
    <i>
      <x v="10"/>
    </i>
    <i>
      <x v="11"/>
    </i>
  </rowItems>
  <colFields count="1">
    <field x="-2"/>
  </colFields>
  <colItems count="2">
    <i>
      <x/>
    </i>
    <i i="1">
      <x v="1"/>
    </i>
  </colItems>
  <pageFields count="1">
    <pageField fld="4" hier="5" name="[bargiri].[سال].&amp;[1403]" cap="1403"/>
  </pageFields>
  <dataFields count="2">
    <dataField name="میزان بارگیری شده(هزار تن)" fld="0" baseField="3" baseItem="7" numFmtId="168"/>
    <dataField name="تعداد بارگیری" fld="2" subtotal="count" baseField="0" baseItem="0"/>
  </dataFields>
  <formats count="12">
    <format dxfId="744">
      <pivotArea outline="0" collapsedLevelsAreSubtotals="1" fieldPosition="0">
        <references count="1">
          <reference field="4294967294" count="1" selected="0">
            <x v="0"/>
          </reference>
        </references>
      </pivotArea>
    </format>
    <format dxfId="743">
      <pivotArea outline="0" fieldPosition="0">
        <references count="1">
          <reference field="4294967294" count="1">
            <x v="0"/>
          </reference>
        </references>
      </pivotArea>
    </format>
    <format dxfId="742">
      <pivotArea type="all" dataOnly="0" outline="0" fieldPosition="0"/>
    </format>
    <format dxfId="741">
      <pivotArea outline="0" collapsedLevelsAreSubtotals="1" fieldPosition="0"/>
    </format>
    <format dxfId="740">
      <pivotArea field="3" type="button" dataOnly="0" labelOnly="1" outline="0" axis="axisRow" fieldPosition="0"/>
    </format>
    <format dxfId="739">
      <pivotArea dataOnly="0" labelOnly="1" fieldPosition="0">
        <references count="1">
          <reference field="3" count="0"/>
        </references>
      </pivotArea>
    </format>
    <format dxfId="738">
      <pivotArea dataOnly="0" labelOnly="1" outline="0" fieldPosition="0">
        <references count="1">
          <reference field="4294967294" count="2">
            <x v="0"/>
            <x v="1"/>
          </reference>
        </references>
      </pivotArea>
    </format>
    <format dxfId="737">
      <pivotArea type="all" dataOnly="0" outline="0" fieldPosition="0"/>
    </format>
    <format dxfId="736">
      <pivotArea outline="0" collapsedLevelsAreSubtotals="1" fieldPosition="0"/>
    </format>
    <format dxfId="735">
      <pivotArea field="3" type="button" dataOnly="0" labelOnly="1" outline="0" axis="axisRow" fieldPosition="0"/>
    </format>
    <format dxfId="734">
      <pivotArea dataOnly="0" labelOnly="1" fieldPosition="0">
        <references count="1">
          <reference field="3" count="0"/>
        </references>
      </pivotArea>
    </format>
    <format dxfId="733">
      <pivotArea dataOnly="0" labelOnly="1" outline="0" fieldPosition="0">
        <references count="1">
          <reference field="4294967294" count="2">
            <x v="0"/>
            <x v="1"/>
          </reference>
        </references>
      </pivotArea>
    </format>
  </formats>
  <pivotHierarchies count="83">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تعاونی ماهان گاز]"/>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هزار تن)"/>
    <pivotHierarchy dragToData="1"/>
    <pivotHierarchy dragToData="1" caption="میزان سفارش"/>
    <pivotHierarchy dragToData="1"/>
    <pivotHierarchy dragToData="1"/>
    <pivotHierarchy dragToData="1"/>
    <pivotHierarchy dragToData="1" caption="میانگین فی"/>
    <pivotHierarchy dragToData="1"/>
    <pivotHierarchy dragToData="1" caption="تعداد بارگیری"/>
    <pivotHierarchy dragToData="1" caption="Distinct Count of شماره پیش فاکتور"/>
    <pivotHierarchy dragToData="1" caption="تعداد پیش فاکتور"/>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B4E4796-30BE-48C2-9EE7-8A4FAB4C55DB}" name="customer" cacheId="2980" applyNumberFormats="0" applyBorderFormats="0" applyFontFormats="0" applyPatternFormats="0" applyAlignmentFormats="0" applyWidthHeightFormats="1" dataCaption="Values" tag="a1e71105-5432-4017-ab2b-b69f558460dc" updatedVersion="8" minRefreshableVersion="3" useAutoFormatting="1" subtotalHiddenItems="1" rowGrandTotals="0" colGrandTotals="0" itemPrintTitles="1" createdVersion="6" indent="0" outline="1" outlineData="1" multipleFieldFilters="0" rowHeaderCaption="شماره پیش فاکتور">
  <location ref="AF6:AJ7" firstHeaderRow="0" firstDataRow="1" firstDataCol="0" rowPageCount="2" colPageCount="1"/>
  <pivotFields count="7">
    <pivotField dataField="1" subtotalTop="0" showAll="0" defaultSubtotal="0"/>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axis="axisPage" allDrilled="1" subtotalTop="0" showAll="0" dataSourceSort="1" defaultSubtotal="0" defaultAttributeDrillState="1"/>
  </pivotFields>
  <rowItems count="1">
    <i/>
  </rowItems>
  <colFields count="1">
    <field x="-2"/>
  </colFields>
  <colItems count="5">
    <i>
      <x/>
    </i>
    <i i="1">
      <x v="1"/>
    </i>
    <i i="2">
      <x v="2"/>
    </i>
    <i i="3">
      <x v="3"/>
    </i>
    <i i="4">
      <x v="4"/>
    </i>
  </colItems>
  <pageFields count="2">
    <pageField fld="1" hier="13" name="[invoice].[نام مشتری].&amp;[خوش نوش همدان]" cap="خوش نوش همدان"/>
    <pageField fld="6" hier="20" name="[invoice].[نوع سفارش].&amp;[بورس]" cap="بورس"/>
  </pageFields>
  <dataFields count="5">
    <dataField name=" میزان سفارش" fld="5" baseField="0" baseItem="1" numFmtId="170"/>
    <dataField name="میزان بارگیری شده" fld="0" baseField="0" baseItem="1" numFmtId="170"/>
    <dataField name=" میانگین فی" fld="3" subtotal="average" baseField="0" baseItem="3" numFmtId="166"/>
    <dataField name="تعداد پیش فاکتور" fld="4" subtotal="count" baseField="0" baseItem="4"/>
    <dataField name="تعداد بارگیری" fld="2" subtotal="count" baseField="0" baseItem="0"/>
  </dataFields>
  <formats count="11">
    <format dxfId="755">
      <pivotArea outline="0" collapsedLevelsAreSubtotals="1" fieldPosition="0">
        <references count="1">
          <reference field="4294967294" count="1" selected="0">
            <x v="1"/>
          </reference>
        </references>
      </pivotArea>
    </format>
    <format dxfId="754">
      <pivotArea outline="0" collapsedLevelsAreSubtotals="1" fieldPosition="0">
        <references count="1">
          <reference field="4294967294" count="1" selected="0">
            <x v="2"/>
          </reference>
        </references>
      </pivotArea>
    </format>
    <format dxfId="753">
      <pivotArea outline="0" collapsedLevelsAreSubtotals="1" fieldPosition="0">
        <references count="1">
          <reference field="4294967294" count="1" selected="0">
            <x v="0"/>
          </reference>
        </references>
      </pivotArea>
    </format>
    <format dxfId="752">
      <pivotArea outline="0" fieldPosition="0">
        <references count="1">
          <reference field="4294967294" count="1">
            <x v="0"/>
          </reference>
        </references>
      </pivotArea>
    </format>
    <format dxfId="751">
      <pivotArea outline="0" fieldPosition="0">
        <references count="1">
          <reference field="4294967294" count="1">
            <x v="1"/>
          </reference>
        </references>
      </pivotArea>
    </format>
    <format dxfId="750">
      <pivotArea type="all" dataOnly="0" outline="0" fieldPosition="0"/>
    </format>
    <format dxfId="749">
      <pivotArea outline="0" collapsedLevelsAreSubtotals="1" fieldPosition="0"/>
    </format>
    <format dxfId="748">
      <pivotArea dataOnly="0" labelOnly="1" outline="0" fieldPosition="0">
        <references count="1">
          <reference field="4294967294" count="5">
            <x v="0"/>
            <x v="1"/>
            <x v="2"/>
            <x v="3"/>
            <x v="4"/>
          </reference>
        </references>
      </pivotArea>
    </format>
    <format dxfId="747">
      <pivotArea type="all" dataOnly="0" outline="0" fieldPosition="0"/>
    </format>
    <format dxfId="746">
      <pivotArea outline="0" collapsedLevelsAreSubtotals="1" fieldPosition="0"/>
    </format>
    <format dxfId="745">
      <pivotArea dataOnly="0" labelOnly="1" outline="0" fieldPosition="0">
        <references count="1">
          <reference field="4294967294" count="5">
            <x v="0"/>
            <x v="1"/>
            <x v="2"/>
            <x v="3"/>
            <x v="4"/>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خوش نوش همدان]"/>
      </members>
    </pivotHierarchy>
    <pivotHierarchy dragToData="1"/>
    <pivotHierarchy dragToData="1"/>
    <pivotHierarchy dragToData="1"/>
    <pivotHierarchy dragToData="1"/>
    <pivotHierarchy dragToData="1"/>
    <pivotHierarchy dragToData="1"/>
    <pivotHierarchy multipleItemSelectionAllowed="1" dragToData="1">
      <members count="4" level="1">
        <member name="[invoice].[نوع سفارش].&amp;[بورس]"/>
        <member name="[invoice].[نوع سفارش].&amp;[عادی]"/>
        <member name="[invoice].[نوع سفارش].&amp;[انجمن]"/>
        <member name="[invoice].[نوع سفارش].&amp;[تعادلی]"/>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
    <pivotHierarchy dragToData="1"/>
    <pivotHierarchy dragToData="1" caption=" میزان سفارش"/>
    <pivotHierarchy dragToData="1"/>
    <pivotHierarchy dragToData="1"/>
    <pivotHierarchy dragToData="1" caption="میانگین فی"/>
    <pivotHierarchy dragToData="1" caption=" میانگین فی"/>
    <pivotHierarchy dragToData="1"/>
    <pivotHierarchy dragToData="1" caption="تعداد بارگیری"/>
    <pivotHierarchy dragToData="1" caption="Distinct Count of شماره پیش فاکتور"/>
    <pivotHierarchy dragToData="1" caption="تعداد پیش فاکتور"/>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سفارش"/>
    <pivotHierarchy dragToData="1" caption="تعداد پیش فاکتور"/>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60D8C8CD-A1F6-41E4-ABF0-9B8D3FF19FD0}" name="customer_details" cacheId="2977" applyNumberFormats="0" applyBorderFormats="0" applyFontFormats="0" applyPatternFormats="0" applyAlignmentFormats="0" applyWidthHeightFormats="1" dataCaption="Values" tag="54404a0d-0c37-4e20-819c-787298b7fe33" updatedVersion="8" minRefreshableVersion="3" useAutoFormatting="1" subtotalHiddenItems="1" rowGrandTotals="0" colGrandTotals="0" itemPrintTitles="1" createdVersion="6" indent="0" outline="1" outlineData="1" multipleFieldFilters="0" rowHeaderCaption="شماره پیش فاکتور">
  <location ref="Z6:AD15" firstHeaderRow="0" firstDataRow="1" firstDataCol="1" rowPageCount="3" colPageCount="1"/>
  <pivotFields count="8">
    <pivotField dataField="1" subtotalTop="0" showAll="0" defaultSubtotal="0"/>
    <pivotField dataField="1" subtotalTop="0" showAll="0" defaultSubtotal="0"/>
    <pivotField axis="axisPage" allDrilled="1" subtotalTop="0" showAll="0" dataSourceSort="1" defaultSubtotal="0" defaultAttributeDrillState="1"/>
    <pivotField dataField="1" subtotalTop="0" showAll="0" defaultSubtotal="0"/>
    <pivotField axis="axisRow" allDrilled="1" subtotalTop="0" showAll="0" sortType="ascending" defaultSubtotal="0" defaultAttributeDrillState="1">
      <items count="9">
        <item x="0"/>
        <item x="1"/>
        <item x="2"/>
        <item x="3"/>
        <item x="4"/>
        <item x="5"/>
        <item x="6"/>
        <item x="7"/>
        <item x="8"/>
      </items>
      <autoSortScope>
        <pivotArea dataOnly="0" outline="0" fieldPosition="0">
          <references count="1">
            <reference field="4294967294" count="1" selected="0">
              <x v="3"/>
            </reference>
          </references>
        </pivotArea>
      </autoSortScope>
    </pivotField>
    <pivotField axis="axisPage" allDrilled="1" subtotalTop="0" showAll="0" dataSourceSort="1" defaultSubtotal="0" defaultAttributeDrillState="1"/>
    <pivotField dataField="1" subtotalTop="0" showAll="0" defaultSubtotal="0"/>
    <pivotField axis="axisPage" allDrilled="1" subtotalTop="0" showAll="0" dataSourceSort="1" defaultSubtotal="0" defaultAttributeDrillState="1"/>
  </pivotFields>
  <rowFields count="1">
    <field x="4"/>
  </rowFields>
  <rowItems count="9">
    <i>
      <x v="1"/>
    </i>
    <i>
      <x v="4"/>
    </i>
    <i>
      <x v="5"/>
    </i>
    <i>
      <x v="2"/>
    </i>
    <i>
      <x v="6"/>
    </i>
    <i>
      <x/>
    </i>
    <i>
      <x v="7"/>
    </i>
    <i>
      <x v="3"/>
    </i>
    <i>
      <x v="8"/>
    </i>
  </rowItems>
  <colFields count="1">
    <field x="-2"/>
  </colFields>
  <colItems count="4">
    <i>
      <x/>
    </i>
    <i i="1">
      <x v="1"/>
    </i>
    <i i="2">
      <x v="2"/>
    </i>
    <i i="3">
      <x v="3"/>
    </i>
  </colItems>
  <pageFields count="3">
    <pageField fld="7" hier="27" name="[invoice].[Calculated Column 1].&amp;[بله]" cap="بله"/>
    <pageField fld="2" hier="13" name="[invoice].[نام مشتری].&amp;[خوش نوش همدان]" cap="خوش نوش همدان"/>
    <pageField fld="5" hier="20" name="[invoice].[نوع سفارش].&amp;[بورس]" cap="بورس"/>
  </pageFields>
  <dataFields count="4">
    <dataField name="میانگین فی" fld="1" subtotal="average" baseField="2" baseItem="0"/>
    <dataField name="میزان بارگیری شده" fld="0" baseField="2" baseItem="0" numFmtId="3"/>
    <dataField name="میزان سفارش" fld="3" baseField="0" baseItem="0"/>
    <dataField name="Sum of درصد میزان بارگیری شده" fld="6" baseField="4" baseItem="2"/>
  </dataFields>
  <formats count="10">
    <format dxfId="765">
      <pivotArea type="all" dataOnly="0" outline="0" fieldPosition="0"/>
    </format>
    <format dxfId="764">
      <pivotArea outline="0" collapsedLevelsAreSubtotals="1" fieldPosition="0"/>
    </format>
    <format dxfId="763">
      <pivotArea field="4" type="button" dataOnly="0" labelOnly="1" outline="0" axis="axisRow" fieldPosition="0"/>
    </format>
    <format dxfId="762">
      <pivotArea dataOnly="0" labelOnly="1" fieldPosition="0">
        <references count="1">
          <reference field="4" count="0"/>
        </references>
      </pivotArea>
    </format>
    <format dxfId="761">
      <pivotArea dataOnly="0" labelOnly="1" outline="0" fieldPosition="0">
        <references count="1">
          <reference field="4294967294" count="3">
            <x v="0"/>
            <x v="1"/>
            <x v="2"/>
          </reference>
        </references>
      </pivotArea>
    </format>
    <format dxfId="760">
      <pivotArea type="all" dataOnly="0" outline="0" fieldPosition="0"/>
    </format>
    <format dxfId="759">
      <pivotArea outline="0" collapsedLevelsAreSubtotals="1" fieldPosition="0"/>
    </format>
    <format dxfId="758">
      <pivotArea field="4" type="button" dataOnly="0" labelOnly="1" outline="0" axis="axisRow" fieldPosition="0"/>
    </format>
    <format dxfId="757">
      <pivotArea dataOnly="0" labelOnly="1" fieldPosition="0">
        <references count="1">
          <reference field="4" count="0"/>
        </references>
      </pivotArea>
    </format>
    <format dxfId="756">
      <pivotArea dataOnly="0" labelOnly="1" outline="0" fieldPosition="0">
        <references count="1">
          <reference field="4294967294" count="3">
            <x v="0"/>
            <x v="1"/>
            <x v="2"/>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خوش نوش همدان]"/>
      </members>
    </pivotHierarchy>
    <pivotHierarchy dragToData="1"/>
    <pivotHierarchy dragToData="1"/>
    <pivotHierarchy dragToData="1"/>
    <pivotHierarchy dragToData="1"/>
    <pivotHierarchy dragToData="1"/>
    <pivotHierarchy dragToData="1"/>
    <pivotHierarchy multipleItemSelectionAllowed="1" dragToData="1">
      <members count="4" level="1">
        <member name="[invoice].[نوع سفارش].&amp;[بورس]"/>
        <member name="[invoice].[نوع سفارش].&amp;[عادی]"/>
        <member name="[invoice].[نوع سفارش].&amp;[انجمن]"/>
        <member name="[invoice].[نوع سفارش].&amp;[تعادلی]"/>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
    <pivotHierarchy dragToData="1"/>
    <pivotHierarchy dragToData="1" caption="میزان سفارش"/>
    <pivotHierarchy dragToData="1"/>
    <pivotHierarchy dragToData="1"/>
    <pivotHierarchy dragToData="1"/>
    <pivotHierarchy dragToData="1" caption="میانگین فی"/>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سفارش"/>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6521C393-9436-44CE-8C8A-FA04D846332E}" name="total" cacheId="2961" applyNumberFormats="0" applyBorderFormats="0" applyFontFormats="0" applyPatternFormats="0" applyAlignmentFormats="0" applyWidthHeightFormats="1" dataCaption="Values" tag="8c99efcd-b569-44f8-98a1-d0463c26ed6b" updatedVersion="8" minRefreshableVersion="3" useAutoFormatting="1" subtotalHiddenItems="1" rowGrandTotals="0" colGrandTotals="0" itemPrintTitles="1" createdVersion="6" indent="0" outline="1" outlineData="1" multipleFieldFilters="0" rowHeaderCaption="شماره پیش فاکتور">
  <location ref="K7:T8" firstHeaderRow="0" firstDataRow="1" firstDataCol="0"/>
  <pivotFields count="12">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 dataField="1" subtotalTop="0" showAll="0" defaultSubtotal="0"/>
  </pivotFields>
  <rowItems count="1">
    <i/>
  </rowItems>
  <colFields count="1">
    <field x="-2"/>
  </colFields>
  <colItems count="10">
    <i>
      <x/>
    </i>
    <i i="1">
      <x v="1"/>
    </i>
    <i i="2">
      <x v="2"/>
    </i>
    <i i="3">
      <x v="3"/>
    </i>
    <i i="4">
      <x v="4"/>
    </i>
    <i i="5">
      <x v="5"/>
    </i>
    <i i="6">
      <x v="6"/>
    </i>
    <i i="7">
      <x v="7"/>
    </i>
    <i i="8">
      <x v="8"/>
    </i>
    <i i="9">
      <x v="9"/>
    </i>
  </colItems>
  <dataFields count="10">
    <dataField name="Distinct Count of نام مشتری" fld="11" subtotal="count" baseField="0" baseItem="1">
      <extLst>
        <ext xmlns:x15="http://schemas.microsoft.com/office/spreadsheetml/2010/11/main" uri="{FABC7310-3BB5-11E1-824E-6D434824019B}">
          <x15:dataField isCountDistinct="1"/>
        </ext>
      </extLst>
    </dataField>
    <dataField name="تعداد پیش فاکتور" fld="4" subtotal="count" baseField="0" baseItem="0"/>
    <dataField name="تعداد بارگیری" fld="5" subtotal="count" baseField="0" baseItem="0" numFmtId="166"/>
    <dataField name="میزان سفارش" fld="2" baseField="0" baseItem="4" numFmtId="168"/>
    <dataField name="میزان بارگیری شده" fld="0" baseField="0" baseItem="4" numFmtId="168"/>
    <dataField name="میانگین فی" fld="1" subtotal="average" baseField="3" baseItem="0" numFmtId="166"/>
    <dataField name="میانگین سفارش" fld="7" subtotal="average" baseField="0" baseItem="6" numFmtId="169"/>
    <dataField name="میانگین بارگیری" fld="6" subtotal="average" baseField="0" baseItem="7" numFmtId="169"/>
    <dataField name="انحراف بارگیری" fld="8" subtotal="stdDev" baseField="0" baseItem="8" numFmtId="169"/>
    <dataField name="انحراف سفارش" fld="9" subtotal="stdDevp" baseField="0" baseItem="8" numFmtId="169"/>
  </dataFields>
  <formats count="16">
    <format dxfId="781">
      <pivotArea outline="0" collapsedLevelsAreSubtotals="1" fieldPosition="0">
        <references count="1">
          <reference field="4294967294" count="1" selected="0">
            <x v="5"/>
          </reference>
        </references>
      </pivotArea>
    </format>
    <format dxfId="780">
      <pivotArea outline="0" collapsedLevelsAreSubtotals="1" fieldPosition="0">
        <references count="1">
          <reference field="4294967294" count="3" selected="0">
            <x v="2"/>
            <x v="3"/>
            <x v="4"/>
          </reference>
        </references>
      </pivotArea>
    </format>
    <format dxfId="779">
      <pivotArea outline="0" collapsedLevelsAreSubtotals="1" fieldPosition="0">
        <references count="1">
          <reference field="4294967294" count="1" selected="0">
            <x v="7"/>
          </reference>
        </references>
      </pivotArea>
    </format>
    <format dxfId="778">
      <pivotArea outline="0" collapsedLevelsAreSubtotals="1" fieldPosition="0">
        <references count="1">
          <reference field="4294967294" count="1" selected="0">
            <x v="6"/>
          </reference>
        </references>
      </pivotArea>
    </format>
    <format dxfId="777">
      <pivotArea outline="0" fieldPosition="0">
        <references count="1">
          <reference field="4294967294" count="1">
            <x v="3"/>
          </reference>
        </references>
      </pivotArea>
    </format>
    <format dxfId="776">
      <pivotArea outline="0" fieldPosition="0">
        <references count="1">
          <reference field="4294967294" count="1">
            <x v="4"/>
          </reference>
        </references>
      </pivotArea>
    </format>
    <format dxfId="775">
      <pivotArea outline="0" fieldPosition="0">
        <references count="1">
          <reference field="4294967294" count="1">
            <x v="6"/>
          </reference>
        </references>
      </pivotArea>
    </format>
    <format dxfId="774">
      <pivotArea outline="0" fieldPosition="0">
        <references count="1">
          <reference field="4294967294" count="1">
            <x v="7"/>
          </reference>
        </references>
      </pivotArea>
    </format>
    <format dxfId="773">
      <pivotArea outline="0" fieldPosition="0">
        <references count="1">
          <reference field="4294967294" count="1">
            <x v="9"/>
          </reference>
        </references>
      </pivotArea>
    </format>
    <format dxfId="772">
      <pivotArea outline="0" fieldPosition="0">
        <references count="1">
          <reference field="4294967294" count="1">
            <x v="8"/>
          </reference>
        </references>
      </pivotArea>
    </format>
    <format dxfId="771">
      <pivotArea type="all" dataOnly="0" outline="0" fieldPosition="0"/>
    </format>
    <format dxfId="770">
      <pivotArea outline="0" collapsedLevelsAreSubtotals="1" fieldPosition="0"/>
    </format>
    <format dxfId="769">
      <pivotArea dataOnly="0" labelOnly="1" outline="0" fieldPosition="0">
        <references count="1">
          <reference field="4294967294" count="10">
            <x v="0"/>
            <x v="1"/>
            <x v="2"/>
            <x v="3"/>
            <x v="4"/>
            <x v="5"/>
            <x v="6"/>
            <x v="7"/>
            <x v="8"/>
            <x v="9"/>
          </reference>
        </references>
      </pivotArea>
    </format>
    <format dxfId="768">
      <pivotArea type="all" dataOnly="0" outline="0" fieldPosition="0"/>
    </format>
    <format dxfId="767">
      <pivotArea outline="0" collapsedLevelsAreSubtotals="1" fieldPosition="0"/>
    </format>
    <format dxfId="766">
      <pivotArea dataOnly="0" labelOnly="1" outline="0" fieldPosition="0">
        <references count="1">
          <reference field="4294967294" count="10">
            <x v="0"/>
            <x v="1"/>
            <x v="2"/>
            <x v="3"/>
            <x v="4"/>
            <x v="5"/>
            <x v="6"/>
            <x v="7"/>
            <x v="8"/>
            <x v="9"/>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تعاونی ماهان گاز]"/>
      </members>
    </pivotHierarchy>
    <pivotHierarchy dragToData="1"/>
    <pivotHierarchy dragToData="1"/>
    <pivotHierarchy dragToData="1"/>
    <pivotHierarchy dragToData="1"/>
    <pivotHierarchy dragToData="1"/>
    <pivotHierarchy multipleItemSelectionAllowed="1" dragToData="1">
      <members count="1" level="1">
        <member name="[invoice].[سال].&amp;[1404]"/>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
    <pivotHierarchy dragToData="1"/>
    <pivotHierarchy dragToData="1" caption="میزان سفارش"/>
    <pivotHierarchy dragToData="1"/>
    <pivotHierarchy dragToData="1"/>
    <pivotHierarchy dragToData="1"/>
    <pivotHierarchy dragToData="1" caption="میانگین فی"/>
    <pivotHierarchy dragToData="1"/>
    <pivotHierarchy dragToData="1" caption="تعداد بارگیری"/>
    <pivotHierarchy dragToData="1"/>
    <pivotHierarchy dragToData="1" caption="تعداد پیش فاکتور"/>
    <pivotHierarchy dragToData="1"/>
    <pivotHierarchy dragToData="1" caption="Count of نام مشتری"/>
    <pivotHierarchy dragToData="1" caption="Distinct Count of نام مشتری"/>
    <pivotHierarchy dragToData="1" caption="Distinct Count of تاریخ بارگیری"/>
    <pivotHierarchy dragToData="1" caption="میانگین بارگیری"/>
    <pivotHierarchy dragToData="1" caption="میانگین سفارش"/>
    <pivotHierarchy dragToData="1" caption="انحراف بارگیری"/>
    <pivotHierarchy dragToData="1" caption="StdDev of میزان سفارش"/>
    <pivotHierarchy dragToData="1" caption="انحراف سفارش"/>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768CF23-2492-4B0E-B03C-319D34730266}" name="PivotTable2" cacheId="2974" applyNumberFormats="0" applyBorderFormats="0" applyFontFormats="0" applyPatternFormats="0" applyAlignmentFormats="0" applyWidthHeightFormats="1" dataCaption="Values" tag="b04b983a-3edd-4f3f-a36f-1b0a04d46b7d" updatedVersion="8" minRefreshableVersion="3" useAutoFormatting="1" subtotalHiddenItems="1" rowGrandTotals="0" colGrandTotals="0" itemPrintTitles="1" createdVersion="6" indent="0" outline="1" outlineData="1" multipleFieldFilters="0" rowHeaderCaption="شماره پیش فاکتور">
  <location ref="CJ8:CN17" firstHeaderRow="0" firstDataRow="1" firstDataCol="1" rowPageCount="2" colPageCount="1"/>
  <pivotFields count="8">
    <pivotField axis="axisPage" allDrilled="1" subtotalTop="0" showAll="0" dataSourceSort="1" defaultSubtotal="0" defaultAttributeDrillState="1"/>
    <pivotField allDrilled="1" subtotalTop="0" showAll="0" dataSourceSort="1" defaultSubtotal="0" defaultAttributeDrillState="1"/>
    <pivotField dataField="1" subtotalTop="0" showAll="0" defaultSubtotal="0"/>
    <pivotField axis="axisRow" allDrilled="1" subtotalTop="0" showAll="0" dataSourceSort="1" defaultSubtotal="0" defaultAttributeDrillState="1">
      <items count="9">
        <item x="0"/>
        <item x="1"/>
        <item x="2"/>
        <item x="3"/>
        <item x="4"/>
        <item x="5"/>
        <item x="6"/>
        <item x="7"/>
        <item x="8"/>
      </items>
    </pivotField>
    <pivotField dataField="1" subtotalTop="0" showAll="0" defaultSubtotal="0"/>
    <pivotField dataField="1" subtotalTop="0" showAll="0" defaultSubtotal="0"/>
    <pivotField dataField="1" subtotalTop="0" showAll="0" defaultSubtotal="0"/>
    <pivotField axis="axisPage" allDrilled="1" subtotalTop="0" showAll="0" dataSourceSort="1" defaultSubtotal="0" defaultAttributeDrillState="1"/>
  </pivotFields>
  <rowFields count="1">
    <field x="3"/>
  </rowFields>
  <rowItems count="9">
    <i>
      <x/>
    </i>
    <i>
      <x v="1"/>
    </i>
    <i>
      <x v="2"/>
    </i>
    <i>
      <x v="3"/>
    </i>
    <i>
      <x v="4"/>
    </i>
    <i>
      <x v="5"/>
    </i>
    <i>
      <x v="6"/>
    </i>
    <i>
      <x v="7"/>
    </i>
    <i>
      <x v="8"/>
    </i>
  </rowItems>
  <colFields count="1">
    <field x="-2"/>
  </colFields>
  <colItems count="4">
    <i>
      <x/>
    </i>
    <i i="1">
      <x v="1"/>
    </i>
    <i i="2">
      <x v="2"/>
    </i>
    <i i="3">
      <x v="3"/>
    </i>
  </colItems>
  <pageFields count="2">
    <pageField fld="0" hier="13" name="[invoice].[نام مشتری].&amp;[خوش نوش همدان]" cap="خوش نوش همدان"/>
    <pageField fld="7" hier="20" name="[invoice].[نوع سفارش].&amp;[بورس]" cap="بورس"/>
  </pageFields>
  <dataFields count="4">
    <dataField name="Sum of میزان سفارش" fld="4" baseField="0" baseItem="0"/>
    <dataField name=" پیش فاکتور فی" fld="5" subtotal="average" baseField="3" baseItem="0"/>
    <dataField name="Sum of میزان بارگیری شده" fld="2" baseField="0" baseItem="0"/>
    <dataField name="فی" fld="6" subtotal="average" baseField="3" baseItem="0"/>
  </dataFields>
  <formats count="10">
    <format dxfId="791">
      <pivotArea type="all" dataOnly="0" outline="0" fieldPosition="0"/>
    </format>
    <format dxfId="790">
      <pivotArea outline="0" collapsedLevelsAreSubtotals="1" fieldPosition="0"/>
    </format>
    <format dxfId="789">
      <pivotArea field="3" type="button" dataOnly="0" labelOnly="1" outline="0" axis="axisRow" fieldPosition="0"/>
    </format>
    <format dxfId="788">
      <pivotArea dataOnly="0" labelOnly="1" fieldPosition="0">
        <references count="1">
          <reference field="3" count="0"/>
        </references>
      </pivotArea>
    </format>
    <format dxfId="787">
      <pivotArea dataOnly="0" labelOnly="1" outline="0" fieldPosition="0">
        <references count="1">
          <reference field="4294967294" count="4">
            <x v="0"/>
            <x v="1"/>
            <x v="2"/>
            <x v="3"/>
          </reference>
        </references>
      </pivotArea>
    </format>
    <format dxfId="786">
      <pivotArea type="all" dataOnly="0" outline="0" fieldPosition="0"/>
    </format>
    <format dxfId="785">
      <pivotArea outline="0" collapsedLevelsAreSubtotals="1" fieldPosition="0"/>
    </format>
    <format dxfId="784">
      <pivotArea field="3" type="button" dataOnly="0" labelOnly="1" outline="0" axis="axisRow" fieldPosition="0"/>
    </format>
    <format dxfId="783">
      <pivotArea dataOnly="0" labelOnly="1" fieldPosition="0">
        <references count="1">
          <reference field="3" count="0"/>
        </references>
      </pivotArea>
    </format>
    <format dxfId="782">
      <pivotArea dataOnly="0" labelOnly="1" outline="0" fieldPosition="0">
        <references count="1">
          <reference field="4294967294" count="4">
            <x v="0"/>
            <x v="1"/>
            <x v="2"/>
            <x v="3"/>
          </reference>
        </references>
      </pivotArea>
    </format>
  </formats>
  <pivotHierarchies count="8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خوش نوش همدان]"/>
      </members>
    </pivotHierarchy>
    <pivotHierarchy dragToData="1"/>
    <pivotHierarchy dragToData="1"/>
    <pivotHierarchy dragToData="1"/>
    <pivotHierarchy dragToData="1"/>
    <pivotHierarchy dragToData="1"/>
    <pivotHierarchy dragToData="1"/>
    <pivotHierarchy multipleItemSelectionAllowed="1" dragToData="1">
      <members count="4" level="1">
        <member name="[invoice].[نوع سفارش].&amp;[بورس]"/>
        <member name="[invoice].[نوع سفارش].&amp;[عادی]"/>
        <member name="[invoice].[نوع سفارش].&amp;[انجمن]"/>
        <member name="[invoice].[نوع سفارش].&amp;[تعادلی]"/>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2].[نام مشتری].&amp;[طوس سبزوار]"/>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
    <pivotHierarchy dragToData="1"/>
    <pivotHierarchy dragToData="1" caption="میزان سفارش"/>
    <pivotHierarchy dragToData="1"/>
    <pivotHierarchy dragToData="1"/>
    <pivotHierarchy dragToData="1" caption=" پیش فاکتور فی"/>
    <pivotHierarchy dragToData="1" caption="فی"/>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سفارش"/>
    <pivotHierarchy dragToData="1"/>
    <pivotHierarchy dragToData="1"/>
    <pivotHierarchy dragToData="1" caption="Average of فی"/>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94A5483F-85D0-45FD-9E01-0A559E7913EE}" name="total_customer" cacheId="2967" applyNumberFormats="0" applyBorderFormats="0" applyFontFormats="0" applyPatternFormats="0" applyAlignmentFormats="0" applyWidthHeightFormats="1" dataCaption="Values" tag="512c9e5f-494d-4545-851d-79f9a1fd52e1" updatedVersion="8" minRefreshableVersion="3" useAutoFormatting="1" subtotalHiddenItems="1" rowGrandTotals="0" colGrandTotals="0" itemPrintTitles="1" createdVersion="6" indent="0" outline="1" outlineData="1" multipleFieldFilters="0" rowHeaderCaption="نام مشتری">
  <location ref="AN6:AT41" firstHeaderRow="0" firstDataRow="1" firstDataCol="1" rowPageCount="1" colPageCount="1"/>
  <pivotFields count="8">
    <pivotField dataField="1" subtotalTop="0" showAll="0" defaultSubtotal="0"/>
    <pivotField dataField="1" subtotalTop="0" showAll="0" defaultSubtotal="0"/>
    <pivotField dataField="1" subtotalTop="0" showAll="0" defaultSubtotal="0"/>
    <pivotField axis="axisRow" allDrilled="1" subtotalTop="0" showAll="0" sortType="descending" defaultSubtotal="0" defaultAttributeDrillState="1">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autoSortScope>
        <pivotArea dataOnly="0" outline="0" fieldPosition="0">
          <references count="1">
            <reference field="4294967294" count="1" selected="0">
              <x v="0"/>
            </reference>
          </references>
        </pivotArea>
      </autoSortScope>
    </pivotField>
    <pivotField dataField="1" subtotalTop="0" showAll="0" defaultSubtotal="0"/>
    <pivotField dataField="1" subtotalTop="0" showAll="0" defaultSubtotal="0"/>
    <pivotField axis="axisPage" allDrilled="1" subtotalTop="0" showAll="0" dataSourceSort="1" defaultSubtotal="0" defaultAttributeDrillState="1"/>
    <pivotField dataField="1" compact="0" outline="0" subtotalTop="0" dragToRow="0" dragToCol="0" dragToPage="0" dragToData="0" dragOff="0" showAll="0" topAutoShow="0" includeNewItemsInFilter="1" itemPageCount="0" rankBy="0" defaultSubtotal="0">
      <extLst>
        <ext xmlns:x14="http://schemas.microsoft.com/office/spreadsheetml/2009/9/main" uri="{2946ED86-A175-432a-8AC1-64E0C546D7DE}">
          <x14:pivotField ignore="1"/>
        </ext>
      </extLst>
    </pivotField>
  </pivotFields>
  <rowFields count="1">
    <field x="3"/>
  </rowFields>
  <rowItems count="35">
    <i>
      <x v="25"/>
    </i>
    <i>
      <x v="22"/>
    </i>
    <i>
      <x v="11"/>
    </i>
    <i>
      <x v="3"/>
    </i>
    <i>
      <x v="19"/>
    </i>
    <i>
      <x v="6"/>
    </i>
    <i>
      <x v="20"/>
    </i>
    <i>
      <x v="24"/>
    </i>
    <i>
      <x v="15"/>
    </i>
    <i>
      <x v="9"/>
    </i>
    <i>
      <x v="8"/>
    </i>
    <i>
      <x v="7"/>
    </i>
    <i>
      <x v="29"/>
    </i>
    <i>
      <x v="1"/>
    </i>
    <i>
      <x v="5"/>
    </i>
    <i>
      <x v="13"/>
    </i>
    <i>
      <x v="33"/>
    </i>
    <i>
      <x v="31"/>
    </i>
    <i>
      <x v="28"/>
    </i>
    <i>
      <x v="21"/>
    </i>
    <i>
      <x v="26"/>
    </i>
    <i>
      <x v="32"/>
    </i>
    <i>
      <x v="4"/>
    </i>
    <i>
      <x v="27"/>
    </i>
    <i>
      <x v="16"/>
    </i>
    <i>
      <x v="14"/>
    </i>
    <i>
      <x v="10"/>
    </i>
    <i>
      <x v="23"/>
    </i>
    <i>
      <x v="17"/>
    </i>
    <i>
      <x v="30"/>
    </i>
    <i>
      <x v="2"/>
    </i>
    <i>
      <x v="12"/>
    </i>
    <i>
      <x/>
    </i>
    <i>
      <x v="18"/>
    </i>
    <i>
      <x v="34"/>
    </i>
  </rowItems>
  <colFields count="1">
    <field x="-2"/>
  </colFields>
  <colItems count="6">
    <i>
      <x/>
    </i>
    <i i="1">
      <x v="1"/>
    </i>
    <i i="2">
      <x v="2"/>
    </i>
    <i i="3">
      <x v="3"/>
    </i>
    <i i="4">
      <x v="4"/>
    </i>
    <i i="5">
      <x v="5"/>
    </i>
  </colItems>
  <pageFields count="1">
    <pageField fld="6" hier="5" name="[bargiri].[سال].&amp;[1403]" cap="1403"/>
  </pageFields>
  <dataFields count="6">
    <dataField name="میزان سفارش" fld="2" baseField="3" baseItem="0" numFmtId="166"/>
    <dataField name="میزان بارگیری شده" fld="0" baseField="3" baseItem="0" numFmtId="166"/>
    <dataField name="میانگین فی" fld="1" subtotal="average" baseField="3" baseItem="0" numFmtId="166"/>
    <dataField name="تعداد پیش فاکتور" fld="4" subtotal="count" baseField="0" baseItem="0"/>
    <dataField name="تعداد بارگیری" fld="5" subtotal="count" baseField="0" baseItem="0"/>
    <dataField name="%از کل سفارش ها" fld="7" showDataAs="percentOfTotal" baseField="3" baseItem="0" numFmtId="10">
      <extLst>
        <ext xmlns:x14="http://schemas.microsoft.com/office/spreadsheetml/2009/9/main" uri="{E15A36E0-9728-4e99-A89B-3F7291B0FE68}">
          <x14:dataField sourceField="0" uniqueName="[__Xl2].[Measures].[Sum of میزان بارگیری شده]"/>
        </ext>
      </extLst>
    </dataField>
  </dataFields>
  <formats count="18">
    <format dxfId="809">
      <pivotArea outline="0" collapsedLevelsAreSubtotals="1" fieldPosition="0">
        <references count="1">
          <reference field="4294967294" count="3" selected="0">
            <x v="0"/>
            <x v="1"/>
            <x v="2"/>
          </reference>
        </references>
      </pivotArea>
    </format>
    <format dxfId="808">
      <pivotArea outline="0" fieldPosition="0">
        <references count="1">
          <reference field="4294967294" count="1">
            <x v="1"/>
          </reference>
        </references>
      </pivotArea>
    </format>
    <format dxfId="807">
      <pivotArea outline="0" collapsedLevelsAreSubtotals="1" fieldPosition="0">
        <references count="1">
          <reference field="4294967294" count="1" selected="0">
            <x v="1"/>
          </reference>
        </references>
      </pivotArea>
    </format>
    <format dxfId="806">
      <pivotArea dataOnly="0" labelOnly="1" outline="0" fieldPosition="0">
        <references count="1">
          <reference field="4294967294" count="1">
            <x v="1"/>
          </reference>
        </references>
      </pivotArea>
    </format>
    <format dxfId="805">
      <pivotArea dataOnly="0" labelOnly="1" outline="0" fieldPosition="0">
        <references count="1">
          <reference field="4294967294" count="1">
            <x v="1"/>
          </reference>
        </references>
      </pivotArea>
    </format>
    <format dxfId="804">
      <pivotArea outline="0" collapsedLevelsAreSubtotals="1" fieldPosition="0">
        <references count="1">
          <reference field="4294967294" count="2" selected="0">
            <x v="0"/>
            <x v="1"/>
          </reference>
        </references>
      </pivotArea>
    </format>
    <format dxfId="803">
      <pivotArea dataOnly="0" labelOnly="1" fieldPosition="0">
        <references count="1">
          <reference field="3" count="0"/>
        </references>
      </pivotArea>
    </format>
    <format dxfId="802">
      <pivotArea outline="0" collapsedLevelsAreSubtotals="1" fieldPosition="0">
        <references count="1">
          <reference field="4294967294" count="4" selected="0">
            <x v="1"/>
            <x v="2"/>
            <x v="3"/>
            <x v="4"/>
          </reference>
        </references>
      </pivotArea>
    </format>
    <format dxfId="801">
      <pivotArea type="all" dataOnly="0" outline="0" fieldPosition="0"/>
    </format>
    <format dxfId="800">
      <pivotArea outline="0" collapsedLevelsAreSubtotals="1" fieldPosition="0"/>
    </format>
    <format dxfId="799">
      <pivotArea field="3" type="button" dataOnly="0" labelOnly="1" outline="0" axis="axisRow" fieldPosition="0"/>
    </format>
    <format dxfId="798">
      <pivotArea dataOnly="0" labelOnly="1" fieldPosition="0">
        <references count="1">
          <reference field="3" count="0"/>
        </references>
      </pivotArea>
    </format>
    <format dxfId="797">
      <pivotArea dataOnly="0" labelOnly="1" outline="0" fieldPosition="0">
        <references count="1">
          <reference field="4294967294" count="6">
            <x v="0"/>
            <x v="1"/>
            <x v="1"/>
            <x v="2"/>
            <x v="3"/>
            <x v="4"/>
          </reference>
        </references>
      </pivotArea>
    </format>
    <format dxfId="796">
      <pivotArea type="all" dataOnly="0" outline="0" fieldPosition="0"/>
    </format>
    <format dxfId="795">
      <pivotArea outline="0" collapsedLevelsAreSubtotals="1" fieldPosition="0"/>
    </format>
    <format dxfId="794">
      <pivotArea field="3" type="button" dataOnly="0" labelOnly="1" outline="0" axis="axisRow" fieldPosition="0"/>
    </format>
    <format dxfId="793">
      <pivotArea dataOnly="0" labelOnly="1" fieldPosition="0">
        <references count="1">
          <reference field="3" count="0"/>
        </references>
      </pivotArea>
    </format>
    <format dxfId="792">
      <pivotArea dataOnly="0" labelOnly="1" outline="0" fieldPosition="0">
        <references count="1">
          <reference field="4294967294" count="6">
            <x v="0"/>
            <x v="1"/>
            <x v="1"/>
            <x v="2"/>
            <x v="3"/>
            <x v="4"/>
          </reference>
        </references>
      </pivotArea>
    </format>
  </formats>
  <pivotHierarchies count="84">
    <pivotHierarchy dragToData="1"/>
    <pivotHierarchy dragToData="1"/>
    <pivotHierarchy dragToData="1"/>
    <pivotHierarchy dragToData="1"/>
    <pivotHierarchy dragToData="1"/>
    <pivotHierarchy multipleItemSelectionAllowed="1" dragToData="1">
      <members count="1" level="1">
        <member name="[bargiri].[سال].&amp;[1403]"/>
      </members>
    </pivotHierarchy>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از کل سفارش ها"/>
    <pivotHierarchy dragToData="1"/>
    <pivotHierarchy dragToData="1" caption="میزان سفارش"/>
    <pivotHierarchy dragToData="1"/>
    <pivotHierarchy dragToData="1"/>
    <pivotHierarchy dragToData="1"/>
    <pivotHierarchy dragToData="1" caption="میانگین فی"/>
    <pivotHierarchy dragToData="1"/>
    <pivotHierarchy dragToData="1" caption="تعداد بارگیری"/>
    <pivotHierarchy dragToData="1" caption="Distinct Count of شماره پیش فاکتور"/>
    <pivotHierarchy dragToData="1" caption="تعداد پیش فاکتور"/>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dragOff="0" includeNewItemsInFilter="1">
      <extLst>
        <ext xmlns:x14="http://schemas.microsoft.com/office/spreadsheetml/2009/9/main" uri="{F1805F06-0CD3-4483-9156-8803C3D141DF}">
          <x14:pivotHierarchy ignore="1"/>
        </ext>
      </extLst>
    </pivotHierarchy>
  </pivotHierarchies>
  <pivotTableStyleInfo name="PivotStyleLight16" showRowHeaders="1" showColHeaders="1" showRowStripes="0" showColStripes="0" showLastColumn="1"/>
  <rowHierarchiesUsage count="1">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2D219EF4-0CFE-44B4-8FF9-661188EC4030}" name="PivotTable7" cacheId="2964" applyNumberFormats="0" applyBorderFormats="0" applyFontFormats="0" applyPatternFormats="0" applyAlignmentFormats="0" applyWidthHeightFormats="1" dataCaption="Values" tag="e0988df4-6dbc-4c8b-84c3-733f34825248" updatedVersion="8" minRefreshableVersion="3" useAutoFormatting="1" subtotalHiddenItems="1" rowGrandTotals="0" colGrandTotals="0" itemPrintTitles="1" createdVersion="6" indent="0" outline="1" outlineData="1" multipleFieldFilters="0" chartFormat="8" rowHeaderCaption="شماره پیش فاکتور">
  <location ref="BO7:BQ19" firstHeaderRow="0" firstDataRow="1" firstDataCol="1" rowPageCount="1" colPageCount="1"/>
  <pivotFields count="6">
    <pivotField allDrilled="1" subtotalTop="0" showAll="0" dataSourceSort="1" defaultSubtotal="0" defaultAttributeDrillState="1"/>
    <pivotField allDrilled="1" subtotalTop="0" showAll="0" sortType="ascending" defaultSubtotal="0" defaultAttributeDrillState="1">
      <items count="12">
        <item x="9"/>
        <item x="2"/>
        <item x="6"/>
        <item x="5"/>
        <item x="10"/>
        <item x="8"/>
        <item x="11"/>
        <item x="0"/>
        <item x="1"/>
        <item x="7"/>
        <item x="4"/>
        <item x="3"/>
      </items>
    </pivotField>
    <pivotField dataField="1" subtotalTop="0" showAll="0" defaultSubtotal="0"/>
    <pivotField axis="axisRow" allDrilled="1" subtotalTop="0" showAll="0" sortType="ascending" defaultSubtotal="0" defaultAttributeDrillState="1">
      <items count="12">
        <item x="0"/>
        <item x="1"/>
        <item x="2"/>
        <item x="3"/>
        <item x="4"/>
        <item x="5"/>
        <item x="6"/>
        <item x="7"/>
        <item x="8"/>
        <item x="9"/>
        <item x="10"/>
        <item x="11"/>
      </items>
    </pivotField>
    <pivotField dataField="1" subtotalTop="0" showAll="0" defaultSubtotal="0"/>
    <pivotField axis="axisPage" allDrilled="1" subtotalTop="0" showAll="0" dataSourceSort="1" defaultSubtotal="0" defaultAttributeDrillState="1"/>
  </pivotFields>
  <rowFields count="1">
    <field x="3"/>
  </rowFields>
  <rowItems count="12">
    <i>
      <x/>
    </i>
    <i>
      <x v="1"/>
    </i>
    <i>
      <x v="2"/>
    </i>
    <i>
      <x v="3"/>
    </i>
    <i>
      <x v="4"/>
    </i>
    <i>
      <x v="5"/>
    </i>
    <i>
      <x v="6"/>
    </i>
    <i>
      <x v="7"/>
    </i>
    <i>
      <x v="8"/>
    </i>
    <i>
      <x v="9"/>
    </i>
    <i>
      <x v="10"/>
    </i>
    <i>
      <x v="11"/>
    </i>
  </rowItems>
  <colFields count="1">
    <field x="-2"/>
  </colFields>
  <colItems count="2">
    <i>
      <x/>
    </i>
    <i i="1">
      <x v="1"/>
    </i>
  </colItems>
  <pageFields count="1">
    <pageField fld="5" hier="5" name="[bargiri].[سال].&amp;[1403]" cap="1403"/>
  </pageFields>
  <dataFields count="2">
    <dataField name="میزان سفارش(هزار تن)" fld="2" baseField="3" baseItem="5" numFmtId="168"/>
    <dataField name="تعداد پیش فاکتور" fld="4" subtotal="count" baseField="0" baseItem="0"/>
  </dataFields>
  <formats count="10">
    <format dxfId="819">
      <pivotArea type="all" dataOnly="0" outline="0" fieldPosition="0"/>
    </format>
    <format dxfId="818">
      <pivotArea outline="0" collapsedLevelsAreSubtotals="1" fieldPosition="0"/>
    </format>
    <format dxfId="817">
      <pivotArea field="3" type="button" dataOnly="0" labelOnly="1" outline="0" axis="axisRow" fieldPosition="0"/>
    </format>
    <format dxfId="816">
      <pivotArea dataOnly="0" labelOnly="1" fieldPosition="0">
        <references count="1">
          <reference field="3" count="0"/>
        </references>
      </pivotArea>
    </format>
    <format dxfId="815">
      <pivotArea dataOnly="0" labelOnly="1" outline="0" fieldPosition="0">
        <references count="1">
          <reference field="4294967294" count="2">
            <x v="0"/>
            <x v="1"/>
          </reference>
        </references>
      </pivotArea>
    </format>
    <format dxfId="814">
      <pivotArea type="all" dataOnly="0" outline="0" fieldPosition="0"/>
    </format>
    <format dxfId="813">
      <pivotArea outline="0" collapsedLevelsAreSubtotals="1" fieldPosition="0"/>
    </format>
    <format dxfId="812">
      <pivotArea field="3" type="button" dataOnly="0" labelOnly="1" outline="0" axis="axisRow" fieldPosition="0"/>
    </format>
    <format dxfId="811">
      <pivotArea dataOnly="0" labelOnly="1" fieldPosition="0">
        <references count="1">
          <reference field="3" count="0"/>
        </references>
      </pivotArea>
    </format>
    <format dxfId="810">
      <pivotArea dataOnly="0" labelOnly="1" outline="0" fieldPosition="0">
        <references count="1">
          <reference field="4294967294" count="2">
            <x v="0"/>
            <x v="1"/>
          </reference>
        </references>
      </pivotArea>
    </format>
  </formats>
  <pivotHierarchies count="83">
    <pivotHierarchy dragToData="1"/>
    <pivotHierarchy dragToData="1"/>
    <pivotHierarchy dragToData="1"/>
    <pivotHierarchy dragToData="1"/>
    <pivotHierarchy dragToData="1"/>
    <pivotHierarchy multipleItemSelectionAllowed="1" dragToData="1">
      <members count="1" level="1">
        <member name="[bargiri].[سال].&amp;[1403]"/>
      </members>
    </pivotHierarchy>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invoice].[نام مشتری].&amp;[تعاونی ماهان گاز]"/>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میزان بارگیری شده(هزار تن)"/>
    <pivotHierarchy dragToData="1"/>
    <pivotHierarchy dragToData="1" caption="میزان سفارش(هزار تن)"/>
    <pivotHierarchy dragToData="1"/>
    <pivotHierarchy dragToData="1"/>
    <pivotHierarchy dragToData="1"/>
    <pivotHierarchy dragToData="1" caption="میانگین فی"/>
    <pivotHierarchy dragToData="1"/>
    <pivotHierarchy dragToData="1" caption="تعداد بارگیری"/>
    <pivotHierarchy dragToData="1" caption="Distinct Count of شماره پیش فاکتور"/>
    <pivotHierarchy dragToData="1" caption="تعداد پیش فاکتور"/>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relNeededHidden="1">
        <x15:activeTabTopLevelEntity name="[invoice]"/>
        <x15:activeTabTopLevelEntity name="[bargiri]"/>
        <x15:activeTabTopLevelEntity name="[invoice2]"/>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5" xr16:uid="{4312F647-4DA0-4177-99D9-A39963F7CC81}" autoFormatId="16" applyNumberFormats="0" applyBorderFormats="0" applyFontFormats="0" applyPatternFormats="0" applyAlignmentFormats="0" applyWidthHeightFormats="0">
  <queryTableRefresh nextId="22" unboundColumnsRight="4">
    <queryTableFields count="11">
      <queryTableField id="1" name="تاریخ بارگیری" tableColumnId="1"/>
      <queryTableField id="2" name="نام مشتری" tableColumnId="2"/>
      <queryTableField id="13" name="شماره پیش فاکتور" tableColumnId="3"/>
      <queryTableField id="14" name="میزان بارگیری شده" tableColumnId="4"/>
      <queryTableField id="5" name="فی" tableColumnId="5"/>
      <queryTableField id="7" name="سال" tableColumnId="7"/>
      <queryTableField id="6" name="ماه" tableColumnId="6"/>
      <queryTableField id="17" dataBound="0" tableColumnId="8"/>
      <queryTableField id="18" dataBound="0" tableColumnId="9"/>
      <queryTableField id="19" dataBound="0" tableColumnId="10"/>
      <queryTableField id="21" dataBound="0" tableColumnId="12"/>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نام_مشتری" xr10:uid="{953797E4-5297-46D3-A87B-8859209D601A}" sourceName="[invoice].[نام مشتری]">
  <pivotTables>
    <pivotTable tabId="22" name="PivotTable2"/>
    <pivotTable tabId="22" name="customer"/>
    <pivotTable tabId="22" name="customer_details"/>
  </pivotTables>
  <data>
    <olap pivotCacheId="1826532664">
      <levels count="2">
        <level uniqueName="[invoice].[نام مشتری].[(All)]" sourceCaption="(All)" count="0"/>
        <level uniqueName="[invoice].[نام مشتری].[نام مشتری]" sourceCaption="نام مشتری" count="35" sortOrder="ascending">
          <ranges>
            <range startItem="0">
              <i n="[invoice].[نام مشتری].&amp;[آیس کار]" c="آیس کار"/>
              <i n="[invoice].[نام مشتری].&amp;[اکسیژن ارومیه گاز]" c="اکسیژن ارومیه گاز"/>
              <i n="[invoice].[نام مشتری].&amp;[برفاب گاز تبریز]" c="برفاب گاز تبریز"/>
              <i n="[invoice].[نام مشتری].&amp;[پارس اکسیر البرز شمالی]" c="پارس اکسیر البرز شمالی"/>
              <i n="[invoice].[نام مشتری].&amp;[پارس کربنیک کردستان]" c="پارس کربنیک کردستان"/>
              <i n="[invoice].[نام مشتری].&amp;[پاینده ساز فردوس]" c="پاینده ساز فردوس"/>
              <i n="[invoice].[نام مشتری].&amp;[تعاونی ماهان گاز]" c="تعاونی ماهان گاز"/>
              <i n="[invoice].[نام مشتری].&amp;[تولید گازهای طبی و صنعتی مددکاران اصفهان]" c="تولید گازهای طبی و صنعتی مددکاران اصفهان"/>
              <i n="[invoice].[نام مشتری].&amp;[تولیدی گازهای طبی و صنعتی طوس سبزوار]" c="تولیدی گازهای طبی و صنعتی طوس سبزوار"/>
              <i n="[invoice].[نام مشتری].&amp;[جوش شیرین خراسان]" c="جوش شیرین خراسان"/>
              <i n="[invoice].[نام مشتری].&amp;[چشمه بهشت]" c="چشمه بهشت"/>
              <i n="[invoice].[نام مشتری].&amp;[خوش نوش همدان]" c="خوش نوش همدان"/>
              <i n="[invoice].[نام مشتری].&amp;[راسا پایدار مصباح]" c="راسا پایدار مصباح"/>
              <i n="[invoice].[نام مشتری].&amp;[رایا شیمی پارسیان]" c="رایا شیمی پارسیان"/>
              <i n="[invoice].[نام مشتری].&amp;[رهام گاز]" c="رهام گاز"/>
              <i n="[invoice].[نام مشتری].&amp;[سپهر سرمد]" c="سپهر سرمد"/>
              <i n="[invoice].[نام مشتری].&amp;[سهیل گاز کاسپین]" c="سهیل گاز کاسپین"/>
              <i n="[invoice].[نام مشتری].&amp;[شرکت امین گاز ایرانیان]" c="شرکت امین گاز ایرانیان"/>
              <i n="[invoice].[نام مشتری].&amp;[شرکت دیبا گاز پارسه]" c="شرکت دیبا گاز پارسه"/>
              <i n="[invoice].[نام مشتری].&amp;[شرکت گروه صنعتی پاژ گاز خراسان]" c="شرکت گروه صنعتی پاژ گاز خراسان"/>
              <i n="[invoice].[نام مشتری].&amp;[طاها اندیشان همپای البرز]" c="طاها اندیشان همپای البرز"/>
              <i n="[invoice].[نام مشتری].&amp;[طوس قزوین]" c="طوس قزوین"/>
              <i n="[invoice].[نام مشتری].&amp;[طوفان کویر]" c="طوفان کویر"/>
              <i n="[invoice].[نام مشتری].&amp;[عبیر شیمی]" c="عبیر شیمی"/>
              <i n="[invoice].[نام مشتری].&amp;[عراق اربیل]" c="عراق اربیل"/>
              <i n="[invoice].[نام مشتری].&amp;[فرافن گاز تهران]" c="فرافن گاز تهران"/>
              <i n="[invoice].[نام مشتری].&amp;[کوشا تجارت زاگرس]" c="کوشا تجارت زاگرس"/>
              <i n="[invoice].[نام مشتری].&amp;[گاز اکسیژن طوس]" c="گاز اکسیژن طوس"/>
              <i n="[invoice].[نام مشتری].&amp;[گاز کربنیک غرب]" c="گاز کربنیک غرب"/>
              <i n="[invoice].[نام مشتری].&amp;[گاز کربنیک نورین ابهر]" c="گاز کربنیک نورین ابهر"/>
              <i n="[invoice].[نام مشتری].&amp;[گروه صنایع شیمیایی به آفرین گاز تیسفون]" c="گروه صنایع شیمیایی به آفرین گاز تیسفون"/>
              <i n="[invoice].[نام مشتری].&amp;[ماشین سازی پیشتازان گاز کربنیک اردستان]" c="ماشین سازی پیشتازان گاز کربنیک اردستان"/>
              <i n="[invoice].[نام مشتری].&amp;[محمود احمدی زلتی]" c="محمود احمدی زلتی"/>
              <i n="[invoice].[نام مشتری].&amp;[طاهر افروز همپای البرز]" c="طاهر افروز همپای البرز" nd="1"/>
              <i n="[invoice].[نام مشتری].&amp;[میثاق گاز فراز کرج]" c="میثاق گاز فراز کرج" nd="1"/>
            </range>
          </ranges>
        </level>
      </levels>
      <selections count="1">
        <selection n="[invoice].[نام مشتری].&amp;[خوش نوش همدان]"/>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نام مشتری" xr10:uid="{5F28E37F-52A8-4E01-B290-195E47790EF6}" cache="Slicer_نام_مشتری" caption="نام مشتری" startItem="8" showCaption="0" level="1" style="myslicer" rowHeight="234950"/>
</slicers>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1CA1844-AABF-4C26-B380-3277DA8CB835}" name="Table7" displayName="Table7" ref="AW6:AX49" totalsRowShown="0" headerRowDxfId="704">
  <autoFilter ref="AW6:AX49" xr:uid="{91CA1844-AABF-4C26-B380-3277DA8CB835}"/>
  <sortState xmlns:xlrd2="http://schemas.microsoft.com/office/spreadsheetml/2017/richdata2" ref="AW7:AX49">
    <sortCondition descending="1" ref="AX6:AX49"/>
  </sortState>
  <tableColumns count="2">
    <tableColumn id="1" xr3:uid="{F0C131F6-BF09-415F-98A9-2D2A73AA2C5D}" name="نام مشتری" dataDxfId="703" dataCellStyle="Percent">
      <calculatedColumnFormula>IF(AN7&lt;&gt;"",AN7,"")</calculatedColumnFormula>
    </tableColumn>
    <tableColumn id="2" xr3:uid="{72F8A0E3-49E9-48A8-9149-7799AC71769E}" name="Column1" dataDxfId="702" dataCellStyle="Percent">
      <calculatedColumnFormula>IFERROR(SUMIFS(invoice[میزان سفارش],invoice[سال],calc!$AX$5,invoice[نام مشتری],calc!AW7)+IFERROR(SUMIFS(invoice[میزان سفارش],invoice[سال],(calc!$AX$5)-1,invoice[نام مشتری],calc!AW7),0)-SUMIFS(bargiri[میزان بارگیری شده],bargiri[نام مشتری],calc!AW7,bargiri[سال],(calc!$AX$5)-1),"")</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C6D1B6-EBBF-40C7-9CFA-99EE64959406}" name="insale" displayName="insale" ref="DL8:DP20" totalsRowShown="0" headerRowDxfId="701" dataDxfId="700" tableBorderDxfId="699">
  <autoFilter ref="DL8:DP20" xr:uid="{A8C6D1B6-EBBF-40C7-9CFA-99EE64959406}"/>
  <tableColumns count="5">
    <tableColumn id="1" xr3:uid="{7640D56E-18DD-481F-B301-0E16EAB3FEEB}" name="ماه/نوع فروش" dataDxfId="698"/>
    <tableColumn id="2" xr3:uid="{63B95234-ABAB-4C6B-9781-B4C437E5A800}" name="عادی" dataDxfId="697">
      <calculatedColumnFormula>SUMIFS(bargiri[میزان بارگیری شده],bargiri[سال],year,bargiri[ماه],insale[[#This Row],[ماه/نوع فروش]],bargiri[نوع سفارش],insale[[#Headers],[عادی]])</calculatedColumnFormula>
    </tableColumn>
    <tableColumn id="3" xr3:uid="{6F7C7378-0AFF-4D07-BBA3-9A1B589BA353}" name="انجمن" dataDxfId="696">
      <calculatedColumnFormula>SUMIFS(bargiri[میزان بارگیری شده],bargiri[سال],year,bargiri[ماه],insale[[#This Row],[ماه/نوع فروش]],bargiri[نوع سفارش],insale[[#Headers],[انجمن]])</calculatedColumnFormula>
    </tableColumn>
    <tableColumn id="4" xr3:uid="{1D7C6F11-3B72-4D63-BAC3-7C2C8FA7AFC1}" name="بورس" dataDxfId="695">
      <calculatedColumnFormula>SUMIFS(bargiri[میزان بارگیری شده],bargiri[سال],year,bargiri[ماه],insale[[#This Row],[ماه/نوع فروش]],bargiri[نوع سفارش],insale[[#Headers],[بورس]])</calculatedColumnFormula>
    </tableColumn>
    <tableColumn id="5" xr3:uid="{7916C7A3-D9EB-405E-AA9B-D8B6A74E26F1}" name="تعادلی" dataDxfId="694">
      <calculatedColumnFormula>SUMIFS(bargiri[میزان بارگیری شده],bargiri[سال],year,bargiri[ماه],insale[[#This Row],[ماه/نوع فروش]],bargiri[نوع سفارش],insale[[#Headers],[تعادلی]])</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945D766-7C40-4BBD-8FBE-25F7B87B6F43}" name="bargiri" displayName="bargiri" ref="A1:K3162" tableType="queryTable" totalsRowShown="0" headerRowDxfId="693" dataDxfId="692" headerRowCellStyle="Normal 2">
  <autoFilter ref="A1:K3162" xr:uid="{4F8829E7-17A4-4779-9844-BD4065075B7A}"/>
  <tableColumns count="11">
    <tableColumn id="1" xr3:uid="{8410B4E8-803C-43AA-A2F7-E697EE506AE7}" uniqueName="1" name="تاریخ بارگیری" queryTableFieldId="1" dataDxfId="216" totalsRowDxfId="691"/>
    <tableColumn id="2" xr3:uid="{2579ADD2-4B43-4F26-939F-640A99D459AF}" uniqueName="2" name="نام مشتری" queryTableFieldId="2" dataDxfId="215" totalsRowDxfId="690"/>
    <tableColumn id="3" xr3:uid="{BD6B04EE-7FA5-430D-8B26-53D06973E897}" uniqueName="3" name="شماره پیش فاکتور" queryTableFieldId="13" dataDxfId="214"/>
    <tableColumn id="4" xr3:uid="{D049B383-B374-441E-BD71-1D283C6505F3}" uniqueName="4" name="میزان بارگیری شده" queryTableFieldId="14"/>
    <tableColumn id="5" xr3:uid="{2D43CFFE-EC18-44DB-BDB4-1B3A7B7A77BB}" uniqueName="5" name="فی" queryTableFieldId="5" dataDxfId="213" totalsRowDxfId="689" dataCellStyle="Comma"/>
    <tableColumn id="7" xr3:uid="{9B0BC851-9CA1-4959-9C8C-2D536D14D40D}" uniqueName="7" name="سال" queryTableFieldId="7" dataDxfId="212" totalsRowDxfId="688"/>
    <tableColumn id="6" xr3:uid="{B2A7EAAC-AD9B-4903-B172-9A731C433A2F}" uniqueName="6" name="ماه" queryTableFieldId="6" dataDxfId="211" totalsRowDxfId="687"/>
    <tableColumn id="8" xr3:uid="{F477D527-F063-469C-8B04-EB6F882DC7DE}" uniqueName="8" name="قیمت کل بار" queryTableFieldId="17" dataDxfId="210" totalsRowDxfId="686">
      <calculatedColumnFormula>bargiri[[#This Row],[میزان بارگیری شده]]*bargiri[[#This Row],[فی]]</calculatedColumnFormula>
    </tableColumn>
    <tableColumn id="9" xr3:uid="{9006A32B-9240-4EAC-B1F5-2FD5CC7A9BC3}" uniqueName="9" name="کمکی2" queryTableFieldId="18" dataDxfId="209" totalsRowDxfId="685">
      <calculatedColumnFormula>IF(year=bargiri[[#This Row],[سال]],1,0)</calculatedColumnFormula>
    </tableColumn>
    <tableColumn id="10" xr3:uid="{E4FFCA9A-7ED1-45BC-A6B6-67BCE50AFB0F}" uniqueName="10" name="نوع سفارش" queryTableFieldId="19" dataDxfId="208" totalsRowDxfId="684">
      <calculatedColumnFormula>VLOOKUP(bargiri[[#This Row],[شماره پیش فاکتور]],invoice[],16,0)</calculatedColumnFormula>
    </tableColumn>
    <tableColumn id="12" xr3:uid="{B6A3FAFA-1EFE-4B67-8A2B-B52B63D99EB8}" uniqueName="12" name="ناخالص" queryTableFieldId="21" dataDxfId="207" totalsRowDxfId="683">
      <calculatedColumnFormula>bargiri[[#This Row],[فی]]*bargiri[[#This Row],[میزان بارگیری شده]]</calculatedColumnFormula>
    </tableColumn>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846066F-7AC9-4585-B34B-73984D75C15C}" name="Table4" displayName="Table4" ref="M1:M2" totalsRowShown="0" headerRowDxfId="682" dataDxfId="681" headerRowCellStyle="Normal 2" dataCellStyle="Normal 2">
  <autoFilter ref="M1:M2" xr:uid="{7198342A-7C70-4FEB-A447-B44172F8943E}">
    <filterColumn colId="0" hiddenButton="1"/>
  </autoFilter>
  <tableColumns count="1">
    <tableColumn id="1" xr3:uid="{46687D85-543C-4BE6-BD9A-E68F5159C75E}" name="آدرس فایل" dataDxfId="680" dataCellStyle="Normal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6F9BF5-F306-4143-9096-B151FA8622FB}" name="Table5" displayName="Table5" ref="A1:G20" totalsRowShown="0" headerRowDxfId="679">
  <autoFilter ref="A1:G20" xr:uid="{CF6F9BF5-F306-4143-9096-B151FA8622FB}"/>
  <tableColumns count="7">
    <tableColumn id="1" xr3:uid="{5B7CEF54-9D95-44C4-9C07-F65E2E89B8DA}" name="ردیف"/>
    <tableColumn id="2" xr3:uid="{24C86490-201C-497D-8DF6-FFC3A0BA76E8}" name="شماره عرضه" dataDxfId="678"/>
    <tableColumn id="3" xr3:uid="{B4911649-6FD2-4302-8F2A-B54FD9969197}" name="تاریخ عرضه"/>
    <tableColumn id="4" xr3:uid="{C3A87052-0DDB-4BEC-9820-3570A289B2AB}" name="میزان عرضه"/>
    <tableColumn id="5" xr3:uid="{DEB2963F-F7CB-4DDA-8ABF-E163404F35D6}" name="قیمت (ریال)" dataDxfId="677" dataCellStyle="Comma 2"/>
    <tableColumn id="6" xr3:uid="{3B292512-5999-40DA-B881-BDB4DDE03543}" name="سال" dataDxfId="676">
      <calculatedColumnFormula>VALUE(LEFT(Table5[[#This Row],[تاریخ عرضه]],4))</calculatedColumnFormula>
    </tableColumn>
    <tableColumn id="7" xr3:uid="{EC1D4C80-5AC6-40EB-957D-96BA538620DF}" name="ماه" dataDxfId="675">
      <calculatedColumnFormula>VALUE(MID(Table5[[#This Row],[تاریخ عرضه]],6,2))</calculatedColumnFormula>
    </tableColumn>
  </tableColumns>
  <tableStyleInfo name="CustomTable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6F87F52-C533-499D-AF2F-2D8EF45494DC}" name="Table9" displayName="Table9" ref="C2:H18" totalsRowShown="0" headerRowDxfId="674" dataDxfId="672" headerRowBorderDxfId="673" tableBorderDxfId="671" totalsRowBorderDxfId="670">
  <autoFilter ref="C2:H18" xr:uid="{D6F87F52-C533-499D-AF2F-2D8EF45494DC}"/>
  <tableColumns count="6">
    <tableColumn id="1" xr3:uid="{7AF3A776-AF2A-418E-83C2-DB01223F813F}" name="نام مشتری" dataDxfId="669" dataCellStyle="Normal 2"/>
    <tableColumn id="2" xr3:uid="{8C56C47F-B7F7-4880-A2E8-587D9120FB09}" name="تعادلی" dataDxfId="668">
      <calculatedColumnFormula>SUMIFS('لیست پیش فاکتور ها'!R:R,'لیست پیش فاکتور ها'!B:B,Sheet1!C3,'لیست پیش فاکتور ها'!I:I,"تعادلی")</calculatedColumnFormula>
    </tableColumn>
    <tableColumn id="3" xr3:uid="{C254C5ED-0B78-463E-A7F1-330038583C5E}" name="انجمن" dataDxfId="667">
      <calculatedColumnFormula>SUMIFS('لیست پیش فاکتور ها'!R:R,'لیست پیش فاکتور ها'!B:B,Sheet1!C3,'لیست پیش فاکتور ها'!I:I,"انجمن")</calculatedColumnFormula>
    </tableColumn>
    <tableColumn id="4" xr3:uid="{BA3D1B35-334C-4B67-B069-0236F2948A0D}" name="بورس" dataDxfId="666">
      <calculatedColumnFormula>SUMIFS('لیست پیش فاکتور ها'!R:R,'لیست پیش فاکتور ها'!B:B,Sheet1!C3,'لیست پیش فاکتور ها'!I:I,"بورس")</calculatedColumnFormula>
    </tableColumn>
    <tableColumn id="8" xr3:uid="{0D8CB51E-2E14-4F92-B978-7C79C14652B7}" name="بار نیشابور" dataDxfId="665">
      <calculatedColumnFormula>SUMIFS('لیست پیش فاکتور ها'!R:R,'لیست پیش فاکتور ها'!B:B,Sheet1!C3,'لیست پیش فاکتور ها'!I:I,"بار نیشابور")</calculatedColumnFormula>
    </tableColumn>
    <tableColumn id="6" xr3:uid="{7BC3E448-1C4D-43CB-8BB3-76E20698F17A}" name="جمع سفارش مشتری" dataDxfId="664">
      <calculatedColumnFormula>SUM(Table9[[#This Row],[تعادلی]:[بار نیشابور]])</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54E299-792E-49DC-9C57-A00483766B4B}" name="invoice" displayName="invoice" ref="A1:S282" totalsRowCount="1" headerRowDxfId="663" dataDxfId="662" dataCellStyle="Normal 2">
  <autoFilter ref="A1:S281" xr:uid="{F3DDEA36-3CA0-47C4-9919-E1798D6BF93E}"/>
  <sortState xmlns:xlrd2="http://schemas.microsoft.com/office/spreadsheetml/2017/richdata2" ref="A2:L109">
    <sortCondition ref="C1:C109"/>
  </sortState>
  <tableColumns count="19">
    <tableColumn id="1" xr3:uid="{D5CA3E9E-9D8A-45A6-8ED9-5450E263C8CF}" name="شماره پیش فاکتور" dataDxfId="589" totalsRowDxfId="588" dataCellStyle="Normal 2"/>
    <tableColumn id="2" xr3:uid="{0464FB85-980C-4748-9B96-45FB589F455E}" name="نام مشتری" dataDxfId="625" totalsRowDxfId="607" dataCellStyle="Normal 2"/>
    <tableColumn id="5" xr3:uid="{6BFB1F9E-B3AD-41A5-9BB2-9B53D8DE6585}" name="تاریخ" dataDxfId="624" totalsRowDxfId="606" dataCellStyle="Normal 2"/>
    <tableColumn id="6" xr3:uid="{02158E8C-6E4C-4D35-A6E5-D28ACC314B81}" name="تاریخ مجوز بهره برداری" dataDxfId="623" totalsRowDxfId="605" dataCellStyle="Normal 2"/>
    <tableColumn id="3" xr3:uid="{005753A6-D2AF-4F98-BABC-5F840A7A9FED}" name="میزان سفارش" dataDxfId="622" totalsRowDxfId="604" dataCellStyle="Normal 2"/>
    <tableColumn id="4" xr3:uid="{87B5B729-101B-4D34-924E-03A6727991E5}" name="فی" dataDxfId="621" totalsRowDxfId="603" dataCellStyle="Normal 2"/>
    <tableColumn id="7" xr3:uid="{4833F7BE-8D1F-4C32-9650-18E570EAD04A}" name="ماه" dataDxfId="620" totalsRowDxfId="602" dataCellStyle="Normal 2">
      <calculatedColumnFormula>CHOOSE(MID(invoice[[#This Row],[تاریخ]],6,2),"فروردین","اردیبهشت","خرداد","تیر","مرداد","شهریور","مهر","آبان","آذر","دی","بهمن","اسفند")</calculatedColumnFormula>
    </tableColumn>
    <tableColumn id="8" xr3:uid="{39450779-4421-415C-ADC8-9D763090AEBA}" name="سال" dataDxfId="619" totalsRowDxfId="601" dataCellStyle="Normal 2">
      <calculatedColumnFormula>_xlfn.NUMBERVALUE(MID(invoice[[#This Row],[تاریخ]],1,4))</calculatedColumnFormula>
    </tableColumn>
    <tableColumn id="9" xr3:uid="{71094CE6-6815-4019-B44F-47D318F234CC}" name="نوع سفارش" dataDxfId="618" totalsRowDxfId="600" dataCellStyle="Normal 2"/>
    <tableColumn id="10" xr3:uid="{E4973DA5-564E-4B44-8DBF-8CEEAF14CB78}" name="نوع شرکت" dataDxfId="617" totalsRowDxfId="599" dataCellStyle="Normal 2"/>
    <tableColumn id="11" xr3:uid="{5CBBE33C-5476-4B8B-9F82-9BB3CB7CAC86}" name="تاریخ انقضا" dataDxfId="616" totalsRowDxfId="598" dataCellStyle="Normal 2"/>
    <tableColumn id="12" xr3:uid="{A7221773-CD5F-42FB-9C06-FECC122D8CCD}" name="کمکی" dataDxfId="615" totalsRowDxfId="597" dataCellStyle="Normal 2">
      <calculatedColumnFormula>IF(invoice[[#This Row],[سال]]=year,1,0)</calculatedColumnFormula>
    </tableColumn>
    <tableColumn id="13" xr3:uid="{CE271DD7-320E-42FD-B906-86DCE3FEE317}" name="درصد مبلغ پیش دریافت" dataDxfId="614" totalsRowDxfId="596" dataCellStyle="Normal 2"/>
    <tableColumn id="14" xr3:uid="{2AA8FD86-8EF0-45B6-9782-4B78E1F6C441}" name="ارزش افزوده" dataDxfId="613" totalsRowDxfId="595" dataCellStyle="Normal 2"/>
    <tableColumn id="15" xr3:uid="{EDA090BF-FB6F-4AD4-9CF4-E640FF5DD920}" name="درصد میزان بارگیری شده" dataDxfId="612" totalsRowDxfId="594" dataCellStyle="Percent">
      <calculatedColumnFormula>SUMIF(bargiri[شماره پیش فاکتور],invoice[[#This Row],[شماره پیش فاکتور]],bargiri[میزان بارگیری شده])/invoice[[#This Row],[میزان سفارش]]</calculatedColumnFormula>
    </tableColumn>
    <tableColumn id="16" xr3:uid="{0BF31822-237E-4FA6-94E4-3D8BB416F99B}" name="Column1" dataDxfId="611" totalsRowDxfId="593" dataCellStyle="Normal 2">
      <calculatedColumnFormula>IF(invoice[[#This Row],[نوع سفارش]]="غیرفعال","عادی",invoice[[#This Row],[نوع سفارش]])</calculatedColumnFormula>
    </tableColumn>
    <tableColumn id="17" xr3:uid="{7CD353E8-702B-40FD-A766-164F13200F31}" name="میزان حمل شده " dataDxfId="610" totalsRowDxfId="592" dataCellStyle="Normal 2">
      <calculatedColumnFormula>SUMIFS('جزییات بارگیری'!D:D,'جزییات بارگیری'!C:C,invoice[[#This Row],[شماره پیش فاکتور]])</calculatedColumnFormula>
    </tableColumn>
    <tableColumn id="18" xr3:uid="{31987E5E-0E80-4F8C-8E34-EA39915CEB88}" name="میزان حمل نشده " totalsRowFunction="sum" dataDxfId="609" totalsRowDxfId="591" dataCellStyle="Normal 2">
      <calculatedColumnFormula>IF(invoice[[#This Row],[میزان سفارش]]-invoice[[#This Row],[میزان حمل شده ]]&lt;0,0,invoice[[#This Row],[میزان سفارش]]-invoice[[#This Row],[میزان حمل شده ]])</calculatedColumnFormula>
    </tableColumn>
    <tableColumn id="19" xr3:uid="{A8FCBDA8-C6D8-4968-A1A7-B58D1010F6CC}" name="Column2" totalsRowFunction="sum" dataDxfId="608" totalsRowDxfId="590" dataCellStyle="Normal 2">
      <calculatedColumnFormula>invoice[[#This Row],[میزان حمل نشده ]]*invoice[[#This Row],[فی]]</calculatedColumnFormula>
    </tableColumn>
  </tableColumns>
  <tableStyleInfo name="CustomTableSty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EFBAFB-BDA7-4074-B0FB-37E33565F917}" name="invoice2" displayName="invoice2" ref="A1:N45" totalsRowShown="0" headerRowDxfId="661" dataDxfId="660">
  <autoFilter ref="A1:N45" xr:uid="{F3DDEA36-3CA0-47C4-9919-E1798D6BF93E}"/>
  <sortState xmlns:xlrd2="http://schemas.microsoft.com/office/spreadsheetml/2017/richdata2" ref="A2:F45">
    <sortCondition ref="B1:B45"/>
  </sortState>
  <tableColumns count="14">
    <tableColumn id="1" xr3:uid="{347D6B8D-81D9-4DD8-80A8-19BBD4AD61C9}" name="شماره پیش فاکتور" dataDxfId="659"/>
    <tableColumn id="2" xr3:uid="{B7DE863E-C0EA-47B9-BB06-F32D0D973B49}" name="نام مشتری" dataDxfId="658"/>
    <tableColumn id="5" xr3:uid="{5D9F29B5-C895-4A84-9DF8-738ADE3FE253}" name="تاریخ" dataDxfId="657" dataCellStyle="Normal 2"/>
    <tableColumn id="6" xr3:uid="{6C5255BD-7528-4312-B19E-883096B96CF6}" name="تاریخ مجوز بهره برداری" dataDxfId="656" dataCellStyle="Normal 2"/>
    <tableColumn id="3" xr3:uid="{BC0F89C4-E5D6-42CE-A8CB-5D4F44DC3AF2}" name="میزان سفارش" dataDxfId="655"/>
    <tableColumn id="4" xr3:uid="{87BE4725-7BB1-49B2-A810-C9175495647F}" name="فی" dataDxfId="654"/>
    <tableColumn id="7" xr3:uid="{DCCF95F4-8EBE-4C1B-B573-3AF6DAAB4138}" name="حمل شده" dataDxfId="653" dataCellStyle="Normal 2">
      <calculatedColumnFormula>SUMIF(#REF!,invoice2[[#This Row],[شماره پیش فاکتور]],#REF!)</calculatedColumnFormula>
    </tableColumn>
    <tableColumn id="8" xr3:uid="{1926E1AC-60B4-4442-9527-5A7C7BCA6EA6}" name="مانده" dataDxfId="652" dataCellStyle="Normal 2">
      <calculatedColumnFormula>invoice2[[#This Row],[میزان سفارش]]-invoice2[[#This Row],[حمل شده]]</calculatedColumnFormula>
    </tableColumn>
    <tableColumn id="9" xr3:uid="{DACCB46C-C479-4CB7-B6D2-F9F9AB121C18}" name="نوع " dataDxfId="651" dataCellStyle="Normal 2"/>
    <tableColumn id="10" xr3:uid="{84B11282-1160-4DAE-869B-B5B7A69E05E1}" name="شش ماهه اول" dataDxfId="650" dataCellStyle="Normal 2">
      <calculatedColumnFormula>invoice2[[#This Row],[مانده]]*0.6</calculatedColumnFormula>
    </tableColumn>
    <tableColumn id="12" xr3:uid="{9A32A755-178C-45E3-9052-C8D8396A33DB}" name="توزیع هفتگی" dataDxfId="649" dataCellStyle="Normal 2"/>
    <tableColumn id="13" xr3:uid="{668EC1AD-C8C7-454C-8B85-32E280E0A373}" name="شش ماهه دوم" dataDxfId="648" dataCellStyle="Normal 2"/>
    <tableColumn id="11" xr3:uid="{3F32094E-D59E-42DB-9461-C0B3D3CC15B8}" name="توزیع هفتگی2" dataDxfId="647" dataCellStyle="Normal 2"/>
    <tableColumn id="14" xr3:uid="{FA801624-ACF6-420F-8E17-5D683A8C387C}" name="توضیحات" dataDxfId="646" dataCellStyle="Normal 2"/>
  </tableColumns>
  <tableStyleInfo name="CustomTableSty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F27CE2-6FDC-4199-9162-946F9FDAC732}" name="Table134" displayName="Table134" ref="A2:G17" totalsRowCount="1" headerRowDxfId="645" dataDxfId="643" totalsRowDxfId="641" headerRowBorderDxfId="644" tableBorderDxfId="642" totalsRowBorderDxfId="640">
  <sortState xmlns:xlrd2="http://schemas.microsoft.com/office/spreadsheetml/2017/richdata2" ref="A3:F16">
    <sortCondition ref="A2:A16"/>
  </sortState>
  <tableColumns count="7">
    <tableColumn id="1" xr3:uid="{09FC9924-4256-4E9D-B42D-D74D0BC581BE}" name="ردیف" dataDxfId="639" totalsRowDxfId="638" dataCellStyle="Normal 2 2" totalsRowCellStyle="Normal 2 2"/>
    <tableColumn id="2" xr3:uid="{DF60E583-D2FB-4E59-89C4-E60900568957}" name="نام مشتری" totalsRowLabel="جمع" dataDxfId="637" totalsRowDxfId="636" dataCellStyle="Normal 2 2" totalsRowCellStyle="Normal 2 2"/>
    <tableColumn id="15" xr3:uid="{0AB05A51-7AC7-42E1-B420-DBA118CA38F5}" name="میزان سفارش (کیلوگرم)" totalsRowFunction="sum" dataDxfId="635" totalsRowDxfId="634" dataCellStyle="Normal 2" totalsRowCellStyle="Normal 2"/>
    <tableColumn id="14" xr3:uid="{D7826A33-B1A4-4304-8C02-DAD93AE513EE}" name="تحویل شش ماهه اول" totalsRowFunction="sum" dataDxfId="633" totalsRowDxfId="632" dataCellStyle="Normal 2 2" totalsRowCellStyle="Normal 2">
      <calculatedColumnFormula>Table134[[#This Row],[میزان سفارش (کیلوگرم)]]*0.6</calculatedColumnFormula>
    </tableColumn>
    <tableColumn id="3" xr3:uid="{BDDC791B-4735-44D6-B27D-754E7B164B1A}" name="توزیع هفتگی" totalsRowFunction="sum" dataDxfId="631" totalsRowDxfId="630" dataCellStyle="Normal 2 2" totalsRowCellStyle="Normal 2">
      <calculatedColumnFormula>Table134[[#This Row],[تحویل شش ماهه اول]]/24</calculatedColumnFormula>
    </tableColumn>
    <tableColumn id="13" xr3:uid="{1723BF0F-07BB-483D-AE0D-D2E880A810EF}" name="تحویل شش ماهه دوم" totalsRowFunction="sum" dataDxfId="629" totalsRowDxfId="628" dataCellStyle="Normal 2 2" totalsRowCellStyle="Normal 2">
      <calculatedColumnFormula>Table134[[#This Row],[میزان سفارش (کیلوگرم)]]*0.4</calculatedColumnFormula>
    </tableColumn>
    <tableColumn id="4" xr3:uid="{FE79571A-2E92-4924-BA62-FE092768ABB5}" name="توزیع هفتگی." totalsRowFunction="sum" dataDxfId="627" totalsRowDxfId="626" dataCellStyle="Normal 2 2" totalsRowCellStyle="Normal 2">
      <calculatedColumnFormula>Table134[[#This Row],[تحویل شش ماهه دوم]]/24</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sale_carbon">
      <a:dk1>
        <a:srgbClr val="011B41"/>
      </a:dk1>
      <a:lt1>
        <a:srgbClr val="9CC3E5"/>
      </a:lt1>
      <a:dk2>
        <a:srgbClr val="1C2137"/>
      </a:dk2>
      <a:lt2>
        <a:srgbClr val="DEEBEE"/>
      </a:lt2>
      <a:accent1>
        <a:srgbClr val="007C7C"/>
      </a:accent1>
      <a:accent2>
        <a:srgbClr val="FFBF08"/>
      </a:accent2>
      <a:accent3>
        <a:srgbClr val="00AD51"/>
      </a:accent3>
      <a:accent4>
        <a:srgbClr val="C92851"/>
      </a:accent4>
      <a:accent5>
        <a:srgbClr val="5B9BD5"/>
      </a:accent5>
      <a:accent6>
        <a:srgbClr val="7BCB8E"/>
      </a:accent6>
      <a:hlink>
        <a:srgbClr val="4E59C3"/>
      </a:hlink>
      <a:folHlink>
        <a:srgbClr val="E5215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sale_carbon">
    <a:dk1>
      <a:srgbClr val="011B41"/>
    </a:dk1>
    <a:lt1>
      <a:srgbClr val="9CC3E5"/>
    </a:lt1>
    <a:dk2>
      <a:srgbClr val="1C2137"/>
    </a:dk2>
    <a:lt2>
      <a:srgbClr val="DEEBEE"/>
    </a:lt2>
    <a:accent1>
      <a:srgbClr val="007C7C"/>
    </a:accent1>
    <a:accent2>
      <a:srgbClr val="FFBF08"/>
    </a:accent2>
    <a:accent3>
      <a:srgbClr val="00AD51"/>
    </a:accent3>
    <a:accent4>
      <a:srgbClr val="C92851"/>
    </a:accent4>
    <a:accent5>
      <a:srgbClr val="5B9BD5"/>
    </a:accent5>
    <a:accent6>
      <a:srgbClr val="7BCB8E"/>
    </a:accent6>
    <a:hlink>
      <a:srgbClr val="4E59C3"/>
    </a:hlink>
    <a:folHlink>
      <a:srgbClr val="E5215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07/relationships/slicer" Target="../slicers/slicer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table" Target="../tables/table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table" Target="../tables/table1.xml"/><Relationship Id="rId5" Type="http://schemas.openxmlformats.org/officeDocument/2006/relationships/pivotTable" Target="../pivotTables/pivotTable5.xml"/><Relationship Id="rId10" Type="http://schemas.openxmlformats.org/officeDocument/2006/relationships/printerSettings" Target="../printerSettings/printerSettings2.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10B6-D32F-498F-8B73-8EC00B323DC4}">
  <sheetPr codeName="Sheet1">
    <tabColor theme="7"/>
  </sheetPr>
  <dimension ref="A1:AN61"/>
  <sheetViews>
    <sheetView showGridLines="0" rightToLeft="1" tabSelected="1" topLeftCell="J4" zoomScaleNormal="100" zoomScaleSheetLayoutView="90" workbookViewId="0">
      <selection activeCell="R29" sqref="R29"/>
    </sheetView>
  </sheetViews>
  <sheetFormatPr defaultRowHeight="13.8"/>
  <cols>
    <col min="1" max="1" width="1.8984375" customWidth="1"/>
    <col min="2" max="2" width="5.09765625" customWidth="1"/>
    <col min="3" max="3" width="14.09765625" customWidth="1"/>
    <col min="4" max="4" width="11.09765625" customWidth="1"/>
    <col min="5" max="5" width="11.69921875" customWidth="1"/>
    <col min="7" max="7" width="10.69921875" customWidth="1"/>
    <col min="8" max="8" width="9.09765625" customWidth="1"/>
    <col min="9" max="9" width="7.8984375" customWidth="1"/>
    <col min="10" max="10" width="12.09765625" customWidth="1"/>
    <col min="11" max="11" width="5.09765625" customWidth="1"/>
    <col min="12" max="12" width="5" customWidth="1"/>
    <col min="13" max="13" width="17.3984375" bestFit="1" customWidth="1"/>
    <col min="14" max="14" width="14.09765625" customWidth="1"/>
    <col min="15" max="15" width="12.8984375" customWidth="1"/>
    <col min="16" max="16" width="12.09765625" customWidth="1"/>
    <col min="17" max="17" width="11.296875" customWidth="1"/>
    <col min="18" max="18" width="11.09765625" customWidth="1"/>
    <col min="19" max="19" width="10.59765625" customWidth="1"/>
    <col min="20" max="20" width="10.8984375" customWidth="1"/>
    <col min="21" max="21" width="12.296875" customWidth="1"/>
    <col min="22" max="22" width="10.69921875" customWidth="1"/>
    <col min="23" max="23" width="12.59765625" customWidth="1"/>
    <col min="24" max="24" width="4.296875" customWidth="1"/>
    <col min="25" max="25" width="11.8984375" customWidth="1"/>
    <col min="26" max="26" width="8.8984375" customWidth="1"/>
    <col min="27" max="27" width="11" customWidth="1"/>
    <col min="28" max="28" width="5.3984375" customWidth="1"/>
    <col min="29" max="29" width="2.8984375" customWidth="1"/>
    <col min="30" max="30" width="11.8984375" customWidth="1"/>
    <col min="32" max="32" width="16.3984375" customWidth="1"/>
    <col min="33" max="33" width="0.3984375" customWidth="1"/>
    <col min="34" max="36" width="11.09765625" customWidth="1"/>
    <col min="40" max="40" width="12.09765625" bestFit="1" customWidth="1"/>
  </cols>
  <sheetData>
    <row r="1" spans="1:40" ht="18" customHeight="1">
      <c r="A1" s="127"/>
      <c r="B1" s="127"/>
      <c r="C1" s="127"/>
      <c r="D1" s="127"/>
      <c r="E1" s="127"/>
      <c r="F1" s="127"/>
      <c r="G1" s="127"/>
      <c r="H1" s="127"/>
      <c r="I1" s="127"/>
      <c r="J1" s="127"/>
      <c r="K1" s="127"/>
      <c r="L1" s="127"/>
      <c r="M1" s="127"/>
      <c r="N1" s="127"/>
      <c r="O1" s="127"/>
      <c r="P1" s="127"/>
      <c r="Q1" s="127"/>
      <c r="R1" s="127"/>
      <c r="S1" s="127"/>
      <c r="T1" s="127"/>
      <c r="U1" s="138"/>
      <c r="V1" s="138"/>
      <c r="W1" s="138"/>
      <c r="X1" s="138"/>
      <c r="Y1" s="138"/>
      <c r="Z1" s="138"/>
      <c r="AA1" s="138"/>
      <c r="AB1" s="138"/>
      <c r="AC1" s="138"/>
      <c r="AD1" s="138"/>
      <c r="AE1" s="138"/>
      <c r="AF1" s="138"/>
      <c r="AG1" s="138"/>
      <c r="AH1" s="138"/>
      <c r="AI1" s="138"/>
      <c r="AJ1" s="138"/>
      <c r="AK1" s="138"/>
      <c r="AL1" s="138"/>
      <c r="AM1" s="138"/>
    </row>
    <row r="2" spans="1:40">
      <c r="A2" s="127"/>
      <c r="B2" s="127"/>
      <c r="C2" s="127"/>
      <c r="D2" s="127"/>
      <c r="E2" s="127"/>
      <c r="F2" s="127"/>
      <c r="G2" s="127"/>
      <c r="H2" s="127"/>
      <c r="I2" s="127"/>
      <c r="J2" s="127"/>
      <c r="K2" s="127"/>
      <c r="L2" s="127"/>
      <c r="M2" s="127"/>
      <c r="N2" s="127"/>
      <c r="O2" s="127"/>
      <c r="P2" s="127"/>
      <c r="Q2" s="127"/>
      <c r="R2" s="127"/>
      <c r="S2" s="127"/>
      <c r="T2" s="127"/>
      <c r="U2" s="138"/>
      <c r="V2" s="138"/>
      <c r="W2" s="138"/>
      <c r="X2" s="138"/>
      <c r="Y2" s="138"/>
      <c r="Z2" s="138"/>
      <c r="AA2" s="138"/>
      <c r="AB2" s="138"/>
      <c r="AC2" s="138"/>
      <c r="AD2" s="138"/>
      <c r="AE2" s="138"/>
      <c r="AF2" s="138"/>
      <c r="AG2" s="138"/>
      <c r="AH2" s="138"/>
      <c r="AI2" s="138"/>
      <c r="AJ2" s="138"/>
      <c r="AK2" s="138"/>
      <c r="AL2" s="138"/>
      <c r="AM2" s="138"/>
    </row>
    <row r="3" spans="1:40">
      <c r="A3" s="127"/>
      <c r="B3" s="127"/>
      <c r="C3" s="127"/>
      <c r="D3" s="127"/>
      <c r="E3" s="127"/>
      <c r="F3" s="127"/>
      <c r="G3" s="127"/>
      <c r="H3" s="127"/>
      <c r="I3" s="127"/>
      <c r="J3" s="127"/>
      <c r="K3" s="127"/>
      <c r="L3" s="127"/>
      <c r="M3" s="127"/>
      <c r="N3" s="127"/>
      <c r="O3" s="127"/>
      <c r="P3" s="127"/>
      <c r="Q3" s="127"/>
      <c r="R3" s="127"/>
      <c r="S3" s="127"/>
      <c r="T3" s="127"/>
      <c r="U3" s="138"/>
      <c r="V3" s="138"/>
      <c r="W3" s="138"/>
      <c r="X3" s="138"/>
      <c r="Y3" s="138"/>
      <c r="Z3" s="138"/>
      <c r="AA3" s="138"/>
      <c r="AB3" s="138"/>
      <c r="AC3" s="138"/>
      <c r="AD3" s="138"/>
      <c r="AE3" s="138"/>
      <c r="AF3" s="138"/>
      <c r="AG3" s="138"/>
      <c r="AH3" s="138"/>
      <c r="AI3" s="138"/>
      <c r="AJ3" s="138"/>
      <c r="AK3" s="138"/>
      <c r="AL3" s="138"/>
      <c r="AM3" s="138"/>
    </row>
    <row r="4" spans="1:40">
      <c r="A4" s="127"/>
      <c r="B4" s="127"/>
      <c r="C4" s="127"/>
      <c r="D4" s="127"/>
      <c r="E4" s="127"/>
      <c r="F4" s="127"/>
      <c r="G4" s="127"/>
      <c r="H4" s="127"/>
      <c r="I4" s="127"/>
      <c r="J4" s="127"/>
      <c r="K4" s="127"/>
      <c r="L4" s="127"/>
      <c r="M4" s="127"/>
      <c r="N4" s="127"/>
      <c r="O4" s="127"/>
      <c r="P4" s="127"/>
      <c r="Q4" s="127"/>
      <c r="R4" s="127"/>
      <c r="S4" s="127"/>
      <c r="T4" s="127"/>
      <c r="U4" s="138"/>
      <c r="V4" s="138"/>
      <c r="W4" s="138"/>
      <c r="X4" s="138"/>
      <c r="Y4" s="123"/>
      <c r="Z4" s="139"/>
      <c r="AA4" s="139"/>
      <c r="AB4" s="139"/>
      <c r="AC4" s="138"/>
      <c r="AD4" s="123"/>
      <c r="AE4" s="123"/>
      <c r="AF4" s="123"/>
      <c r="AG4" s="123"/>
      <c r="AH4" s="138"/>
      <c r="AI4" s="138"/>
      <c r="AJ4" s="138"/>
      <c r="AK4" s="138"/>
      <c r="AL4" s="138"/>
      <c r="AM4" s="138"/>
    </row>
    <row r="5" spans="1:40" ht="17.399999999999999">
      <c r="A5" s="127"/>
      <c r="B5" s="127"/>
      <c r="C5" s="127"/>
      <c r="D5" s="127"/>
      <c r="E5" s="127"/>
      <c r="F5" s="127"/>
      <c r="G5" s="127"/>
      <c r="H5" s="127"/>
      <c r="I5" s="127"/>
      <c r="J5" s="127"/>
      <c r="K5" s="127"/>
      <c r="L5" s="127"/>
      <c r="M5" s="127"/>
      <c r="N5" s="127"/>
      <c r="O5" s="127"/>
      <c r="P5" s="127"/>
      <c r="Q5" s="127"/>
      <c r="R5" s="127"/>
      <c r="S5" s="127"/>
      <c r="T5" s="127"/>
      <c r="U5" s="138"/>
      <c r="V5" s="138"/>
      <c r="W5" s="138"/>
      <c r="X5" s="138"/>
      <c r="Y5" s="191" t="s">
        <v>615</v>
      </c>
      <c r="Z5" s="123"/>
      <c r="AA5" s="267">
        <v>240000</v>
      </c>
      <c r="AB5" s="267"/>
      <c r="AC5" s="138"/>
      <c r="AD5" s="191" t="s">
        <v>593</v>
      </c>
      <c r="AE5" s="123"/>
      <c r="AF5" s="267">
        <v>240000</v>
      </c>
      <c r="AG5" s="267"/>
      <c r="AH5" s="138"/>
      <c r="AI5" s="138"/>
      <c r="AJ5" s="138"/>
      <c r="AK5" s="138"/>
      <c r="AL5" s="138"/>
      <c r="AM5" s="138"/>
    </row>
    <row r="6" spans="1:40">
      <c r="A6" s="127"/>
      <c r="B6" s="127"/>
      <c r="C6" s="127"/>
      <c r="D6" s="127"/>
      <c r="E6" s="127"/>
      <c r="F6" s="127"/>
      <c r="G6" s="127"/>
      <c r="H6" s="127"/>
      <c r="I6" s="127"/>
      <c r="J6" s="127"/>
      <c r="K6" s="127"/>
      <c r="L6" s="127"/>
      <c r="M6" s="127"/>
      <c r="N6" s="127"/>
      <c r="O6" s="127"/>
      <c r="P6" s="127"/>
      <c r="Q6" s="127"/>
      <c r="R6" s="127"/>
      <c r="S6" s="127"/>
      <c r="T6" s="127"/>
      <c r="U6" s="138"/>
      <c r="V6" s="138"/>
      <c r="W6" s="138"/>
      <c r="X6" s="138"/>
      <c r="Y6" s="124"/>
      <c r="Z6" s="139"/>
      <c r="AA6" s="139"/>
      <c r="AB6" s="139"/>
      <c r="AC6" s="138"/>
      <c r="AD6" s="124"/>
      <c r="AE6" s="123"/>
      <c r="AF6" s="123"/>
      <c r="AG6" s="123"/>
      <c r="AH6" s="138"/>
      <c r="AI6" s="138"/>
      <c r="AJ6" s="138"/>
      <c r="AK6" s="138"/>
      <c r="AL6" s="138"/>
      <c r="AM6" s="138"/>
    </row>
    <row r="7" spans="1:40" ht="17.399999999999999">
      <c r="A7" s="127"/>
      <c r="B7" s="127"/>
      <c r="C7" s="127"/>
      <c r="D7" s="127"/>
      <c r="E7" s="127"/>
      <c r="F7" s="127"/>
      <c r="G7" s="127"/>
      <c r="H7" s="127"/>
      <c r="I7" s="127"/>
      <c r="J7" s="127"/>
      <c r="K7" s="127"/>
      <c r="L7" s="127"/>
      <c r="M7" s="127"/>
      <c r="N7" s="127"/>
      <c r="O7" s="127"/>
      <c r="P7" s="127"/>
      <c r="Q7" s="127"/>
      <c r="R7" s="127"/>
      <c r="S7" s="127"/>
      <c r="T7" s="127"/>
      <c r="U7" s="138"/>
      <c r="V7" s="138"/>
      <c r="W7" s="138"/>
      <c r="X7" s="138"/>
      <c r="Y7" s="191" t="s">
        <v>614</v>
      </c>
      <c r="Z7" s="123"/>
      <c r="AA7" s="267">
        <v>20000</v>
      </c>
      <c r="AB7" s="267"/>
      <c r="AC7" s="138"/>
      <c r="AD7" s="191" t="s">
        <v>580</v>
      </c>
      <c r="AE7" s="123"/>
      <c r="AF7" s="267">
        <v>194000</v>
      </c>
      <c r="AG7" s="267"/>
      <c r="AH7" s="138"/>
      <c r="AI7" s="138"/>
      <c r="AJ7" s="138"/>
      <c r="AK7" s="138"/>
      <c r="AL7" s="138"/>
      <c r="AM7" s="138"/>
    </row>
    <row r="8" spans="1:40">
      <c r="A8" s="127"/>
      <c r="B8" s="127"/>
      <c r="C8" s="127"/>
      <c r="D8" s="127"/>
      <c r="E8" s="127"/>
      <c r="F8" s="127"/>
      <c r="G8" s="127"/>
      <c r="H8" s="127"/>
      <c r="I8" s="127"/>
      <c r="J8" s="127"/>
      <c r="K8" s="127"/>
      <c r="L8" s="127"/>
      <c r="M8" s="127"/>
      <c r="N8" s="127"/>
      <c r="O8" s="127"/>
      <c r="P8" s="127"/>
      <c r="Q8" s="127"/>
      <c r="R8" s="127"/>
      <c r="S8" s="127"/>
      <c r="T8" s="127"/>
      <c r="U8" s="138"/>
      <c r="V8" s="138"/>
      <c r="W8" s="138"/>
      <c r="X8" s="138"/>
      <c r="Y8" s="124"/>
      <c r="Z8" s="139"/>
      <c r="AA8" s="139"/>
      <c r="AB8" s="139"/>
      <c r="AC8" s="138"/>
      <c r="AD8" s="124"/>
      <c r="AE8" s="123"/>
      <c r="AF8" s="123"/>
      <c r="AG8" s="123"/>
      <c r="AH8" s="138"/>
      <c r="AI8" s="138"/>
      <c r="AJ8" s="138"/>
      <c r="AK8" s="138"/>
      <c r="AL8" s="138"/>
      <c r="AM8" s="138"/>
    </row>
    <row r="9" spans="1:40" ht="17.399999999999999">
      <c r="A9" s="127"/>
      <c r="B9" s="127"/>
      <c r="C9" s="127"/>
      <c r="D9" s="127"/>
      <c r="E9" s="127"/>
      <c r="F9" s="127"/>
      <c r="G9" s="127"/>
      <c r="H9" s="127"/>
      <c r="I9" s="127"/>
      <c r="J9" s="127"/>
      <c r="K9" s="127"/>
      <c r="L9" s="127"/>
      <c r="M9" s="127"/>
      <c r="N9" s="127"/>
      <c r="O9" s="127"/>
      <c r="P9" s="127"/>
      <c r="Q9" s="127"/>
      <c r="R9" s="127"/>
      <c r="S9" s="127"/>
      <c r="T9" s="127"/>
      <c r="U9" s="138"/>
      <c r="V9" s="138"/>
      <c r="W9" s="138"/>
      <c r="X9" s="138"/>
      <c r="Y9" s="191" t="s">
        <v>581</v>
      </c>
      <c r="Z9" s="123"/>
      <c r="AA9" s="267">
        <v>90000</v>
      </c>
      <c r="AB9" s="267"/>
      <c r="AC9" s="138"/>
      <c r="AD9" s="191" t="s">
        <v>581</v>
      </c>
      <c r="AE9" s="123"/>
      <c r="AF9" s="267">
        <v>90000</v>
      </c>
      <c r="AG9" s="267"/>
      <c r="AH9" s="138"/>
      <c r="AI9" s="138"/>
      <c r="AJ9" s="138"/>
      <c r="AK9" s="138"/>
      <c r="AL9" s="138"/>
      <c r="AM9" s="138"/>
    </row>
    <row r="10" spans="1:40">
      <c r="A10" s="127"/>
      <c r="B10" s="127"/>
      <c r="C10" s="127"/>
      <c r="D10" s="127"/>
      <c r="E10" s="127"/>
      <c r="F10" s="127"/>
      <c r="G10" s="127"/>
      <c r="H10" s="127"/>
      <c r="I10" s="127"/>
      <c r="J10" s="127"/>
      <c r="K10" s="127"/>
      <c r="L10" s="127"/>
      <c r="M10" s="127"/>
      <c r="N10" s="127"/>
      <c r="O10" s="127"/>
      <c r="P10" s="127"/>
      <c r="Q10" s="127"/>
      <c r="R10" s="127"/>
      <c r="S10" s="127"/>
      <c r="T10" s="127"/>
      <c r="U10" s="138"/>
      <c r="V10" s="138"/>
      <c r="W10" s="138"/>
      <c r="X10" s="138"/>
      <c r="Y10" s="124"/>
      <c r="Z10" s="139"/>
      <c r="AA10" s="139"/>
      <c r="AB10" s="139"/>
      <c r="AC10" s="138"/>
      <c r="AD10" s="124"/>
      <c r="AE10" s="123"/>
      <c r="AF10" s="123"/>
      <c r="AG10" s="123"/>
      <c r="AH10" s="138"/>
      <c r="AI10" s="138"/>
      <c r="AJ10" s="138"/>
      <c r="AK10" s="138"/>
      <c r="AL10" s="138"/>
      <c r="AM10" s="138"/>
      <c r="AN10" s="116"/>
    </row>
    <row r="11" spans="1:40" ht="17.399999999999999">
      <c r="A11" s="127"/>
      <c r="B11" s="127"/>
      <c r="C11" s="127"/>
      <c r="D11" s="127"/>
      <c r="E11" s="127"/>
      <c r="F11" s="127"/>
      <c r="G11" s="127"/>
      <c r="H11" s="127"/>
      <c r="I11" s="127"/>
      <c r="J11" s="127"/>
      <c r="K11" s="127"/>
      <c r="L11" s="127"/>
      <c r="M11" s="127"/>
      <c r="N11" s="127"/>
      <c r="O11" s="127"/>
      <c r="P11" s="127"/>
      <c r="Q11" s="127"/>
      <c r="R11" s="127"/>
      <c r="S11" s="127"/>
      <c r="T11" s="127"/>
      <c r="U11" s="138"/>
      <c r="V11" s="138"/>
      <c r="W11" s="138"/>
      <c r="X11" s="138"/>
      <c r="Y11" s="191" t="s">
        <v>323</v>
      </c>
      <c r="Z11" s="123"/>
      <c r="AA11" s="267">
        <v>20000</v>
      </c>
      <c r="AB11" s="267"/>
      <c r="AC11" s="138"/>
      <c r="AD11" s="191" t="s">
        <v>323</v>
      </c>
      <c r="AE11" s="123"/>
      <c r="AF11" s="267">
        <v>20000</v>
      </c>
      <c r="AG11" s="267"/>
      <c r="AH11" s="138"/>
      <c r="AI11" s="138"/>
      <c r="AJ11" s="138"/>
      <c r="AK11" s="138"/>
      <c r="AL11" s="138"/>
      <c r="AM11" s="138"/>
    </row>
    <row r="12" spans="1:40">
      <c r="A12" s="127"/>
      <c r="B12" s="127"/>
      <c r="C12" s="127"/>
      <c r="D12" s="127"/>
      <c r="E12" s="127"/>
      <c r="F12" s="127"/>
      <c r="G12" s="127"/>
      <c r="H12" s="127"/>
      <c r="I12" s="127"/>
      <c r="J12" s="127"/>
      <c r="K12" s="127"/>
      <c r="L12" s="127"/>
      <c r="M12" s="127"/>
      <c r="N12" s="127"/>
      <c r="O12" s="127"/>
      <c r="P12" s="127"/>
      <c r="Q12" s="127"/>
      <c r="R12" s="127"/>
      <c r="S12" s="127"/>
      <c r="T12" s="127"/>
      <c r="U12" s="138"/>
      <c r="V12" s="138"/>
      <c r="W12" s="138"/>
      <c r="X12" s="138"/>
      <c r="Y12" s="124"/>
      <c r="Z12" s="139"/>
      <c r="AA12" s="139"/>
      <c r="AB12" s="139"/>
      <c r="AC12" s="138"/>
      <c r="AD12" s="124"/>
      <c r="AE12" s="123"/>
      <c r="AF12" s="123"/>
      <c r="AG12" s="123"/>
      <c r="AH12" s="138"/>
      <c r="AI12" s="138"/>
      <c r="AJ12" s="138"/>
      <c r="AK12" s="138"/>
      <c r="AL12" s="138"/>
      <c r="AM12" s="138"/>
    </row>
    <row r="13" spans="1:40" ht="17.399999999999999">
      <c r="A13" s="127"/>
      <c r="B13" s="127"/>
      <c r="C13" s="127"/>
      <c r="D13" s="127"/>
      <c r="E13" s="127"/>
      <c r="F13" s="127"/>
      <c r="G13" s="127"/>
      <c r="H13" s="127"/>
      <c r="I13" s="127"/>
      <c r="J13" s="127"/>
      <c r="K13" s="127"/>
      <c r="L13" s="127"/>
      <c r="M13" s="127"/>
      <c r="N13" s="127"/>
      <c r="O13" s="127"/>
      <c r="P13" s="127"/>
      <c r="Q13" s="127"/>
      <c r="R13" s="127"/>
      <c r="S13" s="127"/>
      <c r="T13" s="127"/>
      <c r="U13" s="138"/>
      <c r="V13" s="138"/>
      <c r="W13" s="138"/>
      <c r="X13" s="138"/>
      <c r="Y13" s="191" t="s">
        <v>580</v>
      </c>
      <c r="Z13" s="123"/>
      <c r="AA13" s="265">
        <f>((($AA$11+$AA$7)*$AA$5)-($AA$11*$AA$9))/$AA$7</f>
        <v>390000</v>
      </c>
      <c r="AB13" s="265"/>
      <c r="AC13" s="138"/>
      <c r="AD13" s="191" t="s">
        <v>614</v>
      </c>
      <c r="AE13" s="123"/>
      <c r="AF13" s="265">
        <f>AF11*(AF5-AF9)/(-AF5+AF7)</f>
        <v>-65217.391304347824</v>
      </c>
      <c r="AG13" s="265"/>
      <c r="AH13" s="138"/>
      <c r="AI13" s="138"/>
      <c r="AJ13" s="138"/>
      <c r="AK13" s="138"/>
      <c r="AL13" s="138"/>
      <c r="AM13" s="138"/>
    </row>
    <row r="14" spans="1:40" ht="25.2" customHeight="1">
      <c r="A14" s="127"/>
      <c r="B14" s="127"/>
      <c r="C14" s="127"/>
      <c r="D14" s="127"/>
      <c r="E14" s="127"/>
      <c r="F14" s="127"/>
      <c r="G14" s="127"/>
      <c r="H14" s="127"/>
      <c r="I14" s="127"/>
      <c r="J14" s="127"/>
      <c r="K14" s="127"/>
      <c r="L14" s="127"/>
      <c r="M14" s="127"/>
      <c r="N14" s="127"/>
      <c r="O14" s="127"/>
      <c r="P14" s="127"/>
      <c r="Q14" s="127"/>
      <c r="R14" s="127"/>
      <c r="S14" s="127"/>
      <c r="T14" s="127"/>
      <c r="U14" s="138"/>
      <c r="V14" s="138"/>
      <c r="W14" s="138"/>
      <c r="X14" s="138"/>
      <c r="Y14" s="123"/>
      <c r="Z14" s="139"/>
      <c r="AA14" s="139"/>
      <c r="AB14" s="139"/>
      <c r="AC14" s="138"/>
      <c r="AD14" s="123"/>
      <c r="AE14" s="123"/>
      <c r="AF14" s="123"/>
      <c r="AG14" s="123"/>
      <c r="AH14" s="138"/>
      <c r="AI14" s="138"/>
      <c r="AJ14" s="138"/>
      <c r="AK14" s="138"/>
      <c r="AL14" s="138"/>
      <c r="AM14" s="138"/>
    </row>
    <row r="15" spans="1:40" ht="25.2" customHeight="1">
      <c r="A15" s="127"/>
      <c r="B15" s="127"/>
      <c r="C15" s="127"/>
      <c r="D15" s="127"/>
      <c r="E15" s="127"/>
      <c r="F15" s="127"/>
      <c r="G15" s="127"/>
      <c r="H15" s="127"/>
      <c r="I15" s="127"/>
      <c r="J15" s="127"/>
      <c r="K15" s="127"/>
      <c r="L15" s="127"/>
      <c r="M15" s="127"/>
      <c r="N15" s="127"/>
      <c r="O15" s="127"/>
      <c r="P15" s="127"/>
      <c r="Q15" s="127"/>
      <c r="R15" s="127"/>
      <c r="S15" s="127"/>
      <c r="T15" s="127"/>
      <c r="U15" s="138"/>
      <c r="V15" s="138"/>
      <c r="W15" s="138"/>
      <c r="X15" s="138"/>
      <c r="Y15" s="138"/>
      <c r="Z15" s="138"/>
      <c r="AA15" s="138"/>
      <c r="AB15" s="138"/>
      <c r="AC15" s="138"/>
      <c r="AD15" s="138"/>
      <c r="AE15" s="138"/>
      <c r="AF15" s="138"/>
      <c r="AG15" s="138"/>
      <c r="AH15" s="138"/>
      <c r="AI15" s="138"/>
      <c r="AJ15" s="138"/>
      <c r="AK15" s="138"/>
      <c r="AL15" s="138"/>
      <c r="AM15" s="138"/>
    </row>
    <row r="16" spans="1:40" ht="23.4" customHeight="1">
      <c r="A16" s="127"/>
      <c r="B16" s="127"/>
      <c r="C16" s="127"/>
      <c r="D16" s="127"/>
      <c r="E16" s="127"/>
      <c r="F16" s="127"/>
      <c r="G16" s="127"/>
      <c r="H16" s="127"/>
      <c r="I16" s="127"/>
      <c r="J16" s="127"/>
      <c r="K16" s="127"/>
      <c r="L16" s="127"/>
      <c r="M16" s="127"/>
      <c r="N16" s="127"/>
      <c r="O16" s="127"/>
      <c r="P16" s="127"/>
      <c r="Q16" s="127"/>
      <c r="R16" s="127"/>
      <c r="S16" s="127"/>
      <c r="T16" s="127"/>
      <c r="U16" s="138"/>
      <c r="V16" s="138"/>
      <c r="W16" s="138"/>
      <c r="X16" s="138"/>
      <c r="Y16" s="138"/>
      <c r="Z16" s="138"/>
      <c r="AA16" s="138"/>
      <c r="AB16" s="138"/>
      <c r="AC16" s="138"/>
      <c r="AD16" s="138"/>
      <c r="AE16" s="138"/>
      <c r="AF16" s="138"/>
      <c r="AG16" s="138"/>
      <c r="AH16" s="138"/>
      <c r="AI16" s="138"/>
      <c r="AJ16" s="138"/>
      <c r="AK16" s="138"/>
      <c r="AL16" s="138"/>
      <c r="AM16" s="138"/>
    </row>
    <row r="17" spans="1:39" ht="18.600000000000001" customHeight="1">
      <c r="A17" s="127"/>
      <c r="B17" s="128"/>
      <c r="C17" s="128"/>
      <c r="D17" s="128"/>
      <c r="E17" s="128"/>
      <c r="F17" s="128"/>
      <c r="G17" s="128"/>
      <c r="H17" s="128"/>
      <c r="I17" s="129"/>
      <c r="J17" s="130"/>
      <c r="K17" s="127"/>
      <c r="L17" s="226" t="s">
        <v>258</v>
      </c>
      <c r="M17" s="226" t="s">
        <v>127</v>
      </c>
      <c r="N17" s="227" t="s">
        <v>267</v>
      </c>
      <c r="O17" s="227" t="s">
        <v>506</v>
      </c>
      <c r="P17" s="227" t="s">
        <v>505</v>
      </c>
      <c r="Q17" s="227" t="s">
        <v>503</v>
      </c>
      <c r="R17" s="227" t="s">
        <v>1</v>
      </c>
      <c r="S17" s="228" t="s">
        <v>613</v>
      </c>
      <c r="T17" s="229" t="s">
        <v>535</v>
      </c>
      <c r="U17" s="229" t="s">
        <v>285</v>
      </c>
      <c r="V17" s="230" t="s">
        <v>287</v>
      </c>
      <c r="W17" s="227" t="s">
        <v>612</v>
      </c>
      <c r="X17" s="138"/>
      <c r="Y17" s="138"/>
      <c r="Z17" s="138"/>
      <c r="AA17" s="138"/>
      <c r="AB17" s="138"/>
      <c r="AC17" s="138"/>
      <c r="AD17" s="138"/>
      <c r="AE17" s="138"/>
      <c r="AF17" s="138"/>
      <c r="AG17" s="138"/>
      <c r="AH17" s="138"/>
      <c r="AI17" s="138"/>
      <c r="AJ17" s="138"/>
      <c r="AK17" s="138"/>
      <c r="AL17" s="138"/>
      <c r="AM17" s="138"/>
    </row>
    <row r="18" spans="1:39" ht="15.6" customHeight="1">
      <c r="A18" s="127"/>
      <c r="B18" s="131"/>
      <c r="C18" s="132"/>
      <c r="D18" s="133"/>
      <c r="E18" s="133"/>
      <c r="F18" s="134"/>
      <c r="G18" s="131"/>
      <c r="H18" s="131"/>
      <c r="I18" s="135"/>
      <c r="J18" s="136"/>
      <c r="K18" s="127"/>
      <c r="L18" s="198">
        <v>1</v>
      </c>
      <c r="M18" s="199" t="str">
        <f>IF(INDEX(calc!$Z$7:$Z$400,'Report Dashboard'!$L18,1)&lt;&gt;"",INDEX(calc!$Z$7:$Z$400,'Report Dashboard'!$L18,1),"")</f>
        <v>پ/113-1404</v>
      </c>
      <c r="N18" s="199" t="str">
        <f>IFERROR(INDEX(invoice[تاریخ],MATCH('Report Dashboard'!M18,invoice[شماره پیش فاکتور],0)),"")</f>
        <v>1404/10/30</v>
      </c>
      <c r="O18" s="199">
        <f>IFERROR(INDEX(invoice[تاریخ مجوز بهره برداری],MATCH('Report Dashboard'!M18,invoice[شماره پیش فاکتور],0)),"")</f>
        <v>46042</v>
      </c>
      <c r="P18" s="200">
        <f>IFERROR(INDEX(invoice[تاریخ انقضا],MATCH('Report Dashboard'!M18,invoice[شماره پیش فاکتور],0)),"")</f>
        <v>46466</v>
      </c>
      <c r="Q18" s="200" t="str">
        <f>IFERROR(INDEX(invoice[نوع شرکت],MATCH('Report Dashboard'!M18,invoice[شماره پیش فاکتور],0)),"")</f>
        <v>تولید کننده</v>
      </c>
      <c r="R18" s="201">
        <f>IFERROR(INDEX(invoice[میزان سفارش],MATCH('Report Dashboard'!M18,invoice[شماره پیش فاکتور],0)),"")</f>
        <v>400000</v>
      </c>
      <c r="S18" s="199" t="str">
        <f t="array" ref="S18">IFERROR(INDEX(invoice[نوع سفارش],MATCH('Report Dashboard'!M18,invoice[شماره پیش فاکتور],0)),"")</f>
        <v>عادی</v>
      </c>
      <c r="T18" s="202">
        <f>IFERROR(INDEX(invoice[فی],MATCH('Report Dashboard'!M18,invoice[شماره پیش فاکتور],0)),"")</f>
        <v>125000</v>
      </c>
      <c r="U18" s="202">
        <f>IF(INDEX(calc!$AB$7:$AB$400,'Report Dashboard'!$L18,1)&lt;&gt;"",INDEX(calc!$AB$7:$AB$400,'Report Dashboard'!$L18,1),"")</f>
        <v>95590</v>
      </c>
      <c r="V18" s="142">
        <f t="shared" ref="V18:V33" si="0">IFERROR(IF(AND(R18&lt;&gt;"",U18=""),"در انتظار بارگیری",IF(R18&lt;&gt;0,U18/R18,0)),"")</f>
        <v>0.23897499999999999</v>
      </c>
      <c r="W18" s="201">
        <f t="shared" ref="W18:W33" si="1">IF(U18="",R18,R18-U18)</f>
        <v>304410</v>
      </c>
      <c r="X18" s="138"/>
      <c r="Y18" s="138"/>
      <c r="Z18" s="138"/>
      <c r="AA18" s="138"/>
      <c r="AB18" s="138"/>
      <c r="AC18" s="138"/>
      <c r="AD18" s="138"/>
      <c r="AE18" s="138"/>
      <c r="AF18" s="138"/>
      <c r="AG18" s="138"/>
      <c r="AH18" s="138"/>
      <c r="AI18" s="138"/>
      <c r="AJ18" s="138"/>
      <c r="AK18" s="138"/>
      <c r="AL18" s="138"/>
      <c r="AM18" s="138"/>
    </row>
    <row r="19" spans="1:39" ht="15.6" customHeight="1">
      <c r="A19" s="127"/>
      <c r="B19" s="131"/>
      <c r="C19" s="132"/>
      <c r="D19" s="133"/>
      <c r="E19" s="133"/>
      <c r="F19" s="134"/>
      <c r="G19" s="131"/>
      <c r="H19" s="131"/>
      <c r="I19" s="135"/>
      <c r="J19" s="136"/>
      <c r="K19" s="127"/>
      <c r="L19" s="203">
        <f t="shared" ref="L19:L37" si="2">L18+1</f>
        <v>2</v>
      </c>
      <c r="M19" s="196" t="str">
        <f>IF(INDEX(calc!$Z$7:$Z$400,'Report Dashboard'!$L19,1)&lt;&gt;"",INDEX(calc!$Z$7:$Z$400,'Report Dashboard'!$L19,1),"")</f>
        <v>پ/37-1402</v>
      </c>
      <c r="N19" s="196" t="str">
        <f>IFERROR(INDEX(invoice[تاریخ],MATCH('Report Dashboard'!M19,invoice[شماره پیش فاکتور],0)),"")</f>
        <v>1403/01/01</v>
      </c>
      <c r="O19" s="196" t="str">
        <f>IFERROR(INDEX(invoice[تاریخ مجوز بهره برداری],MATCH('Report Dashboard'!M19,invoice[شماره پیش فاکتور],0)),"")</f>
        <v>1403/03/31</v>
      </c>
      <c r="P19" s="197">
        <f>IFERROR(INDEX(invoice[تاریخ انقضا],MATCH('Report Dashboard'!M19,invoice[شماره پیش فاکتور],0)),"")</f>
        <v>46466</v>
      </c>
      <c r="Q19" s="197" t="str">
        <f>IFERROR(INDEX(invoice[نوع شرکت],MATCH('Report Dashboard'!M19,invoice[شماره پیش فاکتور],0)),"")</f>
        <v>تولید کننده</v>
      </c>
      <c r="R19" s="192">
        <f>IFERROR(INDEX(invoice[میزان سفارش],MATCH('Report Dashboard'!M19,invoice[شماره پیش فاکتور],0)),"")</f>
        <v>100000</v>
      </c>
      <c r="S19" s="196" t="str">
        <f t="array" ref="S19">IFERROR(INDEX(invoice[نوع سفارش],MATCH('Report Dashboard'!M19,invoice[شماره پیش فاکتور],0)),"")</f>
        <v>عادی</v>
      </c>
      <c r="T19" s="137">
        <f>IFERROR(INDEX(invoice[فی],MATCH('Report Dashboard'!M19,invoice[شماره پیش فاکتور],0)),"")</f>
        <v>50000</v>
      </c>
      <c r="U19" s="137">
        <f>IF(INDEX(calc!$AB$7:$AB$400,'Report Dashboard'!$L19,1)&lt;&gt;"",INDEX(calc!$AB$7:$AB$400,'Report Dashboard'!$L19,1),"")</f>
        <v>100000</v>
      </c>
      <c r="V19" s="141">
        <f t="shared" si="0"/>
        <v>1</v>
      </c>
      <c r="W19" s="208">
        <f t="shared" si="1"/>
        <v>0</v>
      </c>
      <c r="X19" s="138"/>
      <c r="Y19" s="125"/>
      <c r="Z19" s="139"/>
      <c r="AA19" s="266"/>
      <c r="AB19" s="266"/>
      <c r="AC19" s="138"/>
      <c r="AD19" s="123"/>
      <c r="AE19" s="123"/>
      <c r="AF19" s="123"/>
      <c r="AG19" s="123"/>
      <c r="AH19" s="138"/>
      <c r="AI19" s="138"/>
      <c r="AJ19" s="138"/>
      <c r="AK19" s="138"/>
      <c r="AL19" s="138"/>
      <c r="AM19" s="138"/>
    </row>
    <row r="20" spans="1:39" ht="15.6" customHeight="1">
      <c r="A20" s="127"/>
      <c r="B20" s="131"/>
      <c r="C20" s="132"/>
      <c r="D20" s="133"/>
      <c r="E20" s="133"/>
      <c r="F20" s="134"/>
      <c r="G20" s="131"/>
      <c r="H20" s="131"/>
      <c r="I20" s="135"/>
      <c r="J20" s="136"/>
      <c r="K20" s="127"/>
      <c r="L20" s="204">
        <f t="shared" si="2"/>
        <v>3</v>
      </c>
      <c r="M20" s="205" t="str">
        <f>IF(INDEX(calc!$Z$7:$Z$400,'Report Dashboard'!$L20,1)&lt;&gt;"",INDEX(calc!$Z$7:$Z$400,'Report Dashboard'!$L20,1),"")</f>
        <v>پ/38-1402</v>
      </c>
      <c r="N20" s="205" t="str">
        <f>IFERROR(INDEX(invoice[تاریخ],MATCH('Report Dashboard'!M20,invoice[شماره پیش فاکتور],0)),"")</f>
        <v>1403/01/01</v>
      </c>
      <c r="O20" s="205" t="str">
        <f>IFERROR(INDEX(invoice[تاریخ مجوز بهره برداری],MATCH('Report Dashboard'!M20,invoice[شماره پیش فاکتور],0)),"")</f>
        <v>1403/01/07</v>
      </c>
      <c r="P20" s="206">
        <f>IFERROR(INDEX(invoice[تاریخ انقضا],MATCH('Report Dashboard'!M20,invoice[شماره پیش فاکتور],0)),"")</f>
        <v>46466</v>
      </c>
      <c r="Q20" s="206" t="str">
        <f>IFERROR(INDEX(invoice[نوع شرکت],MATCH('Report Dashboard'!M20,invoice[شماره پیش فاکتور],0)),"")</f>
        <v>تولید کننده</v>
      </c>
      <c r="R20" s="140">
        <f>IFERROR(INDEX(invoice[میزان سفارش],MATCH('Report Dashboard'!M20,invoice[شماره پیش فاکتور],0)),"")</f>
        <v>902430</v>
      </c>
      <c r="S20" s="205" t="str">
        <f t="array" ref="S20">IFERROR(INDEX(invoice[نوع سفارش],MATCH('Report Dashboard'!M20,invoice[شماره پیش فاکتور],0)),"")</f>
        <v>عادی</v>
      </c>
      <c r="T20" s="140">
        <f>IFERROR(INDEX(invoice[فی],MATCH('Report Dashboard'!M20,invoice[شماره پیش فاکتور],0)),"")</f>
        <v>65000</v>
      </c>
      <c r="U20" s="140">
        <f>IF(INDEX(calc!$AB$7:$AB$400,'Report Dashboard'!$L20,1)&lt;&gt;"",INDEX(calc!$AB$7:$AB$400,'Report Dashboard'!$L20,1),"")</f>
        <v>902430</v>
      </c>
      <c r="V20" s="142">
        <f t="shared" si="0"/>
        <v>1</v>
      </c>
      <c r="W20" s="207">
        <f t="shared" si="1"/>
        <v>0</v>
      </c>
      <c r="X20" s="138"/>
      <c r="Y20" s="364" t="s">
        <v>295</v>
      </c>
      <c r="Z20" s="364"/>
      <c r="AA20" s="357"/>
      <c r="AB20" s="357"/>
      <c r="AC20" s="138"/>
      <c r="AD20" s="364" t="s">
        <v>301</v>
      </c>
      <c r="AE20" s="364"/>
      <c r="AF20" s="267"/>
      <c r="AG20" s="267"/>
      <c r="AH20" s="138"/>
      <c r="AI20" s="138"/>
      <c r="AJ20" s="138"/>
      <c r="AK20" s="138"/>
      <c r="AL20" s="138"/>
      <c r="AM20" s="138"/>
    </row>
    <row r="21" spans="1:39" ht="15.6" customHeight="1">
      <c r="A21" s="127"/>
      <c r="B21" s="131"/>
      <c r="C21" s="132"/>
      <c r="D21" s="133"/>
      <c r="E21" s="133"/>
      <c r="F21" s="134"/>
      <c r="G21" s="131"/>
      <c r="H21" s="131"/>
      <c r="I21" s="135"/>
      <c r="J21" s="136"/>
      <c r="K21" s="127"/>
      <c r="L21" s="203">
        <f t="shared" si="2"/>
        <v>4</v>
      </c>
      <c r="M21" s="196" t="str">
        <f>IF(INDEX(calc!$Z$7:$Z$400,'Report Dashboard'!$L21,1)&lt;&gt;"",INDEX(calc!$Z$7:$Z$400,'Report Dashboard'!$L21,1),"")</f>
        <v>پ/2-1403</v>
      </c>
      <c r="N21" s="196" t="str">
        <f>IFERROR(INDEX(invoice[تاریخ],MATCH('Report Dashboard'!M21,invoice[شماره پیش فاکتور],0)),"")</f>
        <v>1403/01/25</v>
      </c>
      <c r="O21" s="196" t="str">
        <f>IFERROR(INDEX(invoice[تاریخ مجوز بهره برداری],MATCH('Report Dashboard'!M21,invoice[شماره پیش فاکتور],0)),"")</f>
        <v>1403/10/26</v>
      </c>
      <c r="P21" s="197">
        <f>IFERROR(INDEX(invoice[تاریخ انقضا],MATCH('Report Dashboard'!M21,invoice[شماره پیش فاکتور],0)),"")</f>
        <v>46466</v>
      </c>
      <c r="Q21" s="197" t="str">
        <f>IFERROR(INDEX(invoice[نوع شرکت],MATCH('Report Dashboard'!M21,invoice[شماره پیش فاکتور],0)),"")</f>
        <v>تولید کننده</v>
      </c>
      <c r="R21" s="137">
        <f>IFERROR(INDEX(invoice[میزان سفارش],MATCH('Report Dashboard'!M21,invoice[شماره پیش فاکتور],0)),"")</f>
        <v>200000</v>
      </c>
      <c r="S21" s="196" t="str">
        <f t="array" ref="S21">IFERROR(INDEX(invoice[نوع سفارش],MATCH('Report Dashboard'!M21,invoice[شماره پیش فاکتور],0)),"")</f>
        <v>عادی</v>
      </c>
      <c r="T21" s="137">
        <f>IFERROR(INDEX(invoice[فی],MATCH('Report Dashboard'!M21,invoice[شماره پیش فاکتور],0)),"")</f>
        <v>70000</v>
      </c>
      <c r="U21" s="137">
        <f>IF(INDEX(calc!$AB$7:$AB$400,'Report Dashboard'!$L21,1)&lt;&gt;"",INDEX(calc!$AB$7:$AB$400,'Report Dashboard'!$L21,1),"")</f>
        <v>200000</v>
      </c>
      <c r="V21" s="141">
        <f t="shared" si="0"/>
        <v>1</v>
      </c>
      <c r="W21" s="208">
        <f t="shared" si="1"/>
        <v>0</v>
      </c>
      <c r="X21" s="138"/>
      <c r="Y21" s="126"/>
      <c r="Z21" s="139"/>
      <c r="AA21" s="266"/>
      <c r="AB21" s="266"/>
      <c r="AC21" s="138"/>
      <c r="AD21" s="126"/>
      <c r="AE21" s="123"/>
      <c r="AF21" s="123"/>
      <c r="AG21" s="123"/>
      <c r="AH21" s="138"/>
      <c r="AI21" s="138"/>
      <c r="AJ21" s="138"/>
      <c r="AK21" s="138"/>
      <c r="AL21" s="138"/>
      <c r="AM21" s="138"/>
    </row>
    <row r="22" spans="1:39" ht="15.6" customHeight="1">
      <c r="A22" s="127"/>
      <c r="B22" s="131"/>
      <c r="C22" s="132"/>
      <c r="D22" s="133"/>
      <c r="E22" s="133"/>
      <c r="F22" s="134"/>
      <c r="G22" s="131"/>
      <c r="H22" s="131"/>
      <c r="I22" s="135"/>
      <c r="J22" s="136"/>
      <c r="K22" s="127"/>
      <c r="L22" s="204">
        <f t="shared" si="2"/>
        <v>5</v>
      </c>
      <c r="M22" s="205" t="str">
        <f>IF(INDEX(calc!$Z$7:$Z$400,'Report Dashboard'!$L22,1)&lt;&gt;"",INDEX(calc!$Z$7:$Z$400,'Report Dashboard'!$L22,1),"")</f>
        <v>پ/40-1402</v>
      </c>
      <c r="N22" s="205" t="str">
        <f>IFERROR(INDEX(invoice[تاریخ],MATCH('Report Dashboard'!M22,invoice[شماره پیش فاکتور],0)),"")</f>
        <v>1403/01/01</v>
      </c>
      <c r="O22" s="205" t="str">
        <f>IFERROR(INDEX(invoice[تاریخ مجوز بهره برداری],MATCH('Report Dashboard'!M22,invoice[شماره پیش فاکتور],0)),"")</f>
        <v>1403/01/25</v>
      </c>
      <c r="P22" s="206">
        <f>IFERROR(INDEX(invoice[تاریخ انقضا],MATCH('Report Dashboard'!M22,invoice[شماره پیش فاکتور],0)),"")</f>
        <v>46466</v>
      </c>
      <c r="Q22" s="206" t="str">
        <f>IFERROR(INDEX(invoice[نوع شرکت],MATCH('Report Dashboard'!M22,invoice[شماره پیش فاکتور],0)),"")</f>
        <v>تولید کننده</v>
      </c>
      <c r="R22" s="140">
        <f>IFERROR(INDEX(invoice[میزان سفارش],MATCH('Report Dashboard'!M22,invoice[شماره پیش فاکتور],0)),"")</f>
        <v>100000</v>
      </c>
      <c r="S22" s="205" t="str">
        <f t="array" ref="S22">IFERROR(INDEX(invoice[نوع سفارش],MATCH('Report Dashboard'!M22,invoice[شماره پیش فاکتور],0)),"")</f>
        <v>عادی</v>
      </c>
      <c r="T22" s="140">
        <f>IFERROR(INDEX(invoice[فی],MATCH('Report Dashboard'!M22,invoice[شماره پیش فاکتور],0)),"")</f>
        <v>50000</v>
      </c>
      <c r="U22" s="140">
        <f>IF(INDEX(calc!$AB$7:$AB$400,'Report Dashboard'!$L22,1)&lt;&gt;"",INDEX(calc!$AB$7:$AB$400,'Report Dashboard'!$L22,1),"")</f>
        <v>100000</v>
      </c>
      <c r="V22" s="142">
        <f t="shared" si="0"/>
        <v>1</v>
      </c>
      <c r="W22" s="207">
        <f t="shared" si="1"/>
        <v>0</v>
      </c>
      <c r="X22" s="138"/>
      <c r="Y22" s="364" t="s">
        <v>305</v>
      </c>
      <c r="Z22" s="364"/>
      <c r="AA22" s="267"/>
      <c r="AB22" s="267"/>
      <c r="AC22" s="138"/>
      <c r="AD22" s="364" t="s">
        <v>300</v>
      </c>
      <c r="AE22" s="364"/>
      <c r="AF22" s="267"/>
      <c r="AG22" s="267"/>
      <c r="AH22" s="138"/>
      <c r="AI22" s="138"/>
      <c r="AJ22" s="138"/>
      <c r="AK22" s="138"/>
      <c r="AL22" s="138"/>
      <c r="AM22" s="138"/>
    </row>
    <row r="23" spans="1:39" ht="15.6" customHeight="1">
      <c r="A23" s="127"/>
      <c r="B23" s="131"/>
      <c r="C23" s="132"/>
      <c r="D23" s="133"/>
      <c r="E23" s="133"/>
      <c r="F23" s="134"/>
      <c r="G23" s="131"/>
      <c r="H23" s="131"/>
      <c r="I23" s="135"/>
      <c r="J23" s="136"/>
      <c r="K23" s="127"/>
      <c r="L23" s="203">
        <f t="shared" si="2"/>
        <v>6</v>
      </c>
      <c r="M23" s="196" t="str">
        <f>IF(INDEX(calc!$Z$7:$Z$400,'Report Dashboard'!$L23,1)&lt;&gt;"",INDEX(calc!$Z$7:$Z$400,'Report Dashboard'!$L23,1),"")</f>
        <v>پ/102-1404</v>
      </c>
      <c r="N23" s="196" t="str">
        <f>IFERROR(INDEX(invoice[تاریخ],MATCH('Report Dashboard'!M23,invoice[شماره پیش فاکتور],0)),"")</f>
        <v>1404/10/07</v>
      </c>
      <c r="O23" s="196" t="str">
        <f>IFERROR(INDEX(invoice[تاریخ مجوز بهره برداری],MATCH('Report Dashboard'!M23,invoice[شماره پیش فاکتور],0)),"")</f>
        <v>1404/10/09</v>
      </c>
      <c r="P23" s="197">
        <f>IFERROR(INDEX(invoice[تاریخ انقضا],MATCH('Report Dashboard'!M23,invoice[شماره پیش فاکتور],0)),"")</f>
        <v>46466</v>
      </c>
      <c r="Q23" s="197" t="str">
        <f>IFERROR(INDEX(invoice[نوع شرکت],MATCH('Report Dashboard'!M23,invoice[شماره پیش فاکتور],0)),"")</f>
        <v>تولید کننده</v>
      </c>
      <c r="R23" s="137">
        <f>IFERROR(INDEX(invoice[میزان سفارش],MATCH('Report Dashboard'!M23,invoice[شماره پیش فاکتور],0)),"")</f>
        <v>500000</v>
      </c>
      <c r="S23" s="196" t="str">
        <f t="array" ref="S23">IFERROR(INDEX(invoice[نوع سفارش],MATCH('Report Dashboard'!M23,invoice[شماره پیش فاکتور],0)),"")</f>
        <v>عادی</v>
      </c>
      <c r="T23" s="137">
        <f>IFERROR(INDEX(invoice[فی],MATCH('Report Dashboard'!M23,invoice[شماره پیش فاکتور],0)),"")</f>
        <v>125000</v>
      </c>
      <c r="U23" s="137">
        <f>IF(INDEX(calc!$AB$7:$AB$400,'Report Dashboard'!$L23,1)&lt;&gt;"",INDEX(calc!$AB$7:$AB$400,'Report Dashboard'!$L23,1),"")</f>
        <v>500000</v>
      </c>
      <c r="V23" s="141">
        <f t="shared" si="0"/>
        <v>1</v>
      </c>
      <c r="W23" s="208">
        <f t="shared" si="1"/>
        <v>0</v>
      </c>
      <c r="X23" s="138"/>
      <c r="Y23" s="126"/>
      <c r="Z23" s="139"/>
      <c r="AA23" s="266"/>
      <c r="AB23" s="266"/>
      <c r="AC23" s="138"/>
      <c r="AD23" s="126"/>
      <c r="AE23" s="123"/>
      <c r="AF23" s="123"/>
      <c r="AG23" s="123"/>
      <c r="AH23" s="138"/>
      <c r="AI23" s="138"/>
      <c r="AJ23" s="138"/>
      <c r="AK23" s="138"/>
      <c r="AL23" s="138"/>
      <c r="AM23" s="138"/>
    </row>
    <row r="24" spans="1:39" ht="15.6" customHeight="1">
      <c r="A24" s="127"/>
      <c r="B24" s="131"/>
      <c r="C24" s="132"/>
      <c r="D24" s="133"/>
      <c r="E24" s="133"/>
      <c r="F24" s="134"/>
      <c r="G24" s="131"/>
      <c r="H24" s="131"/>
      <c r="I24" s="135"/>
      <c r="J24" s="136"/>
      <c r="K24" s="127"/>
      <c r="L24" s="204">
        <f t="shared" si="2"/>
        <v>7</v>
      </c>
      <c r="M24" s="205" t="str">
        <f>IF(INDEX(calc!$Z$7:$Z$400,'Report Dashboard'!$L24,1)&lt;&gt;"",INDEX(calc!$Z$7:$Z$400,'Report Dashboard'!$L24,1),"")</f>
        <v>پ/48-1403</v>
      </c>
      <c r="N24" s="205" t="str">
        <f>IFERROR(INDEX(invoice[تاریخ],MATCH('Report Dashboard'!M24,invoice[شماره پیش فاکتور],0)),"")</f>
        <v>1403/10/29</v>
      </c>
      <c r="O24" s="205" t="str">
        <f>IFERROR(INDEX(invoice[تاریخ مجوز بهره برداری],MATCH('Report Dashboard'!M24,invoice[شماره پیش فاکتور],0)),"")</f>
        <v>1403/11/15</v>
      </c>
      <c r="P24" s="206">
        <f>IFERROR(INDEX(invoice[تاریخ انقضا],MATCH('Report Dashboard'!M24,invoice[شماره پیش فاکتور],0)),"")</f>
        <v>46466</v>
      </c>
      <c r="Q24" s="206" t="str">
        <f>IFERROR(INDEX(invoice[نوع شرکت],MATCH('Report Dashboard'!M24,invoice[شماره پیش فاکتور],0)),"")</f>
        <v>تولید کننده</v>
      </c>
      <c r="R24" s="140">
        <f>IFERROR(INDEX(invoice[میزان سفارش],MATCH('Report Dashboard'!M24,invoice[شماره پیش فاکتور],0)),"")</f>
        <v>300000</v>
      </c>
      <c r="S24" s="205" t="str">
        <f t="array" ref="S24">IFERROR(INDEX(invoice[نوع سفارش],MATCH('Report Dashboard'!M24,invoice[شماره پیش فاکتور],0)),"")</f>
        <v>عادی</v>
      </c>
      <c r="T24" s="140">
        <f>IFERROR(INDEX(invoice[فی],MATCH('Report Dashboard'!M24,invoice[شماره پیش فاکتور],0)),"")</f>
        <v>80000</v>
      </c>
      <c r="U24" s="140">
        <f>IF(INDEX(calc!$AB$7:$AB$400,'Report Dashboard'!$L24,1)&lt;&gt;"",INDEX(calc!$AB$7:$AB$400,'Report Dashboard'!$L24,1),"")</f>
        <v>300000</v>
      </c>
      <c r="V24" s="142">
        <f t="shared" si="0"/>
        <v>1</v>
      </c>
      <c r="W24" s="207">
        <f t="shared" si="1"/>
        <v>0</v>
      </c>
      <c r="X24" s="138"/>
      <c r="Y24" s="364" t="s">
        <v>311</v>
      </c>
      <c r="Z24" s="364"/>
      <c r="AA24" s="268"/>
      <c r="AB24" s="268"/>
      <c r="AC24" s="138"/>
      <c r="AD24" s="364" t="s">
        <v>299</v>
      </c>
      <c r="AE24" s="364"/>
      <c r="AF24" s="268"/>
      <c r="AG24" s="268"/>
      <c r="AH24" s="138"/>
      <c r="AI24" s="153"/>
      <c r="AJ24" s="138"/>
      <c r="AK24" s="138"/>
      <c r="AL24" s="138"/>
      <c r="AM24" s="138"/>
    </row>
    <row r="25" spans="1:39" ht="15.6" customHeight="1">
      <c r="A25" s="127"/>
      <c r="B25" s="131"/>
      <c r="C25" s="132"/>
      <c r="D25" s="133"/>
      <c r="E25" s="133"/>
      <c r="F25" s="134"/>
      <c r="G25" s="131"/>
      <c r="H25" s="131"/>
      <c r="I25" s="135"/>
      <c r="J25" s="136"/>
      <c r="K25" s="127"/>
      <c r="L25" s="203">
        <f t="shared" si="2"/>
        <v>8</v>
      </c>
      <c r="M25" s="196" t="str">
        <f>IF(INDEX(calc!$Z$7:$Z$400,'Report Dashboard'!$L25,1)&lt;&gt;"",INDEX(calc!$Z$7:$Z$400,'Report Dashboard'!$L25,1),"")</f>
        <v>پ/32-1403</v>
      </c>
      <c r="N25" s="196" t="str">
        <f>IFERROR(INDEX(invoice[تاریخ],MATCH('Report Dashboard'!M25,invoice[شماره پیش فاکتور],0)),"")</f>
        <v>1403/11/03</v>
      </c>
      <c r="O25" s="196" t="str">
        <f>IFERROR(INDEX(invoice[تاریخ مجوز بهره برداری],MATCH('Report Dashboard'!M25,invoice[شماره پیش فاکتور],0)),"")</f>
        <v>1403/11/03</v>
      </c>
      <c r="P25" s="197">
        <f>IFERROR(INDEX(invoice[تاریخ انقضا],MATCH('Report Dashboard'!M25,invoice[شماره پیش فاکتور],0)),"")</f>
        <v>46466</v>
      </c>
      <c r="Q25" s="137" t="str">
        <f>IFERROR(INDEX(invoice[نوع شرکت],MATCH('Report Dashboard'!M25,invoice[شماره پیش فاکتور],0)),"")</f>
        <v>تولید کننده</v>
      </c>
      <c r="R25" s="137">
        <f>IFERROR(INDEX(invoice[میزان سفارش],MATCH('Report Dashboard'!M25,invoice[شماره پیش فاکتور],0)),"")</f>
        <v>1000000</v>
      </c>
      <c r="S25" s="196" t="str">
        <f t="array" ref="S25">IFERROR(INDEX(invoice[نوع سفارش],MATCH('Report Dashboard'!M25,invoice[شماره پیش فاکتور],0)),"")</f>
        <v>عادی</v>
      </c>
      <c r="T25" s="137">
        <f>IFERROR(INDEX(invoice[فی],MATCH('Report Dashboard'!M25,invoice[شماره پیش فاکتور],0)),"")</f>
        <v>80000</v>
      </c>
      <c r="U25" s="137">
        <f>IF(INDEX(calc!$AB$7:$AB$400,'Report Dashboard'!$L25,1)&lt;&gt;"",INDEX(calc!$AB$7:$AB$400,'Report Dashboard'!$L25,1),"")</f>
        <v>1000000</v>
      </c>
      <c r="V25" s="141">
        <f t="shared" si="0"/>
        <v>1</v>
      </c>
      <c r="W25" s="208">
        <f t="shared" si="1"/>
        <v>0</v>
      </c>
      <c r="X25" s="138"/>
      <c r="Y25" s="126"/>
      <c r="Z25" s="139"/>
      <c r="AA25" s="266"/>
      <c r="AB25" s="266"/>
      <c r="AC25" s="138"/>
      <c r="AD25" s="126"/>
      <c r="AE25" s="123"/>
      <c r="AF25" s="123"/>
      <c r="AG25" s="123"/>
      <c r="AH25" s="138"/>
      <c r="AI25" s="138"/>
      <c r="AJ25" s="138"/>
      <c r="AK25" s="138"/>
      <c r="AL25" s="138"/>
      <c r="AM25" s="138"/>
    </row>
    <row r="26" spans="1:39" ht="15.6" customHeight="1">
      <c r="A26" s="127"/>
      <c r="B26" s="131"/>
      <c r="C26" s="132"/>
      <c r="D26" s="133"/>
      <c r="E26" s="133"/>
      <c r="F26" s="134"/>
      <c r="G26" s="131"/>
      <c r="H26" s="131"/>
      <c r="I26" s="135"/>
      <c r="J26" s="136"/>
      <c r="K26" s="127"/>
      <c r="L26" s="204">
        <f t="shared" si="2"/>
        <v>9</v>
      </c>
      <c r="M26" s="205" t="str">
        <f>IF(INDEX(calc!$Z$7:$Z$400,'Report Dashboard'!$L26,1)&lt;&gt;"",INDEX(calc!$Z$7:$Z$400,'Report Dashboard'!$L26,1),"")</f>
        <v>پ/68-1404</v>
      </c>
      <c r="N26" s="205" t="str">
        <f>IFERROR(INDEX(invoice[تاریخ],MATCH('Report Dashboard'!M26,invoice[شماره پیش فاکتور],0)),"")</f>
        <v>1404/06/30</v>
      </c>
      <c r="O26" s="205">
        <f>IFERROR(INDEX(invoice[تاریخ مجوز بهره برداری],MATCH('Report Dashboard'!M26,invoice[شماره پیش فاکتور],0)),"")</f>
        <v>45923</v>
      </c>
      <c r="P26" s="206">
        <f>IFERROR(INDEX(invoice[تاریخ انقضا],MATCH('Report Dashboard'!M26,invoice[شماره پیش فاکتور],0)),"")</f>
        <v>46466</v>
      </c>
      <c r="Q26" s="206" t="str">
        <f>IFERROR(INDEX(invoice[نوع شرکت],MATCH('Report Dashboard'!M26,invoice[شماره پیش فاکتور],0)),"")</f>
        <v>تولید کننده</v>
      </c>
      <c r="R26" s="140">
        <f>IFERROR(INDEX(invoice[میزان سفارش],MATCH('Report Dashboard'!M26,invoice[شماره پیش فاکتور],0)),"")</f>
        <v>500000</v>
      </c>
      <c r="S26" s="205" t="str">
        <f t="array" ref="S26">IFERROR(INDEX(invoice[نوع سفارش],MATCH('Report Dashboard'!M26,invoice[شماره پیش فاکتور],0)),"")</f>
        <v>عادی</v>
      </c>
      <c r="T26" s="140">
        <f>IFERROR(INDEX(invoice[فی],MATCH('Report Dashboard'!M26,invoice[شماره پیش فاکتور],0)),"")</f>
        <v>111000</v>
      </c>
      <c r="U26" s="140">
        <f>IF(INDEX(calc!$AB$7:$AB$400,'Report Dashboard'!$L26,1)&lt;&gt;"",INDEX(calc!$AB$7:$AB$400,'Report Dashboard'!$L26,1),"")</f>
        <v>500000</v>
      </c>
      <c r="V26" s="142">
        <f t="shared" si="0"/>
        <v>1</v>
      </c>
      <c r="W26" s="207">
        <f t="shared" si="1"/>
        <v>0</v>
      </c>
      <c r="X26" s="138"/>
      <c r="Y26" s="364" t="s">
        <v>304</v>
      </c>
      <c r="Z26" s="364"/>
      <c r="AA26" s="358"/>
      <c r="AB26" s="358"/>
      <c r="AC26" s="138"/>
      <c r="AD26" s="365" t="s">
        <v>298</v>
      </c>
      <c r="AE26" s="365"/>
      <c r="AF26" s="268"/>
      <c r="AG26" s="268"/>
      <c r="AH26" s="138"/>
      <c r="AI26" s="138"/>
      <c r="AJ26" s="138"/>
      <c r="AK26" s="138"/>
      <c r="AL26" s="138"/>
      <c r="AM26" s="138"/>
    </row>
    <row r="27" spans="1:39" ht="15.6" customHeight="1">
      <c r="A27" s="127"/>
      <c r="B27" s="131"/>
      <c r="C27" s="132"/>
      <c r="D27" s="133"/>
      <c r="E27" s="133"/>
      <c r="F27" s="134"/>
      <c r="G27" s="131"/>
      <c r="H27" s="131"/>
      <c r="I27" s="135"/>
      <c r="J27" s="136"/>
      <c r="K27" s="127"/>
      <c r="L27" s="203">
        <f t="shared" si="2"/>
        <v>10</v>
      </c>
      <c r="M27" s="196" t="str">
        <f>IF(INDEX(calc!$Z$7:$Z$400,'Report Dashboard'!$L27,1)&lt;&gt;"",INDEX(calc!$Z$7:$Z$400,'Report Dashboard'!$L27,1),"")</f>
        <v/>
      </c>
      <c r="N27" s="196" t="str">
        <f>IFERROR(INDEX(invoice[تاریخ],MATCH('Report Dashboard'!M27,invoice[شماره پیش فاکتور],0)),"")</f>
        <v/>
      </c>
      <c r="O27" s="196" t="str">
        <f>IFERROR(INDEX(invoice[تاریخ مجوز بهره برداری],MATCH('Report Dashboard'!M27,invoice[شماره پیش فاکتور],0)),"")</f>
        <v/>
      </c>
      <c r="P27" s="197" t="str">
        <f>IFERROR(INDEX(invoice[تاریخ انقضا],MATCH('Report Dashboard'!M27,invoice[شماره پیش فاکتور],0)),"")</f>
        <v/>
      </c>
      <c r="Q27" s="197" t="str">
        <f>IFERROR(INDEX(invoice[نوع شرکت],MATCH('Report Dashboard'!M27,invoice[شماره پیش فاکتور],0)),"")</f>
        <v/>
      </c>
      <c r="R27" s="137" t="str">
        <f>IFERROR(INDEX(invoice[میزان سفارش],MATCH('Report Dashboard'!M27,invoice[شماره پیش فاکتور],0)),"")</f>
        <v/>
      </c>
      <c r="S27" s="196" t="str">
        <f t="array" ref="S27">IFERROR(INDEX(invoice[نوع سفارش],MATCH('Report Dashboard'!M27,invoice[شماره پیش فاکتور],0)),"")</f>
        <v/>
      </c>
      <c r="T27" s="137" t="str">
        <f>IFERROR(INDEX(invoice[فی],MATCH('Report Dashboard'!M27,invoice[شماره پیش فاکتور],0)),"")</f>
        <v/>
      </c>
      <c r="U27" s="137" t="str">
        <f>IF(INDEX(calc!$AB$7:$AB$400,'Report Dashboard'!$L27,1)&lt;&gt;"",INDEX(calc!$AB$7:$AB$400,'Report Dashboard'!$L27,1),"")</f>
        <v/>
      </c>
      <c r="V27" s="141" t="str">
        <f t="shared" si="0"/>
        <v/>
      </c>
      <c r="W27" s="208" t="str">
        <f t="shared" si="1"/>
        <v/>
      </c>
      <c r="X27" s="138"/>
      <c r="Y27" s="126"/>
      <c r="Z27" s="139"/>
      <c r="AA27" s="266"/>
      <c r="AB27" s="266"/>
      <c r="AC27" s="138"/>
      <c r="AD27" s="126"/>
      <c r="AE27" s="123"/>
      <c r="AF27" s="123"/>
      <c r="AG27" s="123"/>
      <c r="AH27" s="138"/>
      <c r="AI27" s="138"/>
      <c r="AJ27" s="138"/>
      <c r="AK27" s="138"/>
      <c r="AL27" s="138"/>
      <c r="AM27" s="138"/>
    </row>
    <row r="28" spans="1:39" ht="15.6" customHeight="1">
      <c r="A28" s="127"/>
      <c r="B28" s="131"/>
      <c r="C28" s="132"/>
      <c r="D28" s="133"/>
      <c r="E28" s="133"/>
      <c r="F28" s="134"/>
      <c r="G28" s="131"/>
      <c r="H28" s="131"/>
      <c r="I28" s="135"/>
      <c r="J28" s="136"/>
      <c r="K28" s="127"/>
      <c r="L28" s="204">
        <f t="shared" si="2"/>
        <v>11</v>
      </c>
      <c r="M28" s="205" t="str">
        <f>IF(INDEX(calc!$Z$7:$Z$400,'Report Dashboard'!$L28,1)&lt;&gt;"",INDEX(calc!$Z$7:$Z$400,'Report Dashboard'!$L28,1),"")</f>
        <v/>
      </c>
      <c r="N28" s="205" t="str">
        <f>IFERROR(INDEX(invoice[تاریخ],MATCH('Report Dashboard'!M28,invoice[شماره پیش فاکتور],0)),"")</f>
        <v/>
      </c>
      <c r="O28" s="205" t="str">
        <f>IFERROR(INDEX(invoice[تاریخ مجوز بهره برداری],MATCH('Report Dashboard'!M28,invoice[شماره پیش فاکتور],0)),"")</f>
        <v/>
      </c>
      <c r="P28" s="206" t="str">
        <f>IFERROR(INDEX(invoice[تاریخ انقضا],MATCH('Report Dashboard'!M28,invoice[شماره پیش فاکتور],0)),"")</f>
        <v/>
      </c>
      <c r="Q28" s="206" t="str">
        <f>IFERROR(INDEX(invoice[نوع شرکت],MATCH('Report Dashboard'!M28,invoice[شماره پیش فاکتور],0)),"")</f>
        <v/>
      </c>
      <c r="R28" s="140" t="str">
        <f>IFERROR(INDEX(invoice[میزان سفارش],MATCH('Report Dashboard'!M28,invoice[شماره پیش فاکتور],0)),"")</f>
        <v/>
      </c>
      <c r="S28" s="205" t="str">
        <f t="array" ref="S28">IFERROR(INDEX(invoice[نوع سفارش],MATCH('Report Dashboard'!M28,invoice[شماره پیش فاکتور],0)),"")</f>
        <v/>
      </c>
      <c r="T28" s="140" t="str">
        <f>IFERROR(INDEX(invoice[فی],MATCH('Report Dashboard'!M28,invoice[شماره پیش فاکتور],0)),"")</f>
        <v/>
      </c>
      <c r="U28" s="140" t="str">
        <f>IF(INDEX(calc!$AB$7:$AB$400,'Report Dashboard'!$L28,1)&lt;&gt;"",INDEX(calc!$AB$7:$AB$400,'Report Dashboard'!$L28,1),"")</f>
        <v/>
      </c>
      <c r="V28" s="142" t="str">
        <f t="shared" si="0"/>
        <v/>
      </c>
      <c r="W28" s="207" t="str">
        <f t="shared" si="1"/>
        <v/>
      </c>
      <c r="X28" s="138"/>
      <c r="Y28" s="364" t="s">
        <v>303</v>
      </c>
      <c r="Z28" s="364"/>
      <c r="AA28" s="357"/>
      <c r="AB28" s="357"/>
      <c r="AC28" s="138"/>
      <c r="AD28" s="365" t="s">
        <v>297</v>
      </c>
      <c r="AE28" s="365"/>
      <c r="AF28" s="357"/>
      <c r="AG28" s="357"/>
      <c r="AH28" s="138"/>
      <c r="AI28" s="138"/>
      <c r="AJ28" s="138"/>
      <c r="AK28" s="138"/>
      <c r="AL28" s="138"/>
      <c r="AM28" s="138"/>
    </row>
    <row r="29" spans="1:39" ht="15.6" customHeight="1">
      <c r="A29" s="127"/>
      <c r="B29" s="131"/>
      <c r="C29" s="132"/>
      <c r="D29" s="133"/>
      <c r="E29" s="133"/>
      <c r="F29" s="134"/>
      <c r="G29" s="131"/>
      <c r="H29" s="131"/>
      <c r="I29" s="135"/>
      <c r="J29" s="136"/>
      <c r="K29" s="127"/>
      <c r="L29" s="203">
        <f t="shared" si="2"/>
        <v>12</v>
      </c>
      <c r="M29" s="196" t="str">
        <f>IF(INDEX(calc!$Z$7:$Z$400,'Report Dashboard'!$L29,1)&lt;&gt;"",INDEX(calc!$Z$7:$Z$400,'Report Dashboard'!$L29,1),"")</f>
        <v/>
      </c>
      <c r="N29" s="196" t="str">
        <f>IFERROR(INDEX(invoice[تاریخ],MATCH('Report Dashboard'!M29,invoice[شماره پیش فاکتور],0)),"")</f>
        <v/>
      </c>
      <c r="O29" s="196" t="str">
        <f>IFERROR(INDEX(invoice[تاریخ مجوز بهره برداری],MATCH('Report Dashboard'!M29,invoice[شماره پیش فاکتور],0)),"")</f>
        <v/>
      </c>
      <c r="P29" s="197" t="str">
        <f>IFERROR(INDEX(invoice[تاریخ انقضا],MATCH('Report Dashboard'!M29,invoice[شماره پیش فاکتور],0)),"")</f>
        <v/>
      </c>
      <c r="Q29" s="197" t="str">
        <f>IFERROR(INDEX(invoice[نوع شرکت],MATCH('Report Dashboard'!M29,invoice[شماره پیش فاکتور],0)),"")</f>
        <v/>
      </c>
      <c r="R29" s="137" t="str">
        <f>IFERROR(INDEX(invoice[میزان سفارش],MATCH('Report Dashboard'!M29,invoice[شماره پیش فاکتور],0)),"")</f>
        <v/>
      </c>
      <c r="S29" s="196" t="str">
        <f>IFERROR(INDEX(invoice[نوع سفارش],MATCH('Report Dashboard'!M29,invoice[شماره پیش فاکتور],0)),"")</f>
        <v/>
      </c>
      <c r="T29" s="137" t="str">
        <f>IFERROR(INDEX(invoice[فی],MATCH('Report Dashboard'!M29,invoice[شماره پیش فاکتور],0)),"")</f>
        <v/>
      </c>
      <c r="U29" s="137" t="str">
        <f>IF(INDEX(calc!$AB$7:$AB$400,'Report Dashboard'!$L29,1)&lt;&gt;"",INDEX(calc!$AB$7:$AB$400,'Report Dashboard'!$L29,1),"")</f>
        <v/>
      </c>
      <c r="V29" s="141" t="str">
        <f t="shared" si="0"/>
        <v/>
      </c>
      <c r="W29" s="208" t="str">
        <f t="shared" si="1"/>
        <v/>
      </c>
      <c r="X29" s="138"/>
      <c r="Y29" s="139"/>
      <c r="Z29" s="139"/>
      <c r="AA29" s="139"/>
      <c r="AB29" s="139"/>
      <c r="AC29" s="138"/>
      <c r="AD29" s="123"/>
      <c r="AE29" s="123"/>
      <c r="AF29" s="123"/>
      <c r="AG29" s="123"/>
      <c r="AH29" s="138"/>
      <c r="AI29" s="138"/>
      <c r="AJ29" s="138"/>
      <c r="AK29" s="138"/>
      <c r="AL29" s="138"/>
      <c r="AM29" s="138"/>
    </row>
    <row r="30" spans="1:39" ht="15.6" customHeight="1">
      <c r="A30" s="127"/>
      <c r="B30" s="131"/>
      <c r="C30" s="132"/>
      <c r="D30" s="133"/>
      <c r="E30" s="133"/>
      <c r="F30" s="134"/>
      <c r="G30" s="131"/>
      <c r="H30" s="131"/>
      <c r="I30" s="135"/>
      <c r="J30" s="136"/>
      <c r="K30" s="127"/>
      <c r="L30" s="204">
        <f t="shared" si="2"/>
        <v>13</v>
      </c>
      <c r="M30" s="205" t="str">
        <f>IF(INDEX(calc!$Z$7:$Z$400,'Report Dashboard'!$L30,1)&lt;&gt;"",INDEX(calc!$Z$7:$Z$400,'Report Dashboard'!$L30,1),"")</f>
        <v/>
      </c>
      <c r="N30" s="205" t="str">
        <f>IFERROR(INDEX(invoice[تاریخ],MATCH('Report Dashboard'!M30,invoice[شماره پیش فاکتور],0)),"")</f>
        <v/>
      </c>
      <c r="O30" s="205" t="str">
        <f>IFERROR(INDEX(invoice[تاریخ مجوز بهره برداری],MATCH('Report Dashboard'!M30,invoice[شماره پیش فاکتور],0)),"")</f>
        <v/>
      </c>
      <c r="P30" s="206" t="str">
        <f>IFERROR(INDEX(invoice[تاریخ انقضا],MATCH('Report Dashboard'!M30,invoice[شماره پیش فاکتور],0)),"")</f>
        <v/>
      </c>
      <c r="Q30" s="206" t="str">
        <f>IFERROR(INDEX(invoice[نوع شرکت],MATCH('Report Dashboard'!M30,invoice[شماره پیش فاکتور],0)),"")</f>
        <v/>
      </c>
      <c r="R30" s="140" t="str">
        <f>IFERROR(INDEX(invoice[میزان سفارش],MATCH('Report Dashboard'!M30,invoice[شماره پیش فاکتور],0)),"")</f>
        <v/>
      </c>
      <c r="S30" s="205" t="str">
        <f t="array" ref="S30">IFERROR(INDEX(invoice[نوع سفارش],MATCH('Report Dashboard'!M30,invoice[شماره پیش فاکتور],0)),"")</f>
        <v/>
      </c>
      <c r="T30" s="140" t="str">
        <f>IFERROR(INDEX(invoice[فی],MATCH('Report Dashboard'!M30,invoice[شماره پیش فاکتور],0)),"")</f>
        <v/>
      </c>
      <c r="U30" s="140" t="str">
        <f>IF(INDEX(calc!$AB$7:$AB$400,'Report Dashboard'!$L30,1)&lt;&gt;"",INDEX(calc!$AB$7:$AB$400,'Report Dashboard'!$L30,1),"")</f>
        <v/>
      </c>
      <c r="V30" s="142" t="str">
        <f t="shared" si="0"/>
        <v/>
      </c>
      <c r="W30" s="207" t="str">
        <f t="shared" si="1"/>
        <v/>
      </c>
      <c r="X30" s="138"/>
      <c r="Y30" s="364" t="s">
        <v>302</v>
      </c>
      <c r="Z30" s="364"/>
      <c r="AA30" s="357"/>
      <c r="AB30" s="357"/>
      <c r="AC30" s="138"/>
      <c r="AD30" s="365" t="s">
        <v>296</v>
      </c>
      <c r="AE30" s="365"/>
      <c r="AF30" s="357"/>
      <c r="AG30" s="357"/>
      <c r="AH30" s="138"/>
      <c r="AI30" s="138"/>
      <c r="AJ30" s="138"/>
      <c r="AK30" s="138"/>
      <c r="AL30" s="138"/>
      <c r="AM30" s="138"/>
    </row>
    <row r="31" spans="1:39" ht="15.6" customHeight="1">
      <c r="A31" s="127"/>
      <c r="B31" s="131"/>
      <c r="C31" s="132"/>
      <c r="D31" s="133"/>
      <c r="E31" s="133"/>
      <c r="F31" s="134"/>
      <c r="G31" s="131"/>
      <c r="H31" s="131"/>
      <c r="I31" s="135"/>
      <c r="J31" s="136"/>
      <c r="K31" s="127"/>
      <c r="L31" s="203">
        <f t="shared" si="2"/>
        <v>14</v>
      </c>
      <c r="M31" s="196" t="str">
        <f>IF(INDEX(calc!$Z$7:$Z$400,'Report Dashboard'!$L31,1)&lt;&gt;"",INDEX(calc!$Z$7:$Z$400,'Report Dashboard'!$L31,1),"")</f>
        <v/>
      </c>
      <c r="N31" s="196" t="str">
        <f>IFERROR(INDEX(invoice[تاریخ],MATCH('Report Dashboard'!M31,invoice[شماره پیش فاکتور],0)),"")</f>
        <v/>
      </c>
      <c r="O31" s="196" t="str">
        <f>IFERROR(INDEX(invoice[تاریخ مجوز بهره برداری],MATCH('Report Dashboard'!M31,invoice[شماره پیش فاکتور],0)),"")</f>
        <v/>
      </c>
      <c r="P31" s="197" t="str">
        <f>IFERROR(INDEX(invoice[تاریخ انقضا],MATCH('Report Dashboard'!M31,invoice[شماره پیش فاکتور],0)),"")</f>
        <v/>
      </c>
      <c r="Q31" s="197" t="str">
        <f>IFERROR(INDEX(invoice[نوع شرکت],MATCH('Report Dashboard'!M31,invoice[شماره پیش فاکتور],0)),"")</f>
        <v/>
      </c>
      <c r="R31" s="137" t="str">
        <f>IFERROR(INDEX(invoice[میزان سفارش],MATCH('Report Dashboard'!M31,invoice[شماره پیش فاکتور],0)),"")</f>
        <v/>
      </c>
      <c r="S31" s="196" t="str">
        <f t="array" ref="S31">IFERROR(INDEX(invoice[نوع سفارش],MATCH('Report Dashboard'!M31,invoice[شماره پیش فاکتور],0)),"")</f>
        <v/>
      </c>
      <c r="T31" s="137" t="str">
        <f>IFERROR(INDEX(invoice[فی],MATCH('Report Dashboard'!M31,invoice[شماره پیش فاکتور],0)),"")</f>
        <v/>
      </c>
      <c r="U31" s="137" t="str">
        <f>IF(INDEX(calc!$AB$7:$AB$400,'Report Dashboard'!$L31,1)&lt;&gt;"",INDEX(calc!$AB$7:$AB$400,'Report Dashboard'!$L31,1),"")</f>
        <v/>
      </c>
      <c r="V31" s="141" t="str">
        <f t="shared" si="0"/>
        <v/>
      </c>
      <c r="W31" s="208" t="str">
        <f t="shared" si="1"/>
        <v/>
      </c>
      <c r="X31" s="138"/>
      <c r="Y31" s="138"/>
      <c r="Z31" s="138"/>
      <c r="AA31" s="138"/>
      <c r="AB31" s="138"/>
      <c r="AC31" s="138"/>
      <c r="AD31" s="138"/>
      <c r="AE31" s="138"/>
      <c r="AF31" s="138"/>
      <c r="AG31" s="138"/>
      <c r="AH31" s="138"/>
      <c r="AI31" s="138"/>
      <c r="AJ31" s="138"/>
      <c r="AK31" s="138"/>
      <c r="AL31" s="138"/>
      <c r="AM31" s="138"/>
    </row>
    <row r="32" spans="1:39" ht="15.6" customHeight="1">
      <c r="A32" s="127"/>
      <c r="B32" s="131"/>
      <c r="C32" s="132"/>
      <c r="D32" s="133"/>
      <c r="E32" s="133"/>
      <c r="F32" s="134"/>
      <c r="G32" s="131"/>
      <c r="H32" s="131"/>
      <c r="I32" s="135"/>
      <c r="J32" s="136"/>
      <c r="K32" s="127"/>
      <c r="L32" s="204">
        <f t="shared" si="2"/>
        <v>15</v>
      </c>
      <c r="M32" s="205" t="str">
        <f>IF(INDEX(calc!$Z$7:$Z$400,'Report Dashboard'!$L32,1)&lt;&gt;"",INDEX(calc!$Z$7:$Z$400,'Report Dashboard'!$L32,1),"")</f>
        <v/>
      </c>
      <c r="N32" s="205" t="str">
        <f>IFERROR(INDEX(invoice[تاریخ],MATCH('Report Dashboard'!M32,invoice[شماره پیش فاکتور],0)),"")</f>
        <v/>
      </c>
      <c r="O32" s="205" t="str">
        <f>IFERROR(INDEX(invoice[تاریخ مجوز بهره برداری],MATCH('Report Dashboard'!M32,invoice[شماره پیش فاکتور],0)),"")</f>
        <v/>
      </c>
      <c r="P32" s="206" t="str">
        <f>IFERROR(INDEX(invoice[تاریخ انقضا],MATCH('Report Dashboard'!M32,invoice[شماره پیش فاکتور],0)),"")</f>
        <v/>
      </c>
      <c r="Q32" s="206" t="str">
        <f>IFERROR(INDEX(invoice[نوع شرکت],MATCH('Report Dashboard'!M32,invoice[شماره پیش فاکتور],0)),"")</f>
        <v/>
      </c>
      <c r="R32" s="140" t="str">
        <f>IFERROR(INDEX(invoice[میزان سفارش],MATCH('Report Dashboard'!M32,invoice[شماره پیش فاکتور],0)),"")</f>
        <v/>
      </c>
      <c r="S32" s="205" t="str">
        <f t="array" ref="S32">IFERROR(INDEX(invoice[نوع سفارش],MATCH('Report Dashboard'!M32,invoice[شماره پیش فاکتور],0)),"")</f>
        <v/>
      </c>
      <c r="T32" s="140" t="str">
        <f>IFERROR(INDEX(invoice[فی],MATCH('Report Dashboard'!M32,invoice[شماره پیش فاکتور],0)),"")</f>
        <v/>
      </c>
      <c r="U32" s="140" t="str">
        <f>IF(INDEX(calc!$AB$7:$AB$400,'Report Dashboard'!$L32,1)&lt;&gt;"",INDEX(calc!$AB$7:$AB$400,'Report Dashboard'!$L32,1),"")</f>
        <v/>
      </c>
      <c r="V32" s="142" t="str">
        <f t="shared" si="0"/>
        <v/>
      </c>
      <c r="W32" s="207" t="s">
        <v>692</v>
      </c>
      <c r="X32" s="138"/>
      <c r="Y32" s="138"/>
      <c r="Z32" s="138"/>
      <c r="AA32" s="138"/>
      <c r="AB32" s="138"/>
      <c r="AC32" s="138"/>
      <c r="AD32" s="138"/>
      <c r="AE32" s="138"/>
      <c r="AF32" s="138"/>
      <c r="AG32" s="138"/>
      <c r="AH32" s="138"/>
      <c r="AI32" s="138"/>
      <c r="AJ32" s="138"/>
      <c r="AK32" s="138"/>
      <c r="AL32" s="138"/>
      <c r="AM32" s="138"/>
    </row>
    <row r="33" spans="1:39" ht="20.399999999999999">
      <c r="A33" s="127"/>
      <c r="B33" s="127"/>
      <c r="C33" s="127"/>
      <c r="D33" s="127"/>
      <c r="E33" s="127"/>
      <c r="F33" s="127"/>
      <c r="G33" s="127"/>
      <c r="H33" s="127"/>
      <c r="I33" s="127"/>
      <c r="J33" s="138"/>
      <c r="K33" s="138"/>
      <c r="L33" s="203">
        <f t="shared" si="2"/>
        <v>16</v>
      </c>
      <c r="M33" s="196" t="str">
        <f>IF(INDEX(calc!$Z$7:$Z$400,'Report Dashboard'!$L33,1)&lt;&gt;"",INDEX(calc!$Z$7:$Z$400,'Report Dashboard'!$L33,1),"")</f>
        <v/>
      </c>
      <c r="N33" s="196" t="str">
        <f>IFERROR(INDEX(invoice[تاریخ],MATCH('Report Dashboard'!M33,invoice[شماره پیش فاکتور],0)),"")</f>
        <v/>
      </c>
      <c r="O33" s="196" t="str">
        <f>IFERROR(INDEX(invoice[تاریخ مجوز بهره برداری],MATCH('Report Dashboard'!M33,invoice[شماره پیش فاکتور],0)),"")</f>
        <v/>
      </c>
      <c r="P33" s="197" t="str">
        <f>IFERROR(INDEX(invoice[تاریخ انقضا],MATCH('Report Dashboard'!M33,invoice[شماره پیش فاکتور],0)),"")</f>
        <v/>
      </c>
      <c r="Q33" s="197" t="str">
        <f>IFERROR(INDEX(invoice[نوع شرکت],MATCH('Report Dashboard'!M33,invoice[شماره پیش فاکتور],0)),"")</f>
        <v/>
      </c>
      <c r="R33" s="137" t="str">
        <f>IFERROR(INDEX(invoice[میزان سفارش],MATCH('Report Dashboard'!M33,invoice[شماره پیش فاکتور],0)),"")</f>
        <v/>
      </c>
      <c r="S33" s="196" t="str">
        <f t="array" ref="S33">IFERROR(INDEX(invoice[نوع سفارش],MATCH('Report Dashboard'!M33,invoice[شماره پیش فاکتور],0)),"")</f>
        <v/>
      </c>
      <c r="T33" s="137" t="str">
        <f>IFERROR(INDEX(invoice[فی],MATCH('Report Dashboard'!M33,invoice[شماره پیش فاکتور],0)),"")</f>
        <v/>
      </c>
      <c r="U33" s="137" t="str">
        <f>IF(INDEX(calc!$AB$7:$AB$400,'Report Dashboard'!$L33,1)&lt;&gt;"",INDEX(calc!$AB$7:$AB$400,'Report Dashboard'!$L33,1),"")</f>
        <v/>
      </c>
      <c r="V33" s="141" t="str">
        <f t="shared" si="0"/>
        <v/>
      </c>
      <c r="W33" s="208" t="str">
        <f t="shared" si="1"/>
        <v/>
      </c>
      <c r="X33" s="138"/>
      <c r="Y33" s="138"/>
      <c r="Z33" s="138"/>
      <c r="AA33" s="138"/>
      <c r="AB33" s="138"/>
      <c r="AC33" s="138"/>
      <c r="AD33" s="138"/>
      <c r="AE33" s="138"/>
      <c r="AF33" s="138"/>
      <c r="AG33" s="138"/>
      <c r="AH33" s="138"/>
      <c r="AI33" s="138"/>
      <c r="AJ33" s="153"/>
      <c r="AK33" s="153"/>
      <c r="AL33" s="153"/>
      <c r="AM33" s="153"/>
    </row>
    <row r="34" spans="1:39" ht="20.399999999999999">
      <c r="A34" s="127"/>
      <c r="B34" s="127"/>
      <c r="C34" s="127"/>
      <c r="D34" s="127"/>
      <c r="E34" s="127"/>
      <c r="F34" s="127"/>
      <c r="G34" s="127"/>
      <c r="H34" s="127"/>
      <c r="I34" s="127"/>
      <c r="J34" s="138"/>
      <c r="K34" s="138"/>
      <c r="L34" s="204">
        <f t="shared" si="2"/>
        <v>17</v>
      </c>
      <c r="M34" s="205" t="str">
        <f>IF(INDEX(calc!$Z$7:$Z$400,'Report Dashboard'!$L34,1)&lt;&gt;"",INDEX(calc!$Z$7:$Z$400,'Report Dashboard'!$L34,1),"")</f>
        <v/>
      </c>
      <c r="N34" s="205" t="str">
        <f>IFERROR(INDEX(invoice[تاریخ],MATCH('Report Dashboard'!M34,invoice[شماره پیش فاکتور],0)),"")</f>
        <v/>
      </c>
      <c r="O34" s="205" t="str">
        <f>IFERROR(INDEX(invoice[تاریخ مجوز بهره برداری],MATCH('Report Dashboard'!M34,invoice[شماره پیش فاکتور],0)),"")</f>
        <v/>
      </c>
      <c r="P34" s="206" t="str">
        <f>IFERROR(INDEX(invoice[تاریخ انقضا],MATCH('Report Dashboard'!M34,invoice[شماره پیش فاکتور],0)),"")</f>
        <v/>
      </c>
      <c r="Q34" s="206" t="str">
        <f>IFERROR(INDEX(invoice[نوع شرکت],MATCH('Report Dashboard'!M34,invoice[شماره پیش فاکتور],0)),"")</f>
        <v/>
      </c>
      <c r="R34" s="140" t="str">
        <f>IFERROR(INDEX(invoice[میزان سفارش],MATCH('Report Dashboard'!M34,invoice[شماره پیش فاکتور],0)),"")</f>
        <v/>
      </c>
      <c r="S34" s="205" t="str">
        <f t="array" ref="S34">IFERROR(INDEX(invoice[نوع سفارش],MATCH('Report Dashboard'!M34,invoice[شماره پیش فاکتور],0)),"")</f>
        <v/>
      </c>
      <c r="T34" s="140" t="str">
        <f>IFERROR(INDEX(invoice[فی],MATCH('Report Dashboard'!M34,invoice[شماره پیش فاکتور],0)),"")</f>
        <v/>
      </c>
      <c r="U34" s="140" t="str">
        <f>IF(INDEX(calc!$AB$7:$AB$400,'Report Dashboard'!$L34,1)&lt;&gt;"",INDEX(calc!$AB$7:$AB$400,'Report Dashboard'!$L34,1),"")</f>
        <v/>
      </c>
      <c r="V34" s="142" t="str">
        <f>IFERROR(IF(AND(R34&lt;&gt;"",U34=""),"در انتظار بارگیری",IF(R34&lt;&gt;0,U34/R34,0)),"")</f>
        <v/>
      </c>
      <c r="W34" s="207" t="str">
        <f>IF(U34="",R34,R34-U34)</f>
        <v/>
      </c>
      <c r="X34" s="138"/>
      <c r="Y34" s="138"/>
      <c r="Z34" s="138"/>
      <c r="AA34" s="138"/>
      <c r="AB34" s="138"/>
      <c r="AC34" s="138"/>
      <c r="AD34" s="138"/>
      <c r="AE34" s="138"/>
      <c r="AF34" s="138"/>
      <c r="AG34" s="138"/>
      <c r="AH34" s="138"/>
      <c r="AI34" s="138"/>
      <c r="AJ34" s="153"/>
      <c r="AK34" s="153"/>
      <c r="AL34" s="153"/>
      <c r="AM34" s="153"/>
    </row>
    <row r="35" spans="1:39" ht="20.399999999999999">
      <c r="A35" s="127"/>
      <c r="B35" s="127"/>
      <c r="C35" s="127"/>
      <c r="D35" s="127"/>
      <c r="E35" s="127"/>
      <c r="F35" s="127"/>
      <c r="G35" s="127"/>
      <c r="H35" s="127"/>
      <c r="I35" s="127"/>
      <c r="J35" s="138"/>
      <c r="K35" s="138"/>
      <c r="L35" s="203">
        <f t="shared" si="2"/>
        <v>18</v>
      </c>
      <c r="M35" s="196" t="str">
        <f>IF(INDEX(calc!$Z$7:$Z$400,'Report Dashboard'!$L35,1)&lt;&gt;"",INDEX(calc!$Z$7:$Z$400,'Report Dashboard'!$L35,1),"")</f>
        <v/>
      </c>
      <c r="N35" s="196" t="str">
        <f>IFERROR(INDEX(invoice[تاریخ],MATCH('Report Dashboard'!M35,invoice[شماره پیش فاکتور],0)),"")</f>
        <v/>
      </c>
      <c r="O35" s="196" t="str">
        <f>IFERROR(INDEX(invoice[تاریخ مجوز بهره برداری],MATCH('Report Dashboard'!M35,invoice[شماره پیش فاکتور],0)),"")</f>
        <v/>
      </c>
      <c r="P35" s="197" t="str">
        <f>IFERROR(INDEX(invoice[تاریخ انقضا],MATCH('Report Dashboard'!M35,invoice[شماره پیش فاکتور],0)),"")</f>
        <v/>
      </c>
      <c r="Q35" s="197" t="str">
        <f>IFERROR(INDEX(invoice[نوع شرکت],MATCH('Report Dashboard'!M35,invoice[شماره پیش فاکتور],0)),"")</f>
        <v/>
      </c>
      <c r="R35" s="137" t="str">
        <f>IFERROR(INDEX(invoice[میزان سفارش],MATCH('Report Dashboard'!M35,invoice[شماره پیش فاکتور],0)),"")</f>
        <v/>
      </c>
      <c r="S35" s="196" t="str">
        <f t="array" ref="S35">IFERROR(INDEX(invoice[نوع سفارش],MATCH('Report Dashboard'!M35,invoice[شماره پیش فاکتور],0)),"")</f>
        <v/>
      </c>
      <c r="T35" s="137" t="str">
        <f>IFERROR(INDEX(invoice[فی],MATCH('Report Dashboard'!M35,invoice[شماره پیش فاکتور],0)),"")</f>
        <v/>
      </c>
      <c r="U35" s="137" t="str">
        <f>IF(INDEX(calc!$AB$7:$AB$400,'Report Dashboard'!$L35,1)&lt;&gt;"",INDEX(calc!$AB$7:$AB$400,'Report Dashboard'!$L35,1),"")</f>
        <v/>
      </c>
      <c r="V35" s="141" t="str">
        <f>IFERROR(IF(AND(R35&lt;&gt;"",U35=""),"در انتظار بارگیری",IF(R35&lt;&gt;0,U35/R35,0)),"")</f>
        <v/>
      </c>
      <c r="W35" s="208" t="str">
        <f>IF(U35="",R35,R35-U35)</f>
        <v/>
      </c>
      <c r="X35" s="138"/>
      <c r="Y35" s="138"/>
      <c r="Z35" s="138"/>
      <c r="AA35" s="138"/>
      <c r="AB35" s="138"/>
      <c r="AC35" s="138"/>
      <c r="AD35" s="138"/>
      <c r="AE35" s="138"/>
      <c r="AF35" s="138"/>
      <c r="AG35" s="138"/>
      <c r="AH35" s="138"/>
      <c r="AI35" s="138"/>
      <c r="AJ35" s="153"/>
      <c r="AK35" s="153"/>
      <c r="AL35" s="153"/>
      <c r="AM35" s="153"/>
    </row>
    <row r="36" spans="1:39" ht="20.399999999999999">
      <c r="A36" s="127"/>
      <c r="B36" s="127"/>
      <c r="C36" s="127"/>
      <c r="D36" s="127"/>
      <c r="E36" s="127"/>
      <c r="F36" s="127"/>
      <c r="G36" s="127"/>
      <c r="H36" s="127"/>
      <c r="I36" s="127"/>
      <c r="J36" s="138"/>
      <c r="K36" s="138"/>
      <c r="L36" s="204">
        <f t="shared" si="2"/>
        <v>19</v>
      </c>
      <c r="M36" s="205" t="str">
        <f>IF(INDEX(calc!$Z$7:$Z$400,'Report Dashboard'!$L36,1)&lt;&gt;"",INDEX(calc!$Z$7:$Z$400,'Report Dashboard'!$L36,1),"")</f>
        <v/>
      </c>
      <c r="N36" s="205" t="str">
        <f>IFERROR(INDEX(invoice[تاریخ],MATCH('Report Dashboard'!M36,invoice[شماره پیش فاکتور],0)),"")</f>
        <v/>
      </c>
      <c r="O36" s="205" t="str">
        <f>IFERROR(INDEX(invoice[تاریخ مجوز بهره برداری],MATCH('Report Dashboard'!M36,invoice[شماره پیش فاکتور],0)),"")</f>
        <v/>
      </c>
      <c r="P36" s="206" t="str">
        <f>IFERROR(INDEX(invoice[تاریخ انقضا],MATCH('Report Dashboard'!M36,invoice[شماره پیش فاکتور],0)),"")</f>
        <v/>
      </c>
      <c r="Q36" s="206" t="str">
        <f>IFERROR(INDEX(invoice[نوع شرکت],MATCH('Report Dashboard'!M36,invoice[شماره پیش فاکتور],0)),"")</f>
        <v/>
      </c>
      <c r="R36" s="140" t="str">
        <f>IFERROR(INDEX(invoice[میزان سفارش],MATCH('Report Dashboard'!M36,invoice[شماره پیش فاکتور],0)),"")</f>
        <v/>
      </c>
      <c r="S36" s="205" t="str">
        <f t="array" ref="S36">IFERROR(INDEX(invoice[نوع سفارش],MATCH('Report Dashboard'!M36,invoice[شماره پیش فاکتور],0)),"")</f>
        <v/>
      </c>
      <c r="T36" s="140" t="str">
        <f>IFERROR(INDEX(invoice[فی],MATCH('Report Dashboard'!M36,invoice[شماره پیش فاکتور],0)),"")</f>
        <v/>
      </c>
      <c r="U36" s="140" t="str">
        <f>IF(INDEX(calc!$AB$7:$AB$400,'Report Dashboard'!$L36,1)&lt;&gt;"",INDEX(calc!$AB$7:$AB$400,'Report Dashboard'!$L36,1),"")</f>
        <v/>
      </c>
      <c r="V36" s="142" t="str">
        <f>IFERROR(IF(AND(R36&lt;&gt;"",U36=""),"در انتظار بارگیری",IF(R36&lt;&gt;0,U36/R36,0)),"")</f>
        <v/>
      </c>
      <c r="W36" s="207" t="str">
        <f>IF(U36="",R36,R36-U36)</f>
        <v/>
      </c>
      <c r="X36" s="138"/>
      <c r="Y36" s="138"/>
      <c r="Z36" s="138"/>
      <c r="AA36" s="138"/>
      <c r="AB36" s="138"/>
      <c r="AC36" s="138"/>
      <c r="AD36" s="138"/>
      <c r="AE36" s="138"/>
      <c r="AF36" s="138"/>
      <c r="AG36" s="138"/>
      <c r="AH36" s="138"/>
      <c r="AI36" s="138"/>
      <c r="AJ36" s="153"/>
      <c r="AK36" s="153"/>
      <c r="AL36" s="153"/>
      <c r="AM36" s="153"/>
    </row>
    <row r="37" spans="1:39" ht="20.399999999999999">
      <c r="A37" s="127"/>
      <c r="B37" s="127"/>
      <c r="C37" s="127"/>
      <c r="D37" s="127"/>
      <c r="E37" s="127"/>
      <c r="F37" s="127"/>
      <c r="G37" s="127"/>
      <c r="H37" s="127"/>
      <c r="I37" s="127"/>
      <c r="J37" s="138"/>
      <c r="K37" s="138"/>
      <c r="L37" s="209">
        <f t="shared" si="2"/>
        <v>20</v>
      </c>
      <c r="M37" s="210" t="str">
        <f>IF(INDEX(calc!$Z$7:$Z$400,'Report Dashboard'!$L37,1)&lt;&gt;"",INDEX(calc!$Z$7:$Z$400,'Report Dashboard'!$L37,1),"")</f>
        <v/>
      </c>
      <c r="N37" s="210" t="str">
        <f>IFERROR(INDEX(invoice[تاریخ],MATCH('Report Dashboard'!M37,invoice[شماره پیش فاکتور],0)),"")</f>
        <v/>
      </c>
      <c r="O37" s="210" t="str">
        <f>IFERROR(INDEX(invoice[تاریخ مجوز بهره برداری],MATCH('Report Dashboard'!M37,invoice[شماره پیش فاکتور],0)),"")</f>
        <v/>
      </c>
      <c r="P37" s="211" t="str">
        <f>IFERROR(INDEX(invoice[تاریخ انقضا],MATCH('Report Dashboard'!M37,invoice[شماره پیش فاکتور],0)),"")</f>
        <v/>
      </c>
      <c r="Q37" s="211" t="str">
        <f>IFERROR(INDEX(invoice[نوع شرکت],MATCH('Report Dashboard'!M37,invoice[شماره پیش فاکتور],0)),"")</f>
        <v/>
      </c>
      <c r="R37" s="212" t="str">
        <f>IFERROR(INDEX(invoice[میزان سفارش],MATCH('Report Dashboard'!M37,invoice[شماره پیش فاکتور],0)),"")</f>
        <v/>
      </c>
      <c r="S37" s="210" t="str">
        <f t="array" ref="S37">IFERROR(INDEX(invoice[نوع سفارش],MATCH('Report Dashboard'!M37,invoice[شماره پیش فاکتور],0)),"")</f>
        <v/>
      </c>
      <c r="T37" s="212" t="str">
        <f>IFERROR(INDEX(invoice[فی],MATCH('Report Dashboard'!M37,invoice[شماره پیش فاکتور],0)),"")</f>
        <v/>
      </c>
      <c r="U37" s="212" t="str">
        <f>IF(INDEX(calc!$AB$7:$AB$400,'Report Dashboard'!$L37,1)&lt;&gt;"",INDEX(calc!$AB$7:$AB$400,'Report Dashboard'!$L37,1),"")</f>
        <v/>
      </c>
      <c r="V37" s="213" t="str">
        <f>IFERROR(IF(AND(R37&lt;&gt;"",U37=""),"در انتظار بارگیری",IF(R37&lt;&gt;0,U37/R37,0)),"")</f>
        <v/>
      </c>
      <c r="W37" s="214" t="str">
        <f>IF(U37="",R37,R37-U37)</f>
        <v/>
      </c>
      <c r="X37" s="138"/>
      <c r="Y37" s="138"/>
      <c r="Z37" s="138"/>
      <c r="AA37" s="138"/>
      <c r="AB37" s="138"/>
      <c r="AC37" s="138"/>
      <c r="AD37" s="138"/>
      <c r="AE37" s="138"/>
      <c r="AF37" s="138"/>
      <c r="AG37" s="138"/>
      <c r="AH37" s="138"/>
      <c r="AI37" s="138"/>
      <c r="AJ37" s="153"/>
      <c r="AK37" s="153"/>
      <c r="AL37" s="153"/>
      <c r="AM37" s="153"/>
    </row>
    <row r="38" spans="1:39">
      <c r="A38" s="127"/>
      <c r="B38" s="127"/>
      <c r="C38" s="127"/>
      <c r="D38" s="127"/>
      <c r="E38" s="127"/>
      <c r="F38" s="127"/>
      <c r="G38" s="127"/>
      <c r="H38" s="127"/>
      <c r="I38" s="127"/>
      <c r="J38" s="138"/>
      <c r="K38" s="138"/>
      <c r="L38" s="138"/>
      <c r="M38" s="138"/>
      <c r="N38" s="138"/>
      <c r="O38" s="138"/>
      <c r="P38" s="138"/>
      <c r="Q38" s="138"/>
      <c r="R38" s="138"/>
      <c r="S38" s="138"/>
      <c r="T38" s="138"/>
      <c r="U38" s="138"/>
      <c r="V38" s="138"/>
      <c r="W38" s="138"/>
      <c r="X38" s="138"/>
      <c r="Y38" s="138"/>
      <c r="Z38" s="138"/>
      <c r="AA38" s="138"/>
      <c r="AB38" s="138"/>
      <c r="AC38" s="138"/>
      <c r="AD38" s="138" t="s">
        <v>692</v>
      </c>
      <c r="AE38" s="138"/>
      <c r="AF38" s="138"/>
      <c r="AG38" s="138"/>
      <c r="AH38" s="138"/>
      <c r="AI38" s="138"/>
      <c r="AJ38" s="153"/>
      <c r="AK38" s="153"/>
      <c r="AL38" s="153"/>
      <c r="AM38" s="153"/>
    </row>
    <row r="39" spans="1:39">
      <c r="A39" s="127"/>
      <c r="B39" s="127"/>
      <c r="C39" s="127"/>
      <c r="D39" s="127"/>
      <c r="E39" s="127"/>
      <c r="F39" s="127"/>
      <c r="G39" s="127"/>
      <c r="H39" s="127"/>
      <c r="I39" s="127"/>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53"/>
      <c r="AK39" s="153"/>
      <c r="AL39" s="153"/>
      <c r="AM39" s="153"/>
    </row>
    <row r="40" spans="1:39">
      <c r="A40" s="138"/>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row>
    <row r="41" spans="1:39">
      <c r="A41" s="138"/>
      <c r="B41" s="138"/>
      <c r="C41" s="138"/>
      <c r="D41" s="138"/>
      <c r="E41" s="138"/>
      <c r="F41" s="138"/>
      <c r="G41" s="138"/>
      <c r="H41" s="138"/>
      <c r="I41" s="138"/>
      <c r="J41" s="138"/>
      <c r="K41" s="138"/>
      <c r="L41" s="138"/>
      <c r="M41" s="138"/>
      <c r="N41" s="138"/>
      <c r="O41" s="138"/>
      <c r="P41" s="138"/>
      <c r="Q41" s="138"/>
      <c r="R41" s="138"/>
      <c r="S41" s="138"/>
      <c r="T41" s="138"/>
      <c r="U41" s="138"/>
      <c r="V41" s="241"/>
      <c r="W41" s="138"/>
      <c r="X41" s="138"/>
      <c r="Y41" s="138"/>
      <c r="Z41" s="138"/>
      <c r="AA41" s="138"/>
      <c r="AB41" s="138"/>
      <c r="AC41" s="138"/>
      <c r="AD41" s="138"/>
      <c r="AE41" s="138"/>
      <c r="AF41" s="138"/>
      <c r="AG41" s="138"/>
      <c r="AH41" s="138"/>
      <c r="AI41" s="138"/>
      <c r="AJ41" s="138"/>
      <c r="AK41" s="138"/>
      <c r="AL41" s="138"/>
      <c r="AM41" s="138"/>
    </row>
    <row r="42" spans="1:39">
      <c r="A42" s="138"/>
      <c r="B42" s="138"/>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8"/>
      <c r="AI42" s="138"/>
      <c r="AJ42" s="138"/>
      <c r="AK42" s="138"/>
      <c r="AL42" s="138"/>
      <c r="AM42" s="138"/>
    </row>
    <row r="43" spans="1:39">
      <c r="A43" s="138"/>
      <c r="B43" s="138"/>
      <c r="C43" s="138"/>
      <c r="D43" s="138"/>
      <c r="E43" s="138"/>
      <c r="F43" s="138"/>
      <c r="G43" s="138"/>
      <c r="H43" s="138"/>
      <c r="I43" s="138"/>
      <c r="J43" s="138"/>
      <c r="K43" s="138"/>
      <c r="L43" s="138"/>
      <c r="M43" s="138"/>
      <c r="N43" s="138"/>
      <c r="O43" s="138"/>
      <c r="P43" s="216"/>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row>
    <row r="44" spans="1:39">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row>
    <row r="45" spans="1:39">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row>
    <row r="46" spans="1:39">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row>
    <row r="47" spans="1:39">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row>
    <row r="48" spans="1:39">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row>
    <row r="49" spans="1:39">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row>
    <row r="50" spans="1:39">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row>
    <row r="51" spans="1:39">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row>
    <row r="52" spans="1:39">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row>
    <row r="53" spans="1:39">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row>
    <row r="54" spans="1:39">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row>
    <row r="55" spans="1:39">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row>
    <row r="56" spans="1:39">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row>
    <row r="57" spans="1:39">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row>
    <row r="58" spans="1:39">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row>
    <row r="59" spans="1:39">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row>
    <row r="60" spans="1:39">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row>
    <row r="61" spans="1:39">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row>
  </sheetData>
  <mergeCells count="39">
    <mergeCell ref="AF30:AG30"/>
    <mergeCell ref="Y30:Z30"/>
    <mergeCell ref="AD20:AE20"/>
    <mergeCell ref="AD22:AE22"/>
    <mergeCell ref="AD24:AE24"/>
    <mergeCell ref="AD26:AE26"/>
    <mergeCell ref="AD28:AE28"/>
    <mergeCell ref="AD30:AE30"/>
    <mergeCell ref="AA30:AB30"/>
    <mergeCell ref="Y20:Z20"/>
    <mergeCell ref="Y22:Z22"/>
    <mergeCell ref="Y24:Z24"/>
    <mergeCell ref="Y26:Z26"/>
    <mergeCell ref="Y28:Z28"/>
    <mergeCell ref="AF24:AG24"/>
    <mergeCell ref="AF26:AG26"/>
    <mergeCell ref="AF11:AG11"/>
    <mergeCell ref="AF28:AG28"/>
    <mergeCell ref="AF22:AG22"/>
    <mergeCell ref="AF5:AG5"/>
    <mergeCell ref="AF7:AG7"/>
    <mergeCell ref="AF9:AG9"/>
    <mergeCell ref="AF13:AG13"/>
    <mergeCell ref="AF20:AG20"/>
    <mergeCell ref="AA20:AB20"/>
    <mergeCell ref="AA22:AB22"/>
    <mergeCell ref="AA24:AB24"/>
    <mergeCell ref="AA26:AB26"/>
    <mergeCell ref="AA5:AB5"/>
    <mergeCell ref="AA7:AB7"/>
    <mergeCell ref="AA9:AB9"/>
    <mergeCell ref="AA11:AB11"/>
    <mergeCell ref="AA13:AB13"/>
    <mergeCell ref="AA19:AB19"/>
    <mergeCell ref="AA28:AB28"/>
    <mergeCell ref="AA21:AB21"/>
    <mergeCell ref="AA23:AB23"/>
    <mergeCell ref="AA25:AB25"/>
    <mergeCell ref="AA27:AB27"/>
  </mergeCells>
  <conditionalFormatting sqref="I18:I32">
    <cfRule type="dataBar" priority="4">
      <dataBar>
        <cfvo type="min"/>
        <cfvo type="max"/>
        <color rgb="FF00DA6D"/>
      </dataBar>
      <extLst>
        <ext xmlns:x14="http://schemas.microsoft.com/office/spreadsheetml/2009/9/main" uri="{B025F937-C7B1-47D3-B67F-A62EFF666E3E}">
          <x14:id>{CCB8094C-B4C6-4400-9640-10FFE95612F6}</x14:id>
        </ext>
      </extLst>
    </cfRule>
  </conditionalFormatting>
  <conditionalFormatting sqref="V18:V37">
    <cfRule type="dataBar" priority="2">
      <dataBar>
        <cfvo type="num" val="0"/>
        <cfvo type="num" val="1"/>
        <color rgb="FF69FF69"/>
      </dataBar>
      <extLst>
        <ext xmlns:x14="http://schemas.microsoft.com/office/spreadsheetml/2009/9/main" uri="{B025F937-C7B1-47D3-B67F-A62EFF666E3E}">
          <x14:id>{E08A87A8-BA42-4270-9944-267652C3738C}</x14:id>
        </ext>
      </extLst>
    </cfRule>
  </conditionalFormatting>
  <dataValidations count="4">
    <dataValidation type="whole" operator="greaterThan" allowBlank="1" showInputMessage="1" showErrorMessage="1" prompt="لطفا تناژ مورد نظر را وارد نمایید_x000a_" sqref="AA7:AB7" xr:uid="{E5EDA431-8D0F-401B-99A3-47A5728706F4}">
      <formula1>0</formula1>
    </dataValidation>
    <dataValidation type="whole" operator="greaterThan" allowBlank="1" showInputMessage="1" showErrorMessage="1" prompt="لطفا قیمت تعادلی مد نظر را به ریال وارد نمایید." sqref="AA5:AB5" xr:uid="{679B2A5B-07E2-4BAB-BD17-407789CD3342}">
      <formula1>0</formula1>
    </dataValidation>
    <dataValidation type="whole" operator="greaterThan" allowBlank="1" showInputMessage="1" showErrorMessage="1" prompt="لطفا میانگین قیمت مد نظر را به ریال وارد کنید." sqref="AA20:AB20" xr:uid="{E24AB0E1-35D4-4DC6-95BC-E53D1499B212}">
      <formula1>0</formula1>
    </dataValidation>
    <dataValidation type="whole" operator="greaterThan" allowBlank="1" showInputMessage="1" showErrorMessage="1" prompt="لطفا تناژ فروش جدید را وارد نمایید." sqref="AA22:AB22" xr:uid="{39B50094-473E-4253-9968-6D8BB32E52C1}">
      <formula1>0</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Scroll Bar 2">
              <controlPr defaultSize="0" autoPict="0">
                <anchor moveWithCells="1">
                  <from>
                    <xdr:col>9</xdr:col>
                    <xdr:colOff>670560</xdr:colOff>
                    <xdr:row>25</xdr:row>
                    <xdr:rowOff>0</xdr:rowOff>
                  </from>
                  <to>
                    <xdr:col>9</xdr:col>
                    <xdr:colOff>922020</xdr:colOff>
                    <xdr:row>37</xdr:row>
                    <xdr:rowOff>38100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20</xdr:col>
                    <xdr:colOff>502920</xdr:colOff>
                    <xdr:row>0</xdr:row>
                    <xdr:rowOff>68580</xdr:rowOff>
                  </from>
                  <to>
                    <xdr:col>21</xdr:col>
                    <xdr:colOff>441960</xdr:colOff>
                    <xdr:row>1</xdr:row>
                    <xdr:rowOff>99060</xdr:rowOff>
                  </to>
                </anchor>
              </controlPr>
            </control>
          </mc:Choice>
        </mc:AlternateContent>
        <mc:AlternateContent xmlns:mc="http://schemas.openxmlformats.org/markup-compatibility/2006">
          <mc:Choice Requires="x14">
            <control shapeId="1029" r:id="rId6" name="Check Box 5">
              <controlPr defaultSize="0" autoFill="0" autoLine="0" autoPict="0" altText="تعداد بارگیری">
                <anchor moveWithCells="1">
                  <from>
                    <xdr:col>19</xdr:col>
                    <xdr:colOff>487680</xdr:colOff>
                    <xdr:row>0</xdr:row>
                    <xdr:rowOff>60960</xdr:rowOff>
                  </from>
                  <to>
                    <xdr:col>20</xdr:col>
                    <xdr:colOff>518160</xdr:colOff>
                    <xdr:row>1</xdr:row>
                    <xdr:rowOff>83820</xdr:rowOff>
                  </to>
                </anchor>
              </controlPr>
            </control>
          </mc:Choice>
        </mc:AlternateContent>
        <mc:AlternateContent xmlns:mc="http://schemas.openxmlformats.org/markup-compatibility/2006">
          <mc:Choice Requires="x14">
            <control shapeId="1027" r:id="rId7" name="Drop Down 3">
              <controlPr defaultSize="0" autoLine="0" autoPict="0">
                <anchor moveWithCells="1">
                  <from>
                    <xdr:col>17</xdr:col>
                    <xdr:colOff>678180</xdr:colOff>
                    <xdr:row>0</xdr:row>
                    <xdr:rowOff>68580</xdr:rowOff>
                  </from>
                  <to>
                    <xdr:col>19</xdr:col>
                    <xdr:colOff>274320</xdr:colOff>
                    <xdr:row>1</xdr:row>
                    <xdr:rowOff>99060</xdr:rowOff>
                  </to>
                </anchor>
              </controlPr>
            </control>
          </mc:Choice>
        </mc:AlternateContent>
        <mc:AlternateContent xmlns:mc="http://schemas.openxmlformats.org/markup-compatibility/2006">
          <mc:Choice Requires="x14">
            <control shapeId="1031" r:id="rId8" name="Scroll Bar 7">
              <controlPr defaultSize="0" autoPict="0">
                <anchor moveWithCells="1">
                  <from>
                    <xdr:col>23</xdr:col>
                    <xdr:colOff>15240</xdr:colOff>
                    <xdr:row>15</xdr:row>
                    <xdr:rowOff>289560</xdr:rowOff>
                  </from>
                  <to>
                    <xdr:col>23</xdr:col>
                    <xdr:colOff>213360</xdr:colOff>
                    <xdr:row>36</xdr:row>
                    <xdr:rowOff>228600</xdr:rowOff>
                  </to>
                </anchor>
              </controlPr>
            </control>
          </mc:Choice>
        </mc:AlternateContent>
        <mc:AlternateContent xmlns:mc="http://schemas.openxmlformats.org/markup-compatibility/2006">
          <mc:Choice Requires="x14">
            <control shapeId="1039" r:id="rId9" name="Option Button 15">
              <controlPr defaultSize="0" autoFill="0" autoLine="0" autoPict="0">
                <anchor moveWithCells="1">
                  <from>
                    <xdr:col>21</xdr:col>
                    <xdr:colOff>792480</xdr:colOff>
                    <xdr:row>39</xdr:row>
                    <xdr:rowOff>60960</xdr:rowOff>
                  </from>
                  <to>
                    <xdr:col>22</xdr:col>
                    <xdr:colOff>845820</xdr:colOff>
                    <xdr:row>41</xdr:row>
                    <xdr:rowOff>45720</xdr:rowOff>
                  </to>
                </anchor>
              </controlPr>
            </control>
          </mc:Choice>
        </mc:AlternateContent>
        <mc:AlternateContent xmlns:mc="http://schemas.openxmlformats.org/markup-compatibility/2006">
          <mc:Choice Requires="x14">
            <control shapeId="1041" r:id="rId10" name="Option Button 17">
              <controlPr defaultSize="0" autoFill="0" autoLine="0" autoPict="0">
                <anchor moveWithCells="1">
                  <from>
                    <xdr:col>20</xdr:col>
                    <xdr:colOff>754380</xdr:colOff>
                    <xdr:row>39</xdr:row>
                    <xdr:rowOff>60960</xdr:rowOff>
                  </from>
                  <to>
                    <xdr:col>21</xdr:col>
                    <xdr:colOff>678180</xdr:colOff>
                    <xdr:row>41</xdr:row>
                    <xdr:rowOff>60960</xdr:rowOff>
                  </to>
                </anchor>
              </controlPr>
            </control>
          </mc:Choice>
        </mc:AlternateContent>
        <mc:AlternateContent xmlns:mc="http://schemas.openxmlformats.org/markup-compatibility/2006">
          <mc:Choice Requires="x14">
            <control shapeId="1042" r:id="rId11" name="Option Button 18">
              <controlPr defaultSize="0" autoFill="0" autoLine="0" autoPict="0">
                <anchor moveWithCells="1">
                  <from>
                    <xdr:col>19</xdr:col>
                    <xdr:colOff>579120</xdr:colOff>
                    <xdr:row>39</xdr:row>
                    <xdr:rowOff>60960</xdr:rowOff>
                  </from>
                  <to>
                    <xdr:col>20</xdr:col>
                    <xdr:colOff>640080</xdr:colOff>
                    <xdr:row>41</xdr:row>
                    <xdr:rowOff>60960</xdr:rowOff>
                  </to>
                </anchor>
              </controlPr>
            </control>
          </mc:Choice>
        </mc:AlternateContent>
        <mc:AlternateContent xmlns:mc="http://schemas.openxmlformats.org/markup-compatibility/2006">
          <mc:Choice Requires="x14">
            <control shapeId="1043" r:id="rId12" name="Option Button 19">
              <controlPr defaultSize="0" autoFill="0" autoLine="0" autoPict="0">
                <anchor moveWithCells="1">
                  <from>
                    <xdr:col>18</xdr:col>
                    <xdr:colOff>403860</xdr:colOff>
                    <xdr:row>39</xdr:row>
                    <xdr:rowOff>60960</xdr:rowOff>
                  </from>
                  <to>
                    <xdr:col>19</xdr:col>
                    <xdr:colOff>464820</xdr:colOff>
                    <xdr:row>41</xdr:row>
                    <xdr:rowOff>60960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CCB8094C-B4C6-4400-9640-10FFE95612F6}">
            <x14:dataBar minLength="0" maxLength="100" gradient="0">
              <x14:cfvo type="autoMin"/>
              <x14:cfvo type="autoMax"/>
              <x14:negativeFillColor rgb="FFFF0000"/>
              <x14:axisColor rgb="FF000000"/>
            </x14:dataBar>
          </x14:cfRule>
          <xm:sqref>I18:I32</xm:sqref>
        </x14:conditionalFormatting>
        <x14:conditionalFormatting xmlns:xm="http://schemas.microsoft.com/office/excel/2006/main">
          <x14:cfRule type="dataBar" id="{E08A87A8-BA42-4270-9944-267652C3738C}">
            <x14:dataBar minLength="0" maxLength="100" gradient="0">
              <x14:cfvo type="num">
                <xm:f>0</xm:f>
              </x14:cfvo>
              <x14:cfvo type="num">
                <xm:f>1</xm:f>
              </x14:cfvo>
              <x14:negativeFillColor rgb="FFFF0000"/>
              <x14:axisColor rgb="FF000000"/>
            </x14:dataBar>
          </x14:cfRule>
          <xm:sqref>V18:V37</xm:sqref>
        </x14:conditionalFormatting>
      </x14:conditionalFormattings>
    </ext>
    <ext xmlns:x14="http://schemas.microsoft.com/office/spreadsheetml/2009/9/main" uri="{A8765BA9-456A-4dab-B4F3-ACF838C121DE}">
      <x14:slicerList>
        <x14:slicer r:id="rId1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4013F-2849-4BD9-928C-E85840FBC076}">
  <dimension ref="B6:F32"/>
  <sheetViews>
    <sheetView rightToLeft="1" workbookViewId="0">
      <selection activeCell="J18" sqref="J18"/>
    </sheetView>
  </sheetViews>
  <sheetFormatPr defaultRowHeight="13.8"/>
  <cols>
    <col min="2" max="2" width="9.8984375" bestFit="1" customWidth="1"/>
    <col min="4" max="4" width="12.09765625" bestFit="1" customWidth="1"/>
  </cols>
  <sheetData>
    <row r="6" spans="4:6">
      <c r="D6">
        <f>F6*E6</f>
        <v>55378560000</v>
      </c>
      <c r="E6" s="247">
        <v>115372</v>
      </c>
      <c r="F6" s="247">
        <v>480000</v>
      </c>
    </row>
    <row r="7" spans="4:6">
      <c r="D7">
        <f t="shared" ref="D7:D31" si="0">F7*E7</f>
        <v>5025000000</v>
      </c>
      <c r="E7" s="247">
        <v>167500</v>
      </c>
      <c r="F7" s="247">
        <v>30000</v>
      </c>
    </row>
    <row r="8" spans="4:6">
      <c r="D8">
        <f t="shared" si="0"/>
        <v>3495000000</v>
      </c>
      <c r="E8" s="247">
        <v>116500</v>
      </c>
      <c r="F8" s="247">
        <v>30000</v>
      </c>
    </row>
    <row r="9" spans="4:6">
      <c r="D9">
        <f t="shared" si="0"/>
        <v>25200000000</v>
      </c>
      <c r="E9" s="247">
        <v>105000</v>
      </c>
      <c r="F9" s="247">
        <v>240000</v>
      </c>
    </row>
    <row r="10" spans="4:6">
      <c r="D10">
        <f t="shared" si="0"/>
        <v>2556000000</v>
      </c>
      <c r="E10" s="247">
        <v>142000</v>
      </c>
      <c r="F10" s="247">
        <v>18000</v>
      </c>
    </row>
    <row r="11" spans="4:6">
      <c r="D11">
        <f t="shared" si="0"/>
        <v>2840000000</v>
      </c>
      <c r="E11" s="247">
        <v>142000</v>
      </c>
      <c r="F11" s="247">
        <v>20000</v>
      </c>
    </row>
    <row r="12" spans="4:6">
      <c r="D12">
        <f t="shared" si="0"/>
        <v>3350000000</v>
      </c>
      <c r="E12" s="247">
        <v>167500</v>
      </c>
      <c r="F12" s="247">
        <v>20000</v>
      </c>
    </row>
    <row r="13" spans="4:6">
      <c r="D13">
        <f t="shared" si="0"/>
        <v>1958000000</v>
      </c>
      <c r="E13" s="247">
        <v>89000</v>
      </c>
      <c r="F13" s="247">
        <v>22000</v>
      </c>
    </row>
    <row r="14" spans="4:6">
      <c r="D14">
        <f t="shared" si="0"/>
        <v>1562000000</v>
      </c>
      <c r="E14" s="247">
        <v>142000</v>
      </c>
      <c r="F14" s="247">
        <v>11000</v>
      </c>
    </row>
    <row r="15" spans="4:6">
      <c r="D15">
        <f t="shared" si="0"/>
        <v>8520000000</v>
      </c>
      <c r="E15" s="247">
        <v>142000</v>
      </c>
      <c r="F15" s="247">
        <v>60000</v>
      </c>
    </row>
    <row r="16" spans="4:6">
      <c r="D16">
        <f t="shared" si="0"/>
        <v>3350000000</v>
      </c>
      <c r="E16" s="247">
        <v>167500</v>
      </c>
      <c r="F16" s="247">
        <v>20000</v>
      </c>
    </row>
    <row r="17" spans="2:6">
      <c r="D17">
        <f t="shared" si="0"/>
        <v>2840000000</v>
      </c>
      <c r="E17" s="247">
        <v>142000</v>
      </c>
      <c r="F17" s="247">
        <v>20000</v>
      </c>
    </row>
    <row r="18" spans="2:6">
      <c r="D18">
        <f t="shared" si="0"/>
        <v>1660000000</v>
      </c>
      <c r="E18" s="247">
        <v>83000</v>
      </c>
      <c r="F18" s="247">
        <v>20000</v>
      </c>
    </row>
    <row r="19" spans="2:6">
      <c r="D19">
        <f t="shared" si="0"/>
        <v>2000000000</v>
      </c>
      <c r="E19" s="247">
        <v>100000</v>
      </c>
      <c r="F19" s="247">
        <v>20000</v>
      </c>
    </row>
    <row r="20" spans="2:6">
      <c r="D20">
        <f t="shared" si="0"/>
        <v>9324000000</v>
      </c>
      <c r="E20" s="247">
        <v>111000</v>
      </c>
      <c r="F20" s="247">
        <v>84000</v>
      </c>
    </row>
    <row r="21" spans="2:6">
      <c r="D21">
        <f t="shared" si="0"/>
        <v>7100000000</v>
      </c>
      <c r="E21" s="247">
        <v>142000</v>
      </c>
      <c r="F21" s="247">
        <v>50000</v>
      </c>
    </row>
    <row r="22" spans="2:6">
      <c r="D22">
        <f t="shared" si="0"/>
        <v>8400000000</v>
      </c>
      <c r="E22" s="247">
        <v>105000</v>
      </c>
      <c r="F22" s="247">
        <v>80000</v>
      </c>
    </row>
    <row r="23" spans="2:6">
      <c r="D23">
        <f t="shared" si="0"/>
        <v>1500000000</v>
      </c>
      <c r="E23" s="247">
        <v>75000</v>
      </c>
      <c r="F23" s="247">
        <v>20000</v>
      </c>
    </row>
    <row r="24" spans="2:6">
      <c r="B24">
        <f>D32/F32</f>
        <v>119761.045392022</v>
      </c>
      <c r="D24">
        <f t="shared" si="0"/>
        <v>2840000000</v>
      </c>
      <c r="E24" s="247">
        <v>142000</v>
      </c>
      <c r="F24" s="247">
        <v>20000</v>
      </c>
    </row>
    <row r="25" spans="2:6">
      <c r="D25">
        <f t="shared" si="0"/>
        <v>1900000000</v>
      </c>
      <c r="E25" s="247">
        <v>95000</v>
      </c>
      <c r="F25" s="247">
        <v>20000</v>
      </c>
    </row>
    <row r="26" spans="2:6">
      <c r="D26">
        <f t="shared" si="0"/>
        <v>3350000000</v>
      </c>
      <c r="E26" s="247">
        <v>167500</v>
      </c>
      <c r="F26" s="247">
        <v>20000</v>
      </c>
    </row>
    <row r="27" spans="2:6">
      <c r="D27">
        <f t="shared" si="0"/>
        <v>2840000000</v>
      </c>
      <c r="E27" s="247">
        <v>142000</v>
      </c>
      <c r="F27" s="247">
        <v>20000</v>
      </c>
    </row>
    <row r="28" spans="2:6">
      <c r="D28">
        <f t="shared" si="0"/>
        <v>4800000000</v>
      </c>
      <c r="E28" s="247">
        <v>120000</v>
      </c>
      <c r="F28" s="247">
        <v>40000</v>
      </c>
    </row>
    <row r="29" spans="2:6">
      <c r="D29">
        <f t="shared" si="0"/>
        <v>5680000000</v>
      </c>
      <c r="E29" s="247">
        <v>142000</v>
      </c>
      <c r="F29" s="247">
        <v>40000</v>
      </c>
    </row>
    <row r="30" spans="2:6">
      <c r="D30">
        <f t="shared" si="0"/>
        <v>994000000</v>
      </c>
      <c r="E30" s="247">
        <v>142000</v>
      </c>
      <c r="F30" s="247">
        <v>7000</v>
      </c>
    </row>
    <row r="31" spans="2:6">
      <c r="D31">
        <f t="shared" si="0"/>
        <v>5670000000</v>
      </c>
      <c r="E31" s="247">
        <v>135000</v>
      </c>
      <c r="F31" s="247">
        <v>42000</v>
      </c>
    </row>
    <row r="32" spans="2:6">
      <c r="D32">
        <f>SUM(D6:D31)</f>
        <v>174132560000</v>
      </c>
      <c r="F32" s="247">
        <f>SUM(F6:F31)</f>
        <v>1454000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FD22F-D600-4183-A5DC-DE03AD32FB06}">
  <sheetPr codeName="Sheet5"/>
  <dimension ref="A1:EB159"/>
  <sheetViews>
    <sheetView rightToLeft="1" topLeftCell="A4" zoomScale="90" zoomScaleNormal="90" workbookViewId="0">
      <selection activeCell="M20" sqref="M20"/>
    </sheetView>
  </sheetViews>
  <sheetFormatPr defaultColWidth="8.8984375" defaultRowHeight="18.600000000000001"/>
  <cols>
    <col min="1" max="1" width="17.3984375" style="162" bestFit="1" customWidth="1"/>
    <col min="2" max="7" width="8.8984375" style="158"/>
    <col min="8" max="8" width="11.09765625" style="158" customWidth="1"/>
    <col min="9" max="9" width="10.69921875" style="158" customWidth="1"/>
    <col min="10" max="10" width="16.3984375" style="158" customWidth="1"/>
    <col min="11" max="11" width="9.3984375" style="158" bestFit="1" customWidth="1"/>
    <col min="12" max="12" width="12.09765625" style="158" bestFit="1" customWidth="1"/>
    <col min="13" max="13" width="9.69921875" style="158" bestFit="1" customWidth="1"/>
    <col min="14" max="14" width="10" style="158" bestFit="1" customWidth="1"/>
    <col min="15" max="15" width="13.3984375" style="158" bestFit="1" customWidth="1"/>
    <col min="16" max="16" width="8.3984375" style="158" bestFit="1" customWidth="1"/>
    <col min="17" max="17" width="11.3984375" style="158" bestFit="1" customWidth="1"/>
    <col min="18" max="18" width="11.5" style="158" bestFit="1" customWidth="1"/>
    <col min="19" max="19" width="10.8984375" style="158" bestFit="1" customWidth="1"/>
    <col min="20" max="20" width="10.796875" style="158" bestFit="1" customWidth="1"/>
    <col min="21" max="25" width="8.8984375" style="158"/>
    <col min="26" max="26" width="22.5" style="158" bestFit="1" customWidth="1"/>
    <col min="27" max="27" width="19.09765625" style="158" bestFit="1" customWidth="1"/>
    <col min="28" max="28" width="13.3984375" style="158" bestFit="1" customWidth="1"/>
    <col min="29" max="29" width="10" style="158" bestFit="1" customWidth="1"/>
    <col min="30" max="30" width="24.19921875" style="158" bestFit="1" customWidth="1"/>
    <col min="31" max="31" width="25.69921875" style="158" bestFit="1" customWidth="1"/>
    <col min="32" max="32" width="10.3984375" style="158" bestFit="1" customWidth="1"/>
    <col min="33" max="33" width="19.09765625" style="158" bestFit="1" customWidth="1"/>
    <col min="34" max="34" width="8.8984375" style="158" bestFit="1" customWidth="1"/>
    <col min="35" max="35" width="12.09765625" style="158" bestFit="1" customWidth="1"/>
    <col min="36" max="36" width="9.69921875" style="158" bestFit="1" customWidth="1"/>
    <col min="37" max="37" width="11.09765625" style="158" customWidth="1"/>
    <col min="38" max="38" width="9.8984375" style="158" customWidth="1"/>
    <col min="39" max="39" width="13.09765625" style="158" bestFit="1" customWidth="1"/>
    <col min="40" max="40" width="30.796875" style="158" bestFit="1" customWidth="1"/>
    <col min="41" max="41" width="10" style="158" bestFit="1" customWidth="1"/>
    <col min="42" max="42" width="13.3984375" style="158" bestFit="1" customWidth="1"/>
    <col min="43" max="43" width="8.3984375" style="158" bestFit="1" customWidth="1"/>
    <col min="44" max="44" width="12.09765625" style="158" bestFit="1" customWidth="1"/>
    <col min="45" max="45" width="9.69921875" style="158" bestFit="1" customWidth="1"/>
    <col min="46" max="46" width="12.3984375" style="158" bestFit="1" customWidth="1"/>
    <col min="47" max="48" width="11.09765625" style="158" customWidth="1"/>
    <col min="49" max="49" width="32.69921875" style="158" bestFit="1" customWidth="1"/>
    <col min="50" max="52" width="11.09765625" style="158" customWidth="1"/>
    <col min="53" max="53" width="6" style="158" customWidth="1"/>
    <col min="54" max="54" width="32.69921875" style="158" bestFit="1" customWidth="1"/>
    <col min="55" max="55" width="10.296875" style="158" bestFit="1" customWidth="1"/>
    <col min="56" max="56" width="13.8984375" style="158" bestFit="1" customWidth="1"/>
    <col min="57" max="57" width="8.3984375" style="158" bestFit="1" customWidth="1"/>
    <col min="58" max="59" width="6" style="158" customWidth="1"/>
    <col min="60" max="61" width="7" style="158" bestFit="1" customWidth="1"/>
    <col min="62" max="62" width="15" style="158" bestFit="1" customWidth="1"/>
    <col min="63" max="63" width="19.5" style="158" bestFit="1" customWidth="1"/>
    <col min="64" max="64" width="9.69921875" style="158" bestFit="1" customWidth="1"/>
    <col min="65" max="66" width="9.8984375" style="158" bestFit="1" customWidth="1"/>
    <col min="67" max="67" width="15" style="158" bestFit="1" customWidth="1"/>
    <col min="68" max="68" width="16.09765625" style="158" bestFit="1" customWidth="1"/>
    <col min="69" max="69" width="12.09765625" style="158" bestFit="1" customWidth="1"/>
    <col min="70" max="72" width="7" style="158" bestFit="1" customWidth="1"/>
    <col min="73" max="73" width="13.09765625" style="158" customWidth="1"/>
    <col min="74" max="74" width="17.09765625" style="158" customWidth="1"/>
    <col min="75" max="78" width="12" style="158" customWidth="1"/>
    <col min="79" max="79" width="17.59765625" style="158" customWidth="1"/>
    <col min="80" max="80" width="7" style="158" bestFit="1" customWidth="1"/>
    <col min="81" max="81" width="16.69921875" style="158" bestFit="1" customWidth="1"/>
    <col min="82" max="82" width="18.296875" style="158" bestFit="1" customWidth="1"/>
    <col min="83" max="83" width="14.09765625" style="158" bestFit="1" customWidth="1"/>
    <col min="84" max="84" width="20.3984375" style="158" bestFit="1" customWidth="1"/>
    <col min="85" max="85" width="10.8984375" style="158" bestFit="1" customWidth="1"/>
    <col min="86" max="87" width="8.8984375" style="158"/>
    <col min="88" max="88" width="15" style="158" bestFit="1" customWidth="1"/>
    <col min="89" max="89" width="19.09765625" style="158" bestFit="1" customWidth="1"/>
    <col min="90" max="90" width="11.19921875" style="158" bestFit="1" customWidth="1"/>
    <col min="91" max="91" width="20" style="158" bestFit="1" customWidth="1"/>
    <col min="92" max="92" width="7.69921875" style="158" bestFit="1" customWidth="1"/>
    <col min="93" max="93" width="10.09765625" style="158" bestFit="1" customWidth="1"/>
    <col min="94" max="95" width="8.8984375" style="158"/>
    <col min="96" max="96" width="11" style="158" customWidth="1"/>
    <col min="97" max="98" width="8.8984375" style="158"/>
    <col min="99" max="99" width="16.59765625" style="158" bestFit="1" customWidth="1"/>
    <col min="100" max="100" width="14.3984375" style="158" bestFit="1" customWidth="1"/>
    <col min="101" max="102" width="8.8984375" style="158"/>
    <col min="103" max="103" width="13.3984375" style="158" bestFit="1" customWidth="1"/>
    <col min="104" max="104" width="8.8984375" style="158"/>
    <col min="105" max="105" width="25.69921875" style="158" bestFit="1" customWidth="1"/>
    <col min="106" max="106" width="17.8984375" style="158" bestFit="1" customWidth="1"/>
    <col min="107" max="111" width="8.8984375" style="158"/>
    <col min="112" max="112" width="12.296875" style="158" bestFit="1" customWidth="1"/>
    <col min="113" max="113" width="22.296875" style="158" bestFit="1" customWidth="1"/>
    <col min="114" max="114" width="12.8984375" style="158" bestFit="1" customWidth="1"/>
    <col min="115" max="115" width="8.8984375" style="158"/>
    <col min="116" max="116" width="10.69921875" style="158" customWidth="1"/>
    <col min="117" max="126" width="8.8984375" style="158"/>
    <col min="127" max="127" width="11.296875" style="158" customWidth="1"/>
    <col min="128" max="128" width="13.09765625" style="158" bestFit="1" customWidth="1"/>
    <col min="129" max="130" width="13.296875" style="158" bestFit="1" customWidth="1"/>
    <col min="131" max="131" width="8.8984375" style="158"/>
    <col min="132" max="132" width="9.8984375" style="158" bestFit="1" customWidth="1"/>
    <col min="133" max="16384" width="8.8984375" style="158"/>
  </cols>
  <sheetData>
    <row r="1" spans="1:132">
      <c r="A1" s="103" t="s">
        <v>281</v>
      </c>
      <c r="B1" s="103"/>
      <c r="E1" s="103" t="s">
        <v>283</v>
      </c>
      <c r="F1" s="103"/>
      <c r="G1" s="103"/>
      <c r="H1" s="103"/>
      <c r="I1" s="103"/>
      <c r="J1" s="103"/>
      <c r="K1" s="103"/>
      <c r="L1" s="103"/>
      <c r="M1" s="103"/>
      <c r="N1" s="103"/>
      <c r="O1" s="103"/>
      <c r="P1" s="103"/>
      <c r="Q1" s="103"/>
      <c r="R1" s="103"/>
      <c r="S1" s="103"/>
      <c r="T1" s="103"/>
      <c r="U1" s="103"/>
      <c r="V1" s="103"/>
      <c r="W1" s="103"/>
      <c r="X1" s="103"/>
      <c r="Z1" s="103" t="s">
        <v>291</v>
      </c>
      <c r="AA1" s="103"/>
      <c r="AB1" s="103"/>
      <c r="AC1" s="103"/>
      <c r="AD1" s="103"/>
      <c r="AE1" s="103"/>
      <c r="AF1" s="103"/>
      <c r="AG1" s="103"/>
      <c r="AH1" s="103"/>
      <c r="AI1" s="103"/>
      <c r="AJ1" s="103"/>
      <c r="AK1" s="103"/>
      <c r="AL1" s="103"/>
      <c r="AN1" s="103" t="s">
        <v>293</v>
      </c>
      <c r="AO1" s="103"/>
      <c r="AP1" s="103"/>
      <c r="AQ1" s="103"/>
      <c r="AR1" s="103"/>
      <c r="AS1" s="103"/>
      <c r="AT1" s="103"/>
      <c r="AU1" s="103"/>
      <c r="AV1" s="103"/>
      <c r="AW1" s="103"/>
      <c r="AX1" s="103"/>
      <c r="AY1" s="103"/>
      <c r="AZ1" s="103"/>
      <c r="BJ1" s="103" t="s">
        <v>310</v>
      </c>
      <c r="BK1" s="103"/>
      <c r="BL1" s="103"/>
      <c r="BM1" s="103"/>
      <c r="BN1" s="103"/>
      <c r="BO1" s="103"/>
      <c r="BP1" s="103"/>
      <c r="BQ1" s="103"/>
      <c r="BR1" s="103"/>
      <c r="CC1" s="103" t="s">
        <v>320</v>
      </c>
      <c r="CD1" s="103"/>
      <c r="CE1" s="103"/>
      <c r="CF1" s="103"/>
      <c r="CJ1" s="103" t="s">
        <v>325</v>
      </c>
      <c r="CK1" s="103"/>
      <c r="CL1" s="103"/>
      <c r="CM1" s="103"/>
      <c r="CT1" s="103" t="s">
        <v>508</v>
      </c>
    </row>
    <row r="2" spans="1:132">
      <c r="A2" s="103"/>
      <c r="B2" s="103"/>
      <c r="E2" s="103"/>
      <c r="F2" s="103"/>
      <c r="G2" s="103"/>
      <c r="H2" s="103"/>
      <c r="I2" s="103"/>
      <c r="J2" s="103"/>
      <c r="K2" s="103"/>
      <c r="L2" s="103"/>
      <c r="M2" s="103"/>
      <c r="N2" s="103"/>
      <c r="O2" s="103"/>
      <c r="P2" s="103"/>
      <c r="Q2" s="103"/>
      <c r="R2" s="103"/>
      <c r="S2" s="103"/>
      <c r="T2" s="103"/>
      <c r="U2" s="103"/>
      <c r="V2" s="103"/>
      <c r="W2" s="103"/>
      <c r="X2" s="103"/>
      <c r="Z2" s="159" t="s">
        <v>632</v>
      </c>
      <c r="AA2" s="160" t="s" vm="5">
        <v>631</v>
      </c>
      <c r="AB2" s="103"/>
      <c r="AC2" s="103"/>
      <c r="AD2" s="103"/>
      <c r="AE2" s="103"/>
      <c r="AF2" s="103"/>
      <c r="AG2" s="103"/>
      <c r="AH2" s="103"/>
      <c r="AI2" s="103"/>
      <c r="AJ2" s="103"/>
      <c r="AK2" s="103"/>
      <c r="AL2" s="103"/>
      <c r="AN2" s="103"/>
      <c r="AO2" s="103"/>
      <c r="AP2" s="103"/>
      <c r="AQ2" s="103"/>
      <c r="AR2" s="103"/>
      <c r="AS2" s="103"/>
      <c r="AT2" s="103"/>
      <c r="AU2" s="103"/>
      <c r="AV2" s="103"/>
      <c r="AW2" s="103"/>
      <c r="AX2" s="103"/>
      <c r="AY2" s="103"/>
      <c r="AZ2" s="103"/>
      <c r="BJ2" s="103"/>
      <c r="BK2" s="103"/>
      <c r="BL2" s="103"/>
      <c r="BM2" s="103"/>
      <c r="BN2" s="103"/>
      <c r="BO2" s="103"/>
      <c r="BP2" s="103"/>
      <c r="BQ2" s="103"/>
      <c r="BR2" s="103"/>
      <c r="CC2" s="103"/>
      <c r="CD2" s="103"/>
      <c r="CE2" s="103"/>
      <c r="CF2" s="103"/>
      <c r="CJ2" s="103"/>
      <c r="CK2" s="103"/>
      <c r="CL2" s="103"/>
      <c r="CM2" s="103"/>
      <c r="CT2" s="103"/>
    </row>
    <row r="3" spans="1:132" s="104" customFormat="1">
      <c r="Z3" s="159" t="s">
        <v>0</v>
      </c>
      <c r="AA3" s="160" t="s" vm="7">
        <v>106</v>
      </c>
      <c r="AF3" s="159" t="s">
        <v>0</v>
      </c>
      <c r="AG3" s="160" t="s" vm="7">
        <v>106</v>
      </c>
      <c r="AN3" s="120"/>
      <c r="AO3" s="120"/>
      <c r="AP3" s="120"/>
      <c r="AQ3" s="120"/>
      <c r="AR3" s="120"/>
      <c r="AS3" s="120"/>
      <c r="AT3" s="120"/>
      <c r="AU3" s="120"/>
      <c r="AV3" s="120"/>
      <c r="AW3" s="120"/>
      <c r="AX3" s="120"/>
      <c r="AY3" s="120"/>
      <c r="AZ3" s="120"/>
      <c r="BA3" s="120"/>
      <c r="BB3" s="120"/>
      <c r="BC3" s="120"/>
      <c r="BD3" s="120"/>
      <c r="BE3" s="120"/>
      <c r="BF3" s="120"/>
      <c r="BG3" s="120"/>
      <c r="BK3" s="120"/>
      <c r="BL3" s="120"/>
      <c r="BM3" s="120"/>
      <c r="BN3" s="120"/>
      <c r="BO3" s="120"/>
      <c r="BP3" s="120"/>
      <c r="BQ3" s="120"/>
      <c r="BR3" s="120"/>
      <c r="BS3" s="120"/>
      <c r="BT3" s="120"/>
      <c r="BU3" s="120"/>
      <c r="BV3" s="120"/>
      <c r="BW3" s="120"/>
      <c r="BX3" s="120"/>
      <c r="BY3" s="120"/>
      <c r="BZ3" s="120"/>
      <c r="CA3" s="120"/>
      <c r="CB3" s="120"/>
      <c r="DH3" s="104" t="s">
        <v>630</v>
      </c>
    </row>
    <row r="4" spans="1:132" s="104" customFormat="1" ht="19.2" thickBot="1">
      <c r="K4" s="158"/>
      <c r="L4" s="158"/>
      <c r="Z4" s="159" t="s">
        <v>288</v>
      </c>
      <c r="AA4" s="160" t="s" vm="2">
        <v>326</v>
      </c>
      <c r="AF4" s="159" t="s">
        <v>288</v>
      </c>
      <c r="AG4" s="160" t="s" vm="2">
        <v>326</v>
      </c>
      <c r="AN4" s="159" t="s">
        <v>237</v>
      </c>
      <c r="AO4" s="160" t="s" vm="3">
        <v>501</v>
      </c>
      <c r="AP4" s="120"/>
      <c r="AQ4" s="120"/>
      <c r="AR4" s="120"/>
      <c r="AS4" s="120"/>
      <c r="AT4" s="120"/>
      <c r="AU4" s="120"/>
      <c r="AV4" s="120"/>
      <c r="AW4" s="120"/>
      <c r="AX4" s="120"/>
      <c r="AY4" s="120"/>
      <c r="AZ4" s="120"/>
      <c r="BA4" s="120"/>
      <c r="BB4" s="120" t="s">
        <v>502</v>
      </c>
      <c r="BC4" s="161">
        <v>1</v>
      </c>
      <c r="BD4" s="120"/>
      <c r="BE4" s="120"/>
      <c r="BF4" s="120"/>
      <c r="BG4" s="120"/>
      <c r="BK4" s="120"/>
      <c r="BL4" s="120"/>
      <c r="BM4" s="120"/>
      <c r="BN4" s="120"/>
      <c r="BO4" s="120"/>
      <c r="BP4" s="120"/>
      <c r="BQ4" s="120"/>
      <c r="BR4" s="120"/>
      <c r="BS4" s="120"/>
      <c r="BT4" s="120"/>
      <c r="BU4" s="120"/>
      <c r="BV4" s="120"/>
      <c r="BW4" s="120"/>
      <c r="BX4" s="120"/>
      <c r="BY4" s="120"/>
      <c r="BZ4" s="120"/>
      <c r="CA4" s="120"/>
      <c r="CB4" s="120"/>
    </row>
    <row r="5" spans="1:132" ht="19.2" thickBot="1">
      <c r="E5" s="158" t="s">
        <v>284</v>
      </c>
      <c r="M5" s="104"/>
      <c r="N5" s="104"/>
      <c r="AW5" s="158" t="s">
        <v>622</v>
      </c>
      <c r="AX5" s="158">
        <f>year</f>
        <v>1405</v>
      </c>
      <c r="BJ5" s="159" t="s">
        <v>237</v>
      </c>
      <c r="BK5" s="160" t="s" vm="3">
        <v>501</v>
      </c>
      <c r="BL5" s="104"/>
      <c r="BM5" s="104"/>
      <c r="BN5" s="104"/>
      <c r="BO5" s="159" t="s">
        <v>237</v>
      </c>
      <c r="BP5" s="160" t="s" vm="3">
        <v>501</v>
      </c>
      <c r="BU5" s="158" t="s">
        <v>237</v>
      </c>
      <c r="BV5" s="161">
        <f>INDEX(years,BV23)</f>
        <v>1405</v>
      </c>
      <c r="CC5" s="159" t="s">
        <v>0</v>
      </c>
      <c r="CD5" s="160" t="s" vm="4">
        <v>250</v>
      </c>
      <c r="CJ5" s="159" t="s">
        <v>0</v>
      </c>
      <c r="CK5" s="160" t="s" vm="7">
        <v>106</v>
      </c>
      <c r="CN5" s="163" t="s">
        <v>595</v>
      </c>
      <c r="CO5" s="164">
        <f>SUM(CO9:CO131)</f>
        <v>304410</v>
      </c>
      <c r="DH5" s="158" t="s">
        <v>502</v>
      </c>
      <c r="DI5" s="158">
        <v>12</v>
      </c>
      <c r="DW5" s="220"/>
    </row>
    <row r="6" spans="1:132">
      <c r="A6" s="101"/>
      <c r="F6" s="158" t="s">
        <v>1</v>
      </c>
      <c r="G6" s="158" t="s">
        <v>238</v>
      </c>
      <c r="H6" s="158" t="s">
        <v>285</v>
      </c>
      <c r="I6" s="158" t="s">
        <v>286</v>
      </c>
      <c r="Z6" s="159" t="s">
        <v>127</v>
      </c>
      <c r="AA6" s="158" t="s">
        <v>282</v>
      </c>
      <c r="AB6" s="158" t="s">
        <v>235</v>
      </c>
      <c r="AC6" s="158" t="s">
        <v>1</v>
      </c>
      <c r="AD6" s="158" t="s">
        <v>620</v>
      </c>
      <c r="AE6"/>
      <c r="AF6" s="158" t="s">
        <v>319</v>
      </c>
      <c r="AG6" s="158" t="s">
        <v>235</v>
      </c>
      <c r="AH6" s="158" t="s">
        <v>318</v>
      </c>
      <c r="AI6" s="158" t="s">
        <v>289</v>
      </c>
      <c r="AJ6" s="158" t="s">
        <v>290</v>
      </c>
      <c r="AK6" s="154" t="s">
        <v>292</v>
      </c>
      <c r="AL6" s="154" t="s">
        <v>286</v>
      </c>
      <c r="AN6" s="159" t="s">
        <v>0</v>
      </c>
      <c r="AO6" s="158" t="s">
        <v>1</v>
      </c>
      <c r="AP6" s="165" t="s">
        <v>235</v>
      </c>
      <c r="AQ6" s="158" t="s">
        <v>282</v>
      </c>
      <c r="AR6" s="158" t="s">
        <v>289</v>
      </c>
      <c r="AS6" s="158" t="s">
        <v>290</v>
      </c>
      <c r="AT6" s="158" t="s">
        <v>294</v>
      </c>
      <c r="AU6" s="158" t="s">
        <v>286</v>
      </c>
      <c r="AW6" s="158" t="s">
        <v>0</v>
      </c>
      <c r="AX6" s="158" t="s">
        <v>621</v>
      </c>
      <c r="BA6" s="166" t="s">
        <v>258</v>
      </c>
      <c r="BB6" s="166" t="s">
        <v>0</v>
      </c>
      <c r="BC6" s="155" t="s">
        <v>1</v>
      </c>
      <c r="BD6" s="155" t="s">
        <v>235</v>
      </c>
      <c r="BE6" s="166" t="s">
        <v>286</v>
      </c>
      <c r="BX6" s="161" t="b">
        <v>0</v>
      </c>
      <c r="BY6" s="161" t="b">
        <v>0</v>
      </c>
      <c r="BZ6" s="161"/>
      <c r="CA6" s="161"/>
      <c r="CC6" s="159" t="s">
        <v>321</v>
      </c>
      <c r="CD6" s="160" t="s" vm="1">
        <v>242</v>
      </c>
      <c r="CE6" s="104"/>
      <c r="CF6" s="104"/>
      <c r="CJ6" s="159" t="s">
        <v>288</v>
      </c>
      <c r="CK6" s="160" t="s" vm="2">
        <v>326</v>
      </c>
      <c r="CL6" s="104"/>
      <c r="CT6" s="167" t="s">
        <v>236</v>
      </c>
      <c r="CU6" s="167" t="s">
        <v>510</v>
      </c>
      <c r="CV6" s="167" t="s">
        <v>511</v>
      </c>
      <c r="DA6" s="167" t="s">
        <v>585</v>
      </c>
      <c r="DB6" s="167">
        <f>year</f>
        <v>1405</v>
      </c>
    </row>
    <row r="7" spans="1:132" ht="18.600000000000001" customHeight="1">
      <c r="A7" s="102" t="s">
        <v>250</v>
      </c>
      <c r="E7" s="2" t="s">
        <v>240</v>
      </c>
      <c r="F7" s="158">
        <f>SUMIF(invoice2[[نوع ]],calc!E7,invoice2[میزان سفارش])</f>
        <v>307700</v>
      </c>
      <c r="G7" s="158" t="e">
        <f>SUMIF(invoice2[[نوع ]],calc!E7,invoice2[مانده])</f>
        <v>#REF!</v>
      </c>
      <c r="H7" s="158" t="e">
        <f>SUMIF(invoice2[[نوع ]],calc!E7,invoice2[حمل شده])</f>
        <v>#REF!</v>
      </c>
      <c r="I7" s="168" t="e">
        <f>G7/F7</f>
        <v>#REF!</v>
      </c>
      <c r="K7" s="158" t="s">
        <v>514</v>
      </c>
      <c r="L7" s="158" t="s">
        <v>289</v>
      </c>
      <c r="M7" s="158" t="s">
        <v>290</v>
      </c>
      <c r="N7" s="158" t="s">
        <v>1</v>
      </c>
      <c r="O7" s="158" t="s">
        <v>235</v>
      </c>
      <c r="P7" s="158" t="s">
        <v>282</v>
      </c>
      <c r="Q7" s="158" t="s">
        <v>309</v>
      </c>
      <c r="R7" s="158" t="s">
        <v>308</v>
      </c>
      <c r="S7" s="158" t="s">
        <v>314</v>
      </c>
      <c r="T7" s="158" t="s">
        <v>315</v>
      </c>
      <c r="U7" s="154" t="s">
        <v>306</v>
      </c>
      <c r="Z7" s="160" t="s">
        <v>958</v>
      </c>
      <c r="AA7" s="356">
        <v>125000</v>
      </c>
      <c r="AB7" s="231">
        <v>95590</v>
      </c>
      <c r="AC7" s="356">
        <v>400000</v>
      </c>
      <c r="AD7" s="356">
        <v>0.23897499999999999</v>
      </c>
      <c r="AE7"/>
      <c r="AF7" s="169">
        <v>4002430</v>
      </c>
      <c r="AG7" s="169">
        <v>3698020</v>
      </c>
      <c r="AH7" s="170">
        <v>86080.851063829788</v>
      </c>
      <c r="AI7" s="356">
        <v>9</v>
      </c>
      <c r="AJ7" s="356">
        <v>235</v>
      </c>
      <c r="AK7" s="171">
        <f>AG7/AF7</f>
        <v>0.92394370419969873</v>
      </c>
      <c r="AL7" s="172">
        <f>1-AK7</f>
        <v>7.6056295800301266E-2</v>
      </c>
      <c r="AM7" s="168"/>
      <c r="AN7" s="173" t="s">
        <v>118</v>
      </c>
      <c r="AO7" s="174">
        <v>15907060</v>
      </c>
      <c r="AP7" s="174">
        <v>4190990</v>
      </c>
      <c r="AQ7" s="174">
        <v>57104.168316831681</v>
      </c>
      <c r="AR7" s="362">
        <v>18</v>
      </c>
      <c r="AS7" s="363">
        <v>202</v>
      </c>
      <c r="AT7" s="215">
        <v>0.22018521661054757</v>
      </c>
      <c r="AU7" s="175">
        <f>1-(AP7/AO7)</f>
        <v>0.73653270937558546</v>
      </c>
      <c r="AV7" s="176"/>
      <c r="AW7" s="176" t="s">
        <v>118</v>
      </c>
      <c r="AX7" s="217">
        <f>IFERROR(SUMIFS(invoice[میزان سفارش],invoice[سال],calc!$AX$5,invoice[نام مشتری],calc!AW7)+IFERROR(SUMIFS(invoice[میزان سفارش],invoice[سال],(calc!$AX$5)-1,invoice[نام مشتری],calc!AW7),0)-SUMIFS(bargiri[میزان بارگیری شده],bargiri[نام مشتری],calc!AW7,bargiri[سال],(calc!$AX$5)-1),"")</f>
        <v>1520150</v>
      </c>
      <c r="AZ7" s="176"/>
      <c r="BA7" s="167">
        <v>1</v>
      </c>
      <c r="BB7" s="167" t="str">
        <f>INDEX($AW$7:$AW$101,$BC$4+ROW(A1)-1)</f>
        <v>عراق اربیل</v>
      </c>
      <c r="BC7" s="177">
        <f>SUMIFS(invoice[میزان سفارش],invoice[سال],calc!$AX$5,invoice[نام مشتری],calc!BB7)+IFERROR(SUMIFS(invoice[میزان سفارش],invoice[سال],(calc!$AX$5)-1,invoice[نام مشتری],calc!BB7),0)-SUMIFS(bargiri[میزان بارگیری شده],bargiri[نام مشتری],calc!BB7,bargiri[سال],(calc!$AX$5)-1)</f>
        <v>1520150</v>
      </c>
      <c r="BD7" s="177">
        <f>SUMIFS(bargiri[میزان بارگیری شده],bargiri[نام مشتری],calc!BB7,bargiri[سال],(calc!$AX$5))</f>
        <v>4492710</v>
      </c>
      <c r="BE7" s="175">
        <f>BD7/BC7</f>
        <v>2.955438608032102</v>
      </c>
      <c r="BJ7" s="159" t="s">
        <v>127</v>
      </c>
      <c r="BK7" s="158" t="s">
        <v>312</v>
      </c>
      <c r="BL7" s="158" t="s">
        <v>290</v>
      </c>
      <c r="BO7" s="159" t="s">
        <v>127</v>
      </c>
      <c r="BP7" s="158" t="s">
        <v>313</v>
      </c>
      <c r="BQ7" s="158" t="s">
        <v>289</v>
      </c>
      <c r="BT7" s="167" t="s">
        <v>236</v>
      </c>
      <c r="BU7" s="167" t="s">
        <v>313</v>
      </c>
      <c r="BV7" s="167" t="s">
        <v>312</v>
      </c>
      <c r="BW7" s="167" t="s">
        <v>688</v>
      </c>
      <c r="BX7" s="167" t="s">
        <v>289</v>
      </c>
      <c r="BY7" s="167" t="s">
        <v>290</v>
      </c>
      <c r="BZ7" s="178" t="s">
        <v>507</v>
      </c>
      <c r="CA7" s="158" t="s">
        <v>678</v>
      </c>
      <c r="CT7" s="173" t="s">
        <v>295</v>
      </c>
      <c r="CU7" s="179">
        <f>IFERROR(SUMPRODUCT((bargiri[ماه]=CT7)*(bargiri[سال]=$BV$5)*(bargiri[میزان بارگیری شده])*(bargiri[فی])) /SUMIFS(bargiri[میزان بارگیری شده], bargiri[ماه], CT7, bargiri[سال], calc!$BV$5), "")</f>
        <v>130065.24271844661</v>
      </c>
      <c r="CV7" s="179">
        <f>IFERROR(SUMPRODUCT((bargiri[ماه]=CT7)*(bargiri[سال]=$BV$5)*(bargiri[میزان بارگیری شده])*(bargiri[فی])) /SUMIFS(bargiri[فی], bargiri[ماه], CT7, bargiri[سال], calc!$BV$5), "")</f>
        <v>16240.351394708876</v>
      </c>
      <c r="DA7" s="180" cm="1">
        <f t="array" ref="DA7">IFERROR(SUMPRODUCT((bargiri[سال]=$BV$5)*(bargiri[میزان بارگیری شده])*(bargiri[فی])) /SUMIF(bargiri[سال],DB6,bargiri[میزان بارگیری شده] ), "")</f>
        <v>146291.69462144127</v>
      </c>
      <c r="DH7" s="269" t="s">
        <v>248</v>
      </c>
      <c r="DI7" s="167" t="s">
        <v>243</v>
      </c>
      <c r="DJ7" s="179">
        <f>SUMIFS(bargiri[میزان بارگیری شده], bargiri[سال],year, bargiri[نوع سفارش], "عادی")</f>
        <v>7559740</v>
      </c>
      <c r="DW7" s="221"/>
      <c r="DX7" s="222"/>
      <c r="DY7" s="222"/>
      <c r="DZ7" s="222"/>
    </row>
    <row r="8" spans="1:132" ht="18.600000000000001" customHeight="1">
      <c r="A8" s="101" t="s">
        <v>251</v>
      </c>
      <c r="E8" s="115" t="s">
        <v>241</v>
      </c>
      <c r="F8" s="158">
        <f>SUMIF(invoice2[[نوع ]],calc!E8,invoice2[میزان سفارش])</f>
        <v>9130000</v>
      </c>
      <c r="G8" s="158" t="e">
        <f>SUMIF(invoice2[[نوع ]],calc!E8,invoice2[مانده])</f>
        <v>#REF!</v>
      </c>
      <c r="H8" s="158" t="e">
        <f>SUMIF(invoice2[[نوع ]],calc!E8,invoice2[حمل شده])</f>
        <v>#REF!</v>
      </c>
      <c r="I8" s="168" t="e">
        <f>G8/F8</f>
        <v>#REF!</v>
      </c>
      <c r="K8" s="356">
        <v>34</v>
      </c>
      <c r="L8" s="356">
        <v>280</v>
      </c>
      <c r="M8" s="170">
        <v>3161</v>
      </c>
      <c r="N8" s="181">
        <v>66585078</v>
      </c>
      <c r="O8" s="181">
        <v>51400945</v>
      </c>
      <c r="P8" s="170">
        <v>100749.70673837393</v>
      </c>
      <c r="Q8" s="182">
        <v>237803.85</v>
      </c>
      <c r="R8" s="182">
        <v>16281.579030725372</v>
      </c>
      <c r="S8" s="182">
        <v>5853.9238141094665</v>
      </c>
      <c r="T8" s="182">
        <v>507783.01728104468</v>
      </c>
      <c r="U8" s="171">
        <f>O13/P13</f>
        <v>0.405599110254175</v>
      </c>
      <c r="V8" s="172">
        <f>1-U8</f>
        <v>0.59440088974582506</v>
      </c>
      <c r="W8" s="168">
        <v>1</v>
      </c>
      <c r="Z8" s="160" t="s">
        <v>49</v>
      </c>
      <c r="AA8" s="356">
        <v>50000</v>
      </c>
      <c r="AB8" s="231">
        <v>100000</v>
      </c>
      <c r="AC8" s="356">
        <v>100000</v>
      </c>
      <c r="AD8" s="356">
        <v>1</v>
      </c>
      <c r="AE8"/>
      <c r="AN8" s="173" t="s">
        <v>116</v>
      </c>
      <c r="AO8" s="174">
        <v>7689400</v>
      </c>
      <c r="AP8" s="174">
        <v>2925360</v>
      </c>
      <c r="AQ8" s="174">
        <v>68753.280487804877</v>
      </c>
      <c r="AR8" s="362">
        <v>50</v>
      </c>
      <c r="AS8" s="363">
        <v>164</v>
      </c>
      <c r="AT8" s="215">
        <v>0.15369185449352812</v>
      </c>
      <c r="AU8" s="175">
        <f t="shared" ref="AU8:AU71" si="0">1-(AP8/AO8)</f>
        <v>0.61955939345072442</v>
      </c>
      <c r="AV8" s="176"/>
      <c r="AW8" s="176" t="s">
        <v>116</v>
      </c>
      <c r="AX8" s="217">
        <f>IFERROR(SUMIFS(invoice[میزان سفارش],invoice[سال],calc!$AX$5,invoice[نام مشتری],calc!AW8)+IFERROR(SUMIFS(invoice[میزان سفارش],invoice[سال],(calc!$AX$5)-1,invoice[نام مشتری],calc!AW8),0)-SUMIFS(bargiri[میزان بارگیری شده],bargiri[نام مشتری],calc!AW8,bargiri[سال],(calc!$AX$5)-1),"")</f>
        <v>831810</v>
      </c>
      <c r="AY8" s="176"/>
      <c r="AZ8" s="176"/>
      <c r="BA8" s="167">
        <f>BA7+1</f>
        <v>2</v>
      </c>
      <c r="BB8" s="167" t="str">
        <f t="shared" ref="BB8:BB16" si="1">INDEX($AW$7:$AW$101,$BC$4+ROW(A3)-1)</f>
        <v>سپهر سرمد</v>
      </c>
      <c r="BC8" s="177">
        <f>SUMIFS(invoice[میزان سفارش],invoice[سال],calc!$AX$5,invoice[نام مشتری],calc!BB8)+IFERROR(SUMIFS(invoice[میزان سفارش],invoice[سال],(calc!$AX$5)-1,invoice[نام مشتری],calc!BB8),0)-SUMIFS(bargiri[میزان بارگیری شده],bargiri[نام مشتری],calc!BB8,bargiri[سال],(calc!$AX$5)-1)</f>
        <v>1952745</v>
      </c>
      <c r="BD8" s="177">
        <f>SUMIFS(bargiri[میزان بارگیری شده],bargiri[نام مشتری],calc!BB8,bargiri[سال],(calc!$AX$5))</f>
        <v>227540</v>
      </c>
      <c r="BE8" s="175">
        <f t="shared" ref="BE8:BE16" si="2">BD8/BC8</f>
        <v>0.1165231507442088</v>
      </c>
      <c r="BJ8" s="160" t="s">
        <v>300</v>
      </c>
      <c r="BK8" s="181">
        <v>1837830</v>
      </c>
      <c r="BL8" s="356">
        <v>98</v>
      </c>
      <c r="BO8" s="160" t="s">
        <v>300</v>
      </c>
      <c r="BP8" s="181">
        <v>2922955</v>
      </c>
      <c r="BQ8" s="356">
        <v>18</v>
      </c>
      <c r="BT8" s="173" t="s">
        <v>295</v>
      </c>
      <c r="BU8" s="183" t="str">
        <f>IF(SUMIFS(invoice[میزان سفارش],invoice[ماه],calc!BT8,invoice[سال],calc!$BV$5)=0,"",SUMIFS(invoice[میزان سفارش],invoice[ماه],calc!BT8,invoice[سال],calc!$BV$5))</f>
        <v/>
      </c>
      <c r="BV8" s="183">
        <f>IF(SUMIFS(bargiri[میزان بارگیری شده],bargiri[ماه],calc!BT8,bargiri[سال],calc!$BV$5)=0,"",SUMIFS(bargiri[میزان بارگیری شده],bargiri[ماه],calc!BT8,bargiri[سال],calc!$BV$5))</f>
        <v>61800</v>
      </c>
      <c r="BW8" s="183">
        <f>(SUMIF(invoice[سال],$BV$5-1,invoice[میزان سفارش])+SUMIF(invoice[سال],$BV$5-2,invoice[میزان سفارش]))-(SUMIF(bargiri[سال],calc!$BV$5-1,bargiri[میزان بارگیری شده])+SUMIF(bargiri[سال],calc!$BV$5-2,bargiri[میزان بارگیری شده]))</f>
        <v>14986180</v>
      </c>
      <c r="BX8" s="167" t="str">
        <f>IF($BX$6=TRUE,IF(COUNTIFS(invoice[ماه],calc!BT8,invoice[سال],calc!$BV$5)=0,"",COUNTIFS(invoice[ماه],calc!BT8,invoice[سال],calc!$BV$5)),"")</f>
        <v/>
      </c>
      <c r="BY8" s="167" t="str">
        <f>IF($BY$6=TRUE,IF(COUNTIFS(bargiri[ماه],calc!BT8,bargiri[سال],calc!$BV$5)=0,"",COUNTIFS(bargiri[ماه],calc!BT8,bargiri[سال],calc!$BV$5)),"")</f>
        <v/>
      </c>
      <c r="BZ8" s="184">
        <f>IF(AVERAGEIFS(bargiri[فی],bargiri[ماه],calc!BT8,bargiri[سال],calc!$BV$5)=0,"",AVERAGEIFS(bargiri[فی],bargiri[ماه],calc!BT8,bargiri[سال],calc!$BV$5))</f>
        <v>123735.5</v>
      </c>
      <c r="CA8" s="168" t="e">
        <f>IFERROR(BV8/(BW8+BU8),NA())</f>
        <v>#N/A</v>
      </c>
      <c r="CC8" s="159" t="s">
        <v>127</v>
      </c>
      <c r="CD8" s="158" t="s">
        <v>317</v>
      </c>
      <c r="CE8" s="158" t="s">
        <v>316</v>
      </c>
      <c r="CJ8" s="159" t="s">
        <v>127</v>
      </c>
      <c r="CK8" s="158" t="s">
        <v>317</v>
      </c>
      <c r="CL8" s="158" t="s">
        <v>324</v>
      </c>
      <c r="CM8" s="158" t="s">
        <v>322</v>
      </c>
      <c r="CN8" s="158" t="s">
        <v>2</v>
      </c>
      <c r="CO8" s="185" t="s">
        <v>238</v>
      </c>
      <c r="CP8" s="186"/>
      <c r="CQ8" s="167" t="s">
        <v>741</v>
      </c>
      <c r="CR8" s="167">
        <f>SUM(CO9:CO158)</f>
        <v>304410</v>
      </c>
      <c r="CT8" s="173" t="s">
        <v>305</v>
      </c>
      <c r="CU8" s="179">
        <f>IFERROR(SUMPRODUCT((bargiri[ماه]=CT8)*(bargiri[سال]=$BV$5)*(bargiri[میزان بارگیری شده])*(bargiri[فی])) /SUMIFS(bargiri[میزان بارگیری شده], bargiri[ماه], CT8, bargiri[سال], calc!$BV$5), "")</f>
        <v>134335.12471397515</v>
      </c>
      <c r="CV8" s="179">
        <f>IFERROR(SUMPRODUCT((bargiri[ماه]=CT8)*(bargiri[سال]=$BV$5)*(bargiri[میزان بارگیری شده])*(bargiri[فی])) /SUMIFS(bargiri[فی], bargiri[ماه], CT8, bargiri[سال], calc!$BV$5), "")</f>
        <v>17714.384329614008</v>
      </c>
      <c r="DH8" s="270"/>
      <c r="DI8" s="167" t="s">
        <v>241</v>
      </c>
      <c r="DJ8" s="179">
        <f>SUMIFS(bargiri[میزان بارگیری شده], bargiri[سال], year, bargiri[نوع سفارش], "انجمن")</f>
        <v>1769910</v>
      </c>
      <c r="DL8" s="118" t="s">
        <v>793</v>
      </c>
      <c r="DM8" s="235" t="s">
        <v>243</v>
      </c>
      <c r="DN8" s="235" t="s">
        <v>241</v>
      </c>
      <c r="DO8" s="235" t="s">
        <v>242</v>
      </c>
      <c r="DP8" s="236" t="s">
        <v>240</v>
      </c>
      <c r="DQ8" s="118"/>
      <c r="DR8" s="118">
        <v>4</v>
      </c>
      <c r="DS8" s="118" t="s">
        <v>512</v>
      </c>
      <c r="DT8" s="118"/>
      <c r="DU8" s="118"/>
      <c r="DW8" s="221"/>
      <c r="DX8" s="222"/>
      <c r="DY8" s="222"/>
      <c r="DZ8" s="222"/>
      <c r="EB8" s="158">
        <v>110000000</v>
      </c>
    </row>
    <row r="9" spans="1:132" ht="18.600000000000001" customHeight="1">
      <c r="A9" s="102" t="s">
        <v>100</v>
      </c>
      <c r="E9" s="2" t="s">
        <v>242</v>
      </c>
      <c r="F9" s="158">
        <f>SUMIF(invoice2[[نوع ]],calc!E9,invoice2[میزان سفارش])</f>
        <v>150000</v>
      </c>
      <c r="G9" s="158" t="e">
        <f>SUMIF(invoice2[[نوع ]],calc!E9,invoice2[مانده])</f>
        <v>#REF!</v>
      </c>
      <c r="H9" s="158" t="e">
        <f>SUMIF(invoice2[[نوع ]],calc!E9,invoice2[حمل شده])</f>
        <v>#REF!</v>
      </c>
      <c r="I9" s="168" t="e">
        <f>G9/F9</f>
        <v>#REF!</v>
      </c>
      <c r="O9" s="181">
        <f>P13-O13</f>
        <v>15184133</v>
      </c>
      <c r="Z9" s="160" t="s">
        <v>48</v>
      </c>
      <c r="AA9" s="356">
        <v>65000</v>
      </c>
      <c r="AB9" s="231">
        <v>902430</v>
      </c>
      <c r="AC9" s="356">
        <v>902430</v>
      </c>
      <c r="AD9" s="356">
        <v>1</v>
      </c>
      <c r="AE9"/>
      <c r="AN9" s="173" t="s">
        <v>106</v>
      </c>
      <c r="AO9" s="174">
        <v>4002430</v>
      </c>
      <c r="AP9" s="174">
        <v>1455175</v>
      </c>
      <c r="AQ9" s="174">
        <v>64767.441860465115</v>
      </c>
      <c r="AR9" s="362">
        <v>9</v>
      </c>
      <c r="AS9" s="363">
        <v>86</v>
      </c>
      <c r="AT9" s="215">
        <v>7.6451631376179274E-2</v>
      </c>
      <c r="AU9" s="175">
        <f t="shared" si="0"/>
        <v>0.63642712052428152</v>
      </c>
      <c r="AV9" s="176"/>
      <c r="AW9" s="176" t="s">
        <v>109</v>
      </c>
      <c r="AX9" s="217">
        <f>IFERROR(SUMIFS(invoice[میزان سفارش],invoice[سال],calc!$AX$5,invoice[نام مشتری],calc!AW9)+IFERROR(SUMIFS(invoice[میزان سفارش],invoice[سال],(calc!$AX$5)-1,invoice[نام مشتری],calc!AW9),0)-SUMIFS(bargiri[میزان بارگیری شده],bargiri[نام مشتری],calc!AW9,bargiri[سال],(calc!$AX$5)-1),"")</f>
        <v>1952745</v>
      </c>
      <c r="AY9" s="176"/>
      <c r="AZ9" s="176"/>
      <c r="BA9" s="167">
        <f t="shared" ref="BA9:BA16" si="3">BA8+1</f>
        <v>3</v>
      </c>
      <c r="BB9" s="167" t="str">
        <f t="shared" si="1"/>
        <v>گاز کربنیک غرب</v>
      </c>
      <c r="BC9" s="177">
        <f>SUMIFS(invoice[میزان سفارش],invoice[سال],calc!$AX$5,invoice[نام مشتری],calc!BB9)+IFERROR(SUMIFS(invoice[میزان سفارش],invoice[سال],(calc!$AX$5)-1,invoice[نام مشتری],calc!BB9),0)-SUMIFS(bargiri[میزان بارگیری شده],bargiri[نام مشتری],calc!BB9,bargiri[سال],(calc!$AX$5)-1)</f>
        <v>993115</v>
      </c>
      <c r="BD9" s="177">
        <f>SUMIFS(bargiri[میزان بارگیری شده],bargiri[نام مشتری],calc!BB9,bargiri[سال],(calc!$AX$5))</f>
        <v>278280</v>
      </c>
      <c r="BE9" s="175">
        <f t="shared" si="2"/>
        <v>0.28020924062168029</v>
      </c>
      <c r="BJ9" s="160" t="s">
        <v>299</v>
      </c>
      <c r="BK9" s="181">
        <v>1643255</v>
      </c>
      <c r="BL9" s="356">
        <v>95</v>
      </c>
      <c r="BM9" s="181">
        <f>AVERAGE(BK9:BK22)</f>
        <v>1563281.8181818181</v>
      </c>
      <c r="BO9" s="160" t="s">
        <v>299</v>
      </c>
      <c r="BP9" s="181">
        <v>2062358</v>
      </c>
      <c r="BQ9" s="356">
        <v>16</v>
      </c>
      <c r="BR9" s="181">
        <f>AVERAGE(BP9:BP22)</f>
        <v>5787465.7272727275</v>
      </c>
      <c r="BT9" s="173" t="s">
        <v>305</v>
      </c>
      <c r="BU9" s="183">
        <f>IF(SUMIFS(invoice[میزان سفارش],invoice[ماه],calc!BT9,invoice[سال],calc!$BV$5)=0,"",SUMIFS(invoice[میزان سفارش],invoice[ماه],calc!BT9,invoice[سال],calc!$BV$5))</f>
        <v>9309093</v>
      </c>
      <c r="BV9" s="183">
        <f>IF(SUMIFS(bargiri[میزان بارگیری شده],bargiri[ماه],calc!BT9,bargiri[سال],calc!$BV$5)=0,"",SUMIFS(bargiri[میزان بارگیری شده],bargiri[ماه],calc!BT9,bargiri[سال],calc!$BV$5))</f>
        <v>2102090</v>
      </c>
      <c r="BW9" s="183">
        <f>IF(BV9="","",SUM($BU$8:BU8)-SUM($BV$8:BV8)+$BW$8)</f>
        <v>14924380</v>
      </c>
      <c r="BX9" s="167" t="str">
        <f>IF($BX$6=TRUE,IF(COUNTIFS(invoice[ماه],calc!BT9,invoice[سال],calc!$BV$5)=0,"",COUNTIFS(invoice[ماه],calc!BT9,invoice[سال],calc!$BV$5)),"")</f>
        <v/>
      </c>
      <c r="BY9" s="167" t="str">
        <f>IF($BY$6=TRUE,IF(COUNTIFS(bargiri[ماه],calc!BT9,bargiri[سال],calc!$BV$5)=0,"",COUNTIFS(bargiri[ماه],calc!BT9,bargiri[سال],calc!$BV$5)),"")</f>
        <v/>
      </c>
      <c r="BZ9" s="184">
        <f>IF(AVERAGEIFS(bargiri[فی],bargiri[ماه],calc!BT9,bargiri[سال],calc!$BV$5)=0,"",AVERAGEIFS(bargiri[فی],bargiri[ماه],calc!BT9,bargiri[سال],calc!$BV$5))</f>
        <v>135092.99152542374</v>
      </c>
      <c r="CA9" s="168">
        <f>IFERROR(BV9/(BW9+BU9),NA())</f>
        <v>8.6743241466049878E-2</v>
      </c>
      <c r="CC9" s="160" t="s">
        <v>6</v>
      </c>
      <c r="CD9" s="170">
        <v>20000</v>
      </c>
      <c r="CE9" s="170">
        <v>92180</v>
      </c>
      <c r="CJ9" s="160" t="s">
        <v>913</v>
      </c>
      <c r="CK9" s="356">
        <v>500000</v>
      </c>
      <c r="CL9" s="356">
        <v>125000</v>
      </c>
      <c r="CM9" s="356">
        <v>500000</v>
      </c>
      <c r="CN9" s="356">
        <v>125000</v>
      </c>
      <c r="CO9" s="187" t="str">
        <f>IF(CK9-CM9&gt;0,CK9-CM9,"")</f>
        <v/>
      </c>
      <c r="CP9" s="188" t="str">
        <f>IF(CO9&lt;&gt;"",CL9,"")</f>
        <v/>
      </c>
      <c r="CT9" s="173" t="s">
        <v>311</v>
      </c>
      <c r="CU9" s="179">
        <f>IFERROR(SUMPRODUCT((bargiri[ماه]=CT9)*(bargiri[سال]=$BV$5)*(bargiri[میزان بارگیری شده])*(bargiri[فی])) /SUMIFS(bargiri[میزان بارگیری شده], bargiri[ماه], CT9, bargiri[سال], calc!$BV$5), "")</f>
        <v>139127.61573769239</v>
      </c>
      <c r="CV9" s="179">
        <f>IFERROR(SUMPRODUCT((bargiri[ماه]=CT9)*(bargiri[سال]=$BV$5)*(bargiri[میزان بارگیری شده])*(bargiri[فی])) /SUMIFS(bargiri[فی], bargiri[ماه], CT9, bargiri[سال], calc!$BV$5), "")</f>
        <v>16124.772705253636</v>
      </c>
      <c r="DA9" s="167" t="s">
        <v>586</v>
      </c>
      <c r="DB9" s="167" t="str" vm="7">
        <f>CK5</f>
        <v>خوش نوش همدان</v>
      </c>
      <c r="DH9" s="270"/>
      <c r="DI9" s="167" t="s">
        <v>242</v>
      </c>
      <c r="DJ9" s="179">
        <f>SUMIFS(bargiri[میزان بارگیری شده], bargiri[سال], year, bargiri[نوع سفارش], "بورس")</f>
        <v>214525</v>
      </c>
      <c r="DL9" s="235" t="s">
        <v>295</v>
      </c>
      <c r="DM9" s="235">
        <f>SUMIFS(bargiri[میزان بارگیری شده],bargiri[سال],year,bargiri[ماه],insale[[#This Row],[ماه/نوع فروش]],bargiri[نوع سفارش],insale[[#Headers],[عادی]])</f>
        <v>46050</v>
      </c>
      <c r="DN9" s="235">
        <f>SUMIFS(bargiri[میزان بارگیری شده],bargiri[سال],year,bargiri[ماه],insale[[#This Row],[ماه/نوع فروش]],bargiri[نوع سفارش],insale[[#Headers],[انجمن]])</f>
        <v>15750</v>
      </c>
      <c r="DO9" s="235">
        <f>SUMIFS(bargiri[میزان بارگیری شده],bargiri[سال],year,bargiri[ماه],insale[[#This Row],[ماه/نوع فروش]],bargiri[نوع سفارش],insale[[#Headers],[بورس]])</f>
        <v>0</v>
      </c>
      <c r="DP9" s="236">
        <f>SUMIFS(bargiri[میزان بارگیری شده],bargiri[سال],year,bargiri[ماه],insale[[#This Row],[ماه/نوع فروش]],bargiri[نوع سفارش],insale[[#Headers],[تعادلی]])</f>
        <v>0</v>
      </c>
      <c r="DQ9" s="118"/>
      <c r="DR9" s="240" t="s">
        <v>295</v>
      </c>
      <c r="DS9" s="235" cm="1">
        <f t="array" ref="DS9">INDEX(insale[[#This Row],[عادی]:[تعادلی]], DR8)</f>
        <v>0</v>
      </c>
      <c r="DT9" s="239"/>
      <c r="DU9" s="239"/>
      <c r="DW9" s="221"/>
      <c r="DX9" s="222"/>
      <c r="DY9" s="222"/>
      <c r="DZ9" s="222"/>
      <c r="EB9" s="158">
        <v>200000</v>
      </c>
    </row>
    <row r="10" spans="1:132" ht="18.600000000000001" customHeight="1">
      <c r="A10" s="101" t="s">
        <v>101</v>
      </c>
      <c r="E10" s="115" t="s">
        <v>243</v>
      </c>
      <c r="F10" s="158">
        <f>SUMIF(invoice2[[نوع ]],calc!E10,invoice2[میزان سفارش])</f>
        <v>20991960</v>
      </c>
      <c r="G10" s="158" t="e">
        <f>SUMIF(invoice2[[نوع ]],calc!E10,invoice2[مانده])</f>
        <v>#REF!</v>
      </c>
      <c r="H10" s="158" t="e">
        <f>SUMIF(invoice2[[نوع ]],calc!E10,invoice2[حمل شده])</f>
        <v>#REF!</v>
      </c>
      <c r="I10" s="168" t="e">
        <f>G10/F10</f>
        <v>#REF!</v>
      </c>
      <c r="Z10" s="160" t="s">
        <v>46</v>
      </c>
      <c r="AA10" s="356">
        <v>70000</v>
      </c>
      <c r="AB10" s="231">
        <v>200000</v>
      </c>
      <c r="AC10" s="356">
        <v>200000</v>
      </c>
      <c r="AD10" s="356">
        <v>1</v>
      </c>
      <c r="AE10"/>
      <c r="AN10" s="173" t="s">
        <v>99</v>
      </c>
      <c r="AO10" s="174">
        <v>3162140</v>
      </c>
      <c r="AP10" s="174">
        <v>1164165</v>
      </c>
      <c r="AQ10" s="174">
        <v>62656.25</v>
      </c>
      <c r="AR10" s="362">
        <v>4</v>
      </c>
      <c r="AS10" s="363">
        <v>64</v>
      </c>
      <c r="AT10" s="215">
        <v>6.1162618544882745E-2</v>
      </c>
      <c r="AU10" s="175">
        <f t="shared" si="0"/>
        <v>0.63184267616234568</v>
      </c>
      <c r="AV10" s="176"/>
      <c r="AW10" s="176" t="s">
        <v>122</v>
      </c>
      <c r="AX10" s="217">
        <f>IFERROR(SUMIFS(invoice[میزان سفارش],invoice[سال],calc!$AX$5,invoice[نام مشتری],calc!AW10)+IFERROR(SUMIFS(invoice[میزان سفارش],invoice[سال],(calc!$AX$5)-1,invoice[نام مشتری],calc!AW10),0)-SUMIFS(bargiri[میزان بارگیری شده],bargiri[نام مشتری],calc!AW10,bargiri[سال],(calc!$AX$5)-1),"")</f>
        <v>993115</v>
      </c>
      <c r="AY10" s="176"/>
      <c r="AZ10" s="176"/>
      <c r="BA10" s="167">
        <f t="shared" si="3"/>
        <v>4</v>
      </c>
      <c r="BB10" s="167" t="str">
        <f t="shared" si="1"/>
        <v>تعاونی ماهان گاز</v>
      </c>
      <c r="BC10" s="177">
        <f>SUMIFS(invoice[میزان سفارش],invoice[سال],calc!$AX$5,invoice[نام مشتری],calc!BB10)+IFERROR(SUMIFS(invoice[میزان سفارش],invoice[سال],(calc!$AX$5)-1,invoice[نام مشتری],calc!BB10),0)-SUMIFS(bargiri[میزان بارگیری شده],bargiri[نام مشتری],calc!BB10,bargiri[سال],(calc!$AX$5)-1)</f>
        <v>720540</v>
      </c>
      <c r="BD10" s="177">
        <f>SUMIFS(bargiri[میزان بارگیری شده],bargiri[نام مشتری],calc!BB10,bargiri[سال],(calc!$AX$5))</f>
        <v>314940</v>
      </c>
      <c r="BE10" s="175">
        <f t="shared" si="2"/>
        <v>0.43708885002914483</v>
      </c>
      <c r="BJ10" s="160" t="s">
        <v>305</v>
      </c>
      <c r="BK10" s="181">
        <v>694700</v>
      </c>
      <c r="BL10" s="356">
        <v>44</v>
      </c>
      <c r="BO10" s="160" t="s">
        <v>305</v>
      </c>
      <c r="BP10" s="181">
        <v>16907570</v>
      </c>
      <c r="BQ10" s="356">
        <v>63</v>
      </c>
      <c r="BT10" s="173" t="s">
        <v>311</v>
      </c>
      <c r="BU10" s="183">
        <f>IF(SUMIFS(invoice[میزان سفارش],invoice[ماه],calc!BT10,invoice[سال],calc!$BV$5)=0,"",SUMIFS(invoice[میزان سفارش],invoice[ماه],calc!BT10,invoice[سال],calc!$BV$5))</f>
        <v>100000</v>
      </c>
      <c r="BV10" s="183">
        <f>IF(SUMIFS(bargiri[میزان بارگیری شده],bargiri[ماه],calc!BT10,bargiri[سال],calc!$BV$5)=0,"",SUMIFS(bargiri[میزان بارگیری شده],bargiri[ماه],calc!BT10,bargiri[سال],calc!$BV$5))</f>
        <v>2095860</v>
      </c>
      <c r="BW10" s="183">
        <f>IF(BV10="","",SUM($BU$8:BU9)-SUM($BV$8:BV9)+$BW$8)</f>
        <v>22131383</v>
      </c>
      <c r="BX10" s="167" t="str">
        <f>IF($BX$6=TRUE,IF(COUNTIFS(invoice[ماه],calc!BT10,invoice[سال],calc!$BV$5)=0,"",COUNTIFS(invoice[ماه],calc!BT10,invoice[سال],calc!$BV$5)),"")</f>
        <v/>
      </c>
      <c r="BY10" s="167" t="str">
        <f>IF($BY$6=TRUE,IF(COUNTIFS(bargiri[ماه],calc!BT10,bargiri[سال],calc!$BV$5)=0,"",COUNTIFS(bargiri[ماه],calc!BT10,bargiri[سال],calc!$BV$5)),"")</f>
        <v/>
      </c>
      <c r="BZ10" s="184">
        <f>IF(AVERAGEIFS(bargiri[فی],bargiri[ماه],calc!BT10,bargiri[سال],calc!$BV$5)=0,"",AVERAGEIFS(bargiri[فی],bargiri[ماه],calc!BT10,bargiri[سال],calc!$BV$5))</f>
        <v>142389.60629921261</v>
      </c>
      <c r="CA10" s="168">
        <f>IFERROR(BV10/(BW10+BU10),NA())</f>
        <v>9.4274836612728952E-2</v>
      </c>
      <c r="CJ10" s="160" t="s">
        <v>958</v>
      </c>
      <c r="CK10" s="356">
        <v>400000</v>
      </c>
      <c r="CL10" s="356">
        <v>125000</v>
      </c>
      <c r="CM10" s="356">
        <v>95590</v>
      </c>
      <c r="CN10" s="356">
        <v>125000</v>
      </c>
      <c r="CO10" s="187">
        <f t="shared" ref="CO10:CO73" si="4">IF(CK10-CM10&gt;0,CK10-CM10,"")</f>
        <v>304410</v>
      </c>
      <c r="CP10" s="188">
        <f t="shared" ref="CP10:CP30" si="5">IF(CO10&lt;&gt;"",CL10,"")</f>
        <v>125000</v>
      </c>
      <c r="CT10" s="173" t="s">
        <v>304</v>
      </c>
      <c r="CU10" s="179">
        <f>IFERROR(SUMPRODUCT((bargiri[ماه]=CT10)*(bargiri[سال]=$BV$5)*(bargiri[میزان بارگیری شده])*(bargiri[فی])) /SUMIFS(bargiri[میزان بارگیری شده], bargiri[ماه], CT10, bargiri[سال], calc!$BV$5), "")</f>
        <v>150448.47047929728</v>
      </c>
      <c r="CV10" s="179">
        <f>IFERROR(SUMPRODUCT((bargiri[ماه]=CT10)*(bargiri[سال]=$BV$5)*(bargiri[میزان بارگیری شده])*(bargiri[فی])) /SUMIFS(bargiri[فی], bargiri[ماه], CT10, bargiri[سال], calc!$BV$5), "")</f>
        <v>16313.326912972703</v>
      </c>
      <c r="DA10" s="180"/>
      <c r="DH10" s="270"/>
      <c r="DI10" s="167" t="s">
        <v>240</v>
      </c>
      <c r="DJ10" s="179">
        <f>SUMIFS(bargiri[میزان بارگیری شده], bargiri[سال], year, bargiri[نوع سفارش], "تعادلی")</f>
        <v>816965</v>
      </c>
      <c r="DL10" s="235" t="s">
        <v>305</v>
      </c>
      <c r="DM10" s="235">
        <f>SUMIFS(bargiri[میزان بارگیری شده],bargiri[سال],year,bargiri[ماه],insale[[#This Row],[ماه/نوع فروش]],bargiri[نوع سفارش],insale[[#Headers],[عادی]])</f>
        <v>1514850</v>
      </c>
      <c r="DN10" s="235">
        <f>SUMIFS(bargiri[میزان بارگیری شده],bargiri[سال],year,bargiri[ماه],insale[[#This Row],[ماه/نوع فروش]],bargiri[نوع سفارش],insale[[#Headers],[انجمن]])</f>
        <v>344065</v>
      </c>
      <c r="DO10" s="235">
        <f>SUMIFS(bargiri[میزان بارگیری شده],bargiri[سال],year,bargiri[ماه],insale[[#This Row],[ماه/نوع فروش]],bargiri[نوع سفارش],insale[[#Headers],[بورس]])</f>
        <v>80180</v>
      </c>
      <c r="DP10" s="236">
        <f>SUMIFS(bargiri[میزان بارگیری شده],bargiri[سال],year,bargiri[ماه],insale[[#This Row],[ماه/نوع فروش]],bargiri[نوع سفارش],insale[[#Headers],[تعادلی]])</f>
        <v>162995</v>
      </c>
      <c r="DQ10" s="118"/>
      <c r="DR10" s="235" t="s">
        <v>305</v>
      </c>
      <c r="DS10" s="235" cm="1">
        <f t="array" ref="DS10">INDEX(insale[[#This Row],[عادی]:[تعادلی]], DR8)</f>
        <v>162995</v>
      </c>
      <c r="DT10" s="118"/>
      <c r="DU10" s="118"/>
      <c r="DW10" s="221"/>
      <c r="DX10" s="222"/>
      <c r="DY10" s="222"/>
      <c r="DZ10" s="222"/>
      <c r="EB10" s="222">
        <f>EB8*EB9</f>
        <v>22000000000000</v>
      </c>
    </row>
    <row r="11" spans="1:132">
      <c r="A11" s="101" t="s">
        <v>102</v>
      </c>
      <c r="Z11" s="160" t="s">
        <v>47</v>
      </c>
      <c r="AA11" s="356">
        <v>50000</v>
      </c>
      <c r="AB11" s="231">
        <v>100000</v>
      </c>
      <c r="AC11" s="356">
        <v>100000</v>
      </c>
      <c r="AD11" s="356">
        <v>1</v>
      </c>
      <c r="AE11"/>
      <c r="AN11" s="173" t="s">
        <v>113</v>
      </c>
      <c r="AO11" s="174">
        <v>2999320</v>
      </c>
      <c r="AP11" s="174">
        <v>542385</v>
      </c>
      <c r="AQ11" s="174">
        <v>75000</v>
      </c>
      <c r="AR11" s="362">
        <v>3</v>
      </c>
      <c r="AS11" s="363">
        <v>30</v>
      </c>
      <c r="AT11" s="215">
        <v>2.8495691641190233E-2</v>
      </c>
      <c r="AU11" s="175">
        <f t="shared" si="0"/>
        <v>0.81916401050904875</v>
      </c>
      <c r="AV11" s="176"/>
      <c r="AW11" s="176" t="s">
        <v>102</v>
      </c>
      <c r="AX11" s="217">
        <f>IFERROR(SUMIFS(invoice[میزان سفارش],invoice[سال],calc!$AX$5,invoice[نام مشتری],calc!AW11)+IFERROR(SUMIFS(invoice[میزان سفارش],invoice[سال],(calc!$AX$5)-1,invoice[نام مشتری],calc!AW11),0)-SUMIFS(bargiri[میزان بارگیری شده],bargiri[نام مشتری],calc!AW11,bargiri[سال],(calc!$AX$5)-1),"")</f>
        <v>720540</v>
      </c>
      <c r="AY11" s="176"/>
      <c r="AZ11" s="176"/>
      <c r="BA11" s="167">
        <f t="shared" si="3"/>
        <v>5</v>
      </c>
      <c r="BB11" s="167" t="str">
        <f t="shared" si="1"/>
        <v>تولید گازهای طبی و صنعتی مددکاران اصفهان</v>
      </c>
      <c r="BC11" s="177">
        <f>SUMIFS(invoice[میزان سفارش],invoice[سال],calc!$AX$5,invoice[نام مشتری],calc!BB11)+IFERROR(SUMIFS(invoice[میزان سفارش],invoice[سال],(calc!$AX$5)-1,invoice[نام مشتری],calc!BB11),0)-SUMIFS(bargiri[میزان بارگیری شده],bargiri[نام مشتری],calc!BB11,bargiri[سال],(calc!$AX$5)-1)</f>
        <v>438020</v>
      </c>
      <c r="BD11" s="177">
        <f>SUMIFS(bargiri[میزان بارگیری شده],bargiri[نام مشتری],calc!BB11,bargiri[سال],(calc!$AX$5))</f>
        <v>153870</v>
      </c>
      <c r="BE11" s="175">
        <f t="shared" si="2"/>
        <v>0.35128532943701202</v>
      </c>
      <c r="BJ11" s="160" t="s">
        <v>296</v>
      </c>
      <c r="BK11" s="181">
        <v>1699765</v>
      </c>
      <c r="BL11" s="356">
        <v>105</v>
      </c>
      <c r="BO11" s="160" t="s">
        <v>296</v>
      </c>
      <c r="BP11" s="181">
        <v>1318440</v>
      </c>
      <c r="BQ11" s="356">
        <v>15</v>
      </c>
      <c r="BT11" s="173" t="s">
        <v>304</v>
      </c>
      <c r="BU11" s="183">
        <f>IF(SUMIFS(invoice[میزان سفارش],invoice[ماه],calc!BT11,invoice[سال],calc!$BV$5)=0,"",SUMIFS(invoice[میزان سفارش],invoice[ماه],calc!BT11,invoice[سال],calc!$BV$5))</f>
        <v>600000</v>
      </c>
      <c r="BV11" s="183">
        <f>IF(SUMIFS(bargiri[میزان بارگیری شده],bargiri[ماه],calc!BT11,bargiri[سال],calc!$BV$5)=0,"",SUMIFS(bargiri[میزان بارگیری شده],bargiri[ماه],calc!BT11,bargiri[سال],calc!$BV$5))</f>
        <v>1177140</v>
      </c>
      <c r="BW11" s="183">
        <f>IF(BV11="","",SUM($BU$8:BU10)-SUM($BV$8:BV10)+$BW$8)</f>
        <v>20135523</v>
      </c>
      <c r="BX11" s="167" t="str">
        <f>IF($BX$6=TRUE,IF(COUNTIFS(invoice[ماه],calc!BT11,invoice[سال],calc!$BV$5)=0,"",COUNTIFS(invoice[ماه],calc!BT11,invoice[سال],calc!$BV$5)),"")</f>
        <v/>
      </c>
      <c r="BY11" s="167" t="str">
        <f>IF($BY$6=TRUE,IF(COUNTIFS(bargiri[ماه],calc!BT11,bargiri[سال],calc!$BV$5)=0,"",COUNTIFS(bargiri[ماه],calc!BT11,bargiri[سال],calc!$BV$5)),"")</f>
        <v/>
      </c>
      <c r="BZ11" s="184">
        <f>IF(AVERAGEIFS(bargiri[فی],bargiri[ماه],calc!BT11,bargiri[سال],calc!$BV$5)=0,"",AVERAGEIFS(bargiri[فی],bargiri[ماه],calc!BT11,bargiri[سال],calc!$BV$5))</f>
        <v>152902.64788732395</v>
      </c>
      <c r="CA11" s="168">
        <f>IFERROR(BV11/(BW11+BU11),NA())</f>
        <v>5.6769245704581459E-2</v>
      </c>
      <c r="CJ11" s="160" t="s">
        <v>46</v>
      </c>
      <c r="CK11" s="356">
        <v>200000</v>
      </c>
      <c r="CL11" s="356">
        <v>70000</v>
      </c>
      <c r="CM11" s="356">
        <v>200000</v>
      </c>
      <c r="CN11" s="356">
        <v>70000</v>
      </c>
      <c r="CO11" s="187" t="str">
        <f t="shared" si="4"/>
        <v/>
      </c>
      <c r="CP11" s="188" t="str">
        <f t="shared" si="5"/>
        <v/>
      </c>
      <c r="CT11" s="173" t="s">
        <v>303</v>
      </c>
      <c r="CU11" s="179">
        <f>IFERROR(SUMPRODUCT((bargiri[ماه]=CT11)*(bargiri[سال]=$BV$5)*(bargiri[میزان بارگیری شده])*(bargiri[فی])) /SUMIFS(bargiri[میزان بارگیری شده], bargiri[ماه], CT11, bargiri[سال], calc!$BV$5), "")</f>
        <v>145293.38912398287</v>
      </c>
      <c r="CV11" s="179">
        <f>IFERROR(SUMPRODUCT((bargiri[ماه]=CT11)*(bargiri[سال]=$BV$5)*(bargiri[میزان بارگیری شده])*(bargiri[فی])) /SUMIFS(bargiri[فی], bargiri[ماه], CT11, bargiri[سال], calc!$BV$5), "")</f>
        <v>16531.871407954528</v>
      </c>
      <c r="DH11" s="271"/>
      <c r="DI11" s="167" t="s">
        <v>886</v>
      </c>
      <c r="DJ11" s="174">
        <f>SUM(DJ7:DJ10)</f>
        <v>10361140</v>
      </c>
      <c r="DL11" s="235" t="s">
        <v>311</v>
      </c>
      <c r="DM11" s="235">
        <f>SUMIFS(bargiri[میزان بارگیری شده],bargiri[سال],year,bargiri[ماه],insale[[#This Row],[ماه/نوع فروش]],bargiri[نوع سفارش],insale[[#Headers],[عادی]])</f>
        <v>1571740</v>
      </c>
      <c r="DN11" s="235">
        <f>SUMIFS(bargiri[میزان بارگیری شده],bargiri[سال],year,bargiri[ماه],insale[[#This Row],[ماه/نوع فروش]],bargiri[نوع سفارش],insale[[#Headers],[انجمن]])</f>
        <v>274880</v>
      </c>
      <c r="DO11" s="235">
        <f>SUMIFS(bargiri[میزان بارگیری شده],bargiri[سال],year,bargiri[ماه],insale[[#This Row],[ماه/نوع فروش]],bargiri[نوع سفارش],insale[[#Headers],[بورس]])</f>
        <v>31140</v>
      </c>
      <c r="DP11" s="236">
        <f>SUMIFS(bargiri[میزان بارگیری شده],bargiri[سال],year,bargiri[ماه],insale[[#This Row],[ماه/نوع فروش]],bargiri[نوع سفارش],insale[[#Headers],[تعادلی]])</f>
        <v>218100</v>
      </c>
      <c r="DQ11" s="118"/>
      <c r="DR11" s="240" t="s">
        <v>311</v>
      </c>
      <c r="DS11" s="235" cm="1">
        <f t="array" ref="DS11">INDEX(insale[[#This Row],[عادی]:[تعادلی]], DR8)</f>
        <v>218100</v>
      </c>
      <c r="DT11" s="118"/>
      <c r="DU11" s="118"/>
      <c r="DW11" s="222"/>
    </row>
    <row r="12" spans="1:132">
      <c r="A12" s="102" t="s">
        <v>252</v>
      </c>
      <c r="K12" s="156" t="s">
        <v>307</v>
      </c>
      <c r="L12" s="156" t="s">
        <v>289</v>
      </c>
      <c r="M12" s="156" t="s">
        <v>290</v>
      </c>
      <c r="N12" s="156" t="s">
        <v>507</v>
      </c>
      <c r="O12" s="157" t="s">
        <v>235</v>
      </c>
      <c r="P12" s="157" t="s">
        <v>1</v>
      </c>
      <c r="Z12" s="160" t="s">
        <v>913</v>
      </c>
      <c r="AA12" s="356">
        <v>125000</v>
      </c>
      <c r="AB12" s="231">
        <v>500000</v>
      </c>
      <c r="AC12" s="356">
        <v>500000</v>
      </c>
      <c r="AD12" s="356">
        <v>1</v>
      </c>
      <c r="AE12"/>
      <c r="AN12" s="173" t="s">
        <v>102</v>
      </c>
      <c r="AO12" s="174">
        <v>2799340</v>
      </c>
      <c r="AP12" s="174">
        <v>751925</v>
      </c>
      <c r="AQ12" s="174">
        <v>66780.821917808222</v>
      </c>
      <c r="AR12" s="362">
        <v>9</v>
      </c>
      <c r="AS12" s="363">
        <v>73</v>
      </c>
      <c r="AT12" s="215">
        <v>3.9504453363020671E-2</v>
      </c>
      <c r="AU12" s="175">
        <f t="shared" si="0"/>
        <v>0.73139204240999667</v>
      </c>
      <c r="AV12" s="176"/>
      <c r="AW12" s="176" t="s">
        <v>103</v>
      </c>
      <c r="AX12" s="217">
        <f>IFERROR(SUMIFS(invoice[میزان سفارش],invoice[سال],calc!$AX$5,invoice[نام مشتری],calc!AW12)+IFERROR(SUMIFS(invoice[میزان سفارش],invoice[سال],(calc!$AX$5)-1,invoice[نام مشتری],calc!AW12),0)-SUMIFS(bargiri[میزان بارگیری شده],bargiri[نام مشتری],calc!AW12,bargiri[سال],(calc!$AX$5)-1),"")</f>
        <v>438020</v>
      </c>
      <c r="AY12" s="176"/>
      <c r="AZ12" s="176"/>
      <c r="BA12" s="167">
        <f t="shared" si="3"/>
        <v>6</v>
      </c>
      <c r="BB12" s="167" t="str">
        <f t="shared" si="1"/>
        <v>خوش نوش همدان</v>
      </c>
      <c r="BC12" s="177">
        <f>SUMIFS(invoice[میزان سفارش],invoice[سال],calc!$AX$5,invoice[نام مشتری],calc!BB12)+IFERROR(SUMIFS(invoice[میزان سفارش],invoice[سال],(calc!$AX$5)-1,invoice[نام مشتری],calc!BB12),0)-SUMIFS(bargiri[میزان بارگیری شده],bargiri[نام مشتری],calc!BB12,bargiri[سال],(calc!$AX$5)-1)</f>
        <v>-314155</v>
      </c>
      <c r="BD12" s="177">
        <f>SUMIFS(bargiri[میزان بارگیری شده],bargiri[نام مشتری],calc!BB12,bargiri[سال],(calc!$AX$5))</f>
        <v>528690</v>
      </c>
      <c r="BE12" s="175">
        <f t="shared" si="2"/>
        <v>-1.6828953860355558</v>
      </c>
      <c r="BJ12" s="160" t="s">
        <v>297</v>
      </c>
      <c r="BK12" s="181">
        <v>2161055</v>
      </c>
      <c r="BL12" s="356">
        <v>137</v>
      </c>
      <c r="BO12" s="160" t="s">
        <v>297</v>
      </c>
      <c r="BP12" s="181">
        <v>3364100</v>
      </c>
      <c r="BQ12" s="356">
        <v>17</v>
      </c>
      <c r="BT12" s="173" t="s">
        <v>303</v>
      </c>
      <c r="BU12" s="183">
        <f>IF(SUMIFS(invoice[میزان سفارش],invoice[ماه],calc!BT12,invoice[سال],calc!$BV$5)=0,"",SUMIFS(invoice[میزان سفارش],invoice[ماه],calc!BT12,invoice[سال],calc!$BV$5))</f>
        <v>100000</v>
      </c>
      <c r="BV12" s="183">
        <f>IF(SUMIFS(bargiri[میزان بارگیری شده],bargiri[ماه],calc!BT12,bargiri[سال],calc!$BV$5)=0,"",SUMIFS(bargiri[میزان بارگیری شده],bargiri[ماه],calc!BT12,bargiri[سال],calc!$BV$5))</f>
        <v>1930670</v>
      </c>
      <c r="BW12" s="183">
        <f>IF(BV12="","",SUM($BU$8:BU11)-SUM($BV$8:BV11)+$BW$8)</f>
        <v>19558383</v>
      </c>
      <c r="BX12" s="167" t="str">
        <f>IF($BX$6=TRUE,IF(COUNTIFS(invoice[ماه],calc!BT12,invoice[سال],calc!$BV$5)=0,"",COUNTIFS(invoice[ماه],calc!BT12,invoice[سال],calc!$BV$5)),"")</f>
        <v/>
      </c>
      <c r="BY12" s="167" t="str">
        <f>IF($BY$6=TRUE,IF(COUNTIFS(bargiri[ماه],calc!BT12,bargiri[سال],calc!$BV$5)=0,"",COUNTIFS(bargiri[ماه],calc!BT12,bargiri[سال],calc!$BV$5)),"")</f>
        <v/>
      </c>
      <c r="BZ12" s="184">
        <f>IF(AVERAGEIFS(bargiri[فی],bargiri[ماه],calc!BT12,bargiri[سال],calc!$BV$5)=0,"",AVERAGEIFS(bargiri[فی],bargiri[ماه],calc!BT12,bargiri[سال],calc!$BV$5))</f>
        <v>148842.52631578947</v>
      </c>
      <c r="CA12" s="168">
        <f t="shared" ref="CA12:CA19" si="6">IFERROR(BV12/(BW12+BU12),NA())</f>
        <v>9.8211027834791909E-2</v>
      </c>
      <c r="CJ12" s="160" t="s">
        <v>44</v>
      </c>
      <c r="CK12" s="356">
        <v>1000000</v>
      </c>
      <c r="CL12" s="356">
        <v>80000</v>
      </c>
      <c r="CM12" s="356">
        <v>1000000</v>
      </c>
      <c r="CN12" s="356">
        <v>80000</v>
      </c>
      <c r="CO12" s="187" t="str">
        <f t="shared" si="4"/>
        <v/>
      </c>
      <c r="CP12" s="188" t="str">
        <f t="shared" si="5"/>
        <v/>
      </c>
      <c r="CT12" s="173" t="s">
        <v>302</v>
      </c>
      <c r="CU12" s="179">
        <f>IFERROR(SUMPRODUCT((bargiri[ماه]=CT12)*(bargiri[سال]=$BV$5)*(bargiri[میزان بارگیری شده])*(bargiri[فی])) /SUMIFS(bargiri[میزان بارگیری شده], bargiri[ماه], CT12, bargiri[سال], calc!$BV$5), "")</f>
        <v>157919.5818972397</v>
      </c>
      <c r="CV12" s="179">
        <f>IFERROR(SUMPRODUCT((bargiri[ماه]=CT12)*(bargiri[سال]=$BV$5)*(bargiri[میزان بارگیری شده])*(bargiri[فی])) /SUMIFS(bargiri[فی], bargiri[ماه], CT12, bargiri[سال], calc!$BV$5), "")</f>
        <v>16556.6068758933</v>
      </c>
      <c r="DA12" s="167" t="s">
        <v>586</v>
      </c>
      <c r="DB12" s="167" t="str" vm="7">
        <f>DB9</f>
        <v>خوش نوش همدان</v>
      </c>
      <c r="DC12" s="167" t="s">
        <v>237</v>
      </c>
      <c r="DD12" s="167">
        <f>DB6</f>
        <v>1405</v>
      </c>
      <c r="DL12" s="235" t="s">
        <v>304</v>
      </c>
      <c r="DM12" s="235">
        <f>SUMIFS(bargiri[میزان بارگیری شده],bargiri[سال],year,bargiri[ماه],insale[[#This Row],[ماه/نوع فروش]],bargiri[نوع سفارش],insale[[#Headers],[عادی]])</f>
        <v>724730</v>
      </c>
      <c r="DN12" s="235">
        <f>SUMIFS(bargiri[میزان بارگیری شده],bargiri[سال],year,bargiri[ماه],insale[[#This Row],[ماه/نوع فروش]],bargiri[نوع سفارش],insale[[#Headers],[انجمن]])</f>
        <v>284915</v>
      </c>
      <c r="DO12" s="235">
        <f>SUMIFS(bargiri[میزان بارگیری شده],bargiri[سال],year,bargiri[ماه],insale[[#This Row],[ماه/نوع فروش]],bargiri[نوع سفارش],insale[[#Headers],[بورس]])</f>
        <v>17435</v>
      </c>
      <c r="DP12" s="236">
        <f>SUMIFS(bargiri[میزان بارگیری شده],bargiri[سال],year,bargiri[ماه],insale[[#This Row],[ماه/نوع فروش]],bargiri[نوع سفارش],insale[[#Headers],[تعادلی]])</f>
        <v>150060</v>
      </c>
      <c r="DQ12" s="118"/>
      <c r="DR12" s="235" t="s">
        <v>304</v>
      </c>
      <c r="DS12" s="235" cm="1">
        <f t="array" ref="DS12">INDEX(insale[[#This Row],[عادی]:[تعادلی]], DR8)</f>
        <v>150060</v>
      </c>
      <c r="DT12" s="118"/>
      <c r="DU12" s="118"/>
      <c r="DW12" s="222"/>
    </row>
    <row r="13" spans="1:132" ht="18.600000000000001" customHeight="1">
      <c r="A13" s="102" t="s">
        <v>253</v>
      </c>
      <c r="K13" s="158">
        <v>25</v>
      </c>
      <c r="L13" s="158">
        <f>COUNTIF(invoice[سال],calc!$BV$5)</f>
        <v>37</v>
      </c>
      <c r="M13" s="180">
        <f>COUNTIF(bargiri[سال],calc!$BV$5)</f>
        <v>615</v>
      </c>
      <c r="N13" s="180"/>
      <c r="O13" s="181">
        <f>SUMIF(bargiri[سال],year,bargiri[میزان بارگیری شده])</f>
        <v>10361140</v>
      </c>
      <c r="P13" s="189">
        <f>SUMIF(invoice[سال],year,invoice[میزان سفارش])+(SUMIF(invoice[سال],$BV$5-1,invoice[میزان سفارش])+SUMIF(invoice[سال],$BV$5-2,invoice[میزان سفارش]))-(SUMIF(bargiri[سال],calc!$BV$5-1,bargiri[میزان بارگیری شده])+SUMIF(bargiri[سال],calc!$BV$5-2,bargiri[میزان بارگیری شده]))</f>
        <v>25545273</v>
      </c>
      <c r="Z13" s="160" t="s">
        <v>45</v>
      </c>
      <c r="AA13" s="356">
        <v>80000</v>
      </c>
      <c r="AB13" s="231">
        <v>300000</v>
      </c>
      <c r="AC13" s="356">
        <v>300000</v>
      </c>
      <c r="AD13" s="356">
        <v>1</v>
      </c>
      <c r="AE13"/>
      <c r="AN13" s="173" t="s">
        <v>114</v>
      </c>
      <c r="AO13" s="174">
        <v>2600000</v>
      </c>
      <c r="AP13" s="174">
        <v>215790</v>
      </c>
      <c r="AQ13" s="174">
        <v>75000</v>
      </c>
      <c r="AR13" s="362">
        <v>5</v>
      </c>
      <c r="AS13" s="363">
        <v>10</v>
      </c>
      <c r="AT13" s="215">
        <v>1.133712270666121E-2</v>
      </c>
      <c r="AU13" s="175">
        <f t="shared" si="0"/>
        <v>0.91700384615384611</v>
      </c>
      <c r="AV13" s="176"/>
      <c r="AW13" s="176" t="s">
        <v>106</v>
      </c>
      <c r="AX13" s="217">
        <f>IFERROR(SUMIFS(invoice[میزان سفارش],invoice[سال],calc!$AX$5,invoice[نام مشتری],calc!AW13)+IFERROR(SUMIFS(invoice[میزان سفارش],invoice[سال],(calc!$AX$5)-1,invoice[نام مشتری],calc!AW13),0)-SUMIFS(bargiri[میزان بارگیری شده],bargiri[نام مشتری],calc!AW13,bargiri[سال],(calc!$AX$5)-1),"")</f>
        <v>-314155</v>
      </c>
      <c r="AY13" s="176"/>
      <c r="AZ13" s="176"/>
      <c r="BA13" s="167">
        <f t="shared" si="3"/>
        <v>7</v>
      </c>
      <c r="BB13" s="167" t="str">
        <f t="shared" si="1"/>
        <v>تولیدی گازهای طبی و صنعتی طوس سبزوار</v>
      </c>
      <c r="BC13" s="177">
        <f>SUMIFS(invoice[میزان سفارش],invoice[سال],calc!$AX$5,invoice[نام مشتری],calc!BB13)+IFERROR(SUMIFS(invoice[میزان سفارش],invoice[سال],(calc!$AX$5)-1,invoice[نام مشتری],calc!BB13),0)-SUMIFS(bargiri[میزان بارگیری شده],bargiri[نام مشتری],calc!BB13,bargiri[سال],(calc!$AX$5)-1)</f>
        <v>522380</v>
      </c>
      <c r="BD13" s="177">
        <f>SUMIFS(bargiri[میزان بارگیری شده],bargiri[نام مشتری],calc!BB13,bargiri[سال],(calc!$AX$5))</f>
        <v>354200</v>
      </c>
      <c r="BE13" s="175">
        <f t="shared" si="2"/>
        <v>0.67805046134997515</v>
      </c>
      <c r="BJ13" s="160" t="s">
        <v>304</v>
      </c>
      <c r="BK13" s="181">
        <v>1858710</v>
      </c>
      <c r="BL13" s="356">
        <v>112</v>
      </c>
      <c r="BO13" s="160" t="s">
        <v>304</v>
      </c>
      <c r="BP13" s="181">
        <v>2229650</v>
      </c>
      <c r="BQ13" s="356">
        <v>21</v>
      </c>
      <c r="BT13" s="173" t="s">
        <v>302</v>
      </c>
      <c r="BU13" s="183">
        <f>IF(SUMIFS(invoice[میزان سفارش],invoice[ماه],calc!BT13,invoice[سال],calc!$BV$5)=0,"",SUMIFS(invoice[میزان سفارش],invoice[ماه],calc!BT13,invoice[سال],calc!$BV$5))</f>
        <v>450000</v>
      </c>
      <c r="BV13" s="183">
        <f>IF(SUMIFS(bargiri[میزان بارگیری شده],bargiri[ماه],calc!BT13,bargiri[سال],calc!$BV$5)=0,"",SUMIFS(bargiri[میزان بارگیری شده],bargiri[ماه],calc!BT13,bargiri[سال],calc!$BV$5))</f>
        <v>2067530</v>
      </c>
      <c r="BW13" s="183">
        <f>IF(BV13="","",SUM($BU$8:BU12)-SUM($BV$8:BV12)+$BW$8)</f>
        <v>17727713</v>
      </c>
      <c r="BX13" s="167" t="str">
        <f>IF($BX$6=TRUE,IF(COUNTIFS(invoice[ماه],calc!BT13,invoice[سال],calc!$BV$5)=0,"",COUNTIFS(invoice[ماه],calc!BT13,invoice[سال],calc!$BV$5)),"")</f>
        <v/>
      </c>
      <c r="BY13" s="167" t="str">
        <f>IF($BY$6=TRUE,IF(COUNTIFS(bargiri[ماه],calc!BT13,bargiri[سال],calc!$BV$5)=0,"",COUNTIFS(bargiri[ماه],calc!BT13,bargiri[سال],calc!$BV$5)),"")</f>
        <v/>
      </c>
      <c r="BZ13" s="184">
        <f>IF(AVERAGEIFS(bargiri[فی],bargiri[ماه],calc!BT13,bargiri[سال],calc!$BV$5)=0,"",AVERAGEIFS(bargiri[فی],bargiri[ماه],calc!BT13,bargiri[سال],calc!$BV$5))</f>
        <v>161642.90163934426</v>
      </c>
      <c r="CA13" s="168">
        <f t="shared" si="6"/>
        <v>0.11373983074768537</v>
      </c>
      <c r="CJ13" s="160" t="s">
        <v>49</v>
      </c>
      <c r="CK13" s="356">
        <v>100000</v>
      </c>
      <c r="CL13" s="356">
        <v>50000</v>
      </c>
      <c r="CM13" s="356">
        <v>100000</v>
      </c>
      <c r="CN13" s="356">
        <v>50000</v>
      </c>
      <c r="CO13" s="187" t="str">
        <f t="shared" si="4"/>
        <v/>
      </c>
      <c r="CP13" s="188" t="str">
        <f t="shared" si="5"/>
        <v/>
      </c>
      <c r="CT13" s="173" t="s">
        <v>301</v>
      </c>
      <c r="CU13" s="179">
        <f>IFERROR(SUMPRODUCT((bargiri[ماه]=CT13)*(bargiri[سال]=$BV$5)*(bargiri[میزان بارگیری شده])*(bargiri[فی])) /SUMIFS(bargiri[میزان بارگیری شده], bargiri[ماه], CT13, bargiri[سال], calc!$BV$5), "")</f>
        <v>161566.00237568165</v>
      </c>
      <c r="CV13" s="179">
        <f>IFERROR(SUMPRODUCT((bargiri[ماه]=CT13)*(bargiri[سال]=$BV$5)*(bargiri[میزان بارگیری شده])*(bargiri[فی])) /SUMIFS(bargiri[فی], bargiri[ماه], CT13, bargiri[سال], calc!$BV$5), "")</f>
        <v>15081.121880862942</v>
      </c>
      <c r="DA13" s="180" cm="1">
        <f t="array" ref="DA13">IFERROR(SUMPRODUCT((bargiri[نام مشتری]=DB12)*(bargiri[سال]=DD12)*(bargiri[میزان بارگیری شده])*(bargiri[فی])) /SUMIFS(bargiri[میزان بارگیری شده], bargiri[نام مشتری], DB12, bargiri[سال], DD12), "")</f>
        <v>125000</v>
      </c>
      <c r="DH13" s="269" t="s">
        <v>612</v>
      </c>
      <c r="DI13" s="167" t="s">
        <v>243</v>
      </c>
      <c r="DJ13" s="179">
        <f>SUMIFS(invoice[[میزان حمل نشده ]],invoice[نوع سفارش],"عادی")+345</f>
        <v>6543880</v>
      </c>
      <c r="DL13" s="235" t="s">
        <v>303</v>
      </c>
      <c r="DM13" s="235">
        <f>SUMIFS(bargiri[میزان بارگیری شده],bargiri[سال],year,bargiri[ماه],insale[[#This Row],[ماه/نوع فروش]],bargiri[نوع سفارش],insale[[#Headers],[عادی]])</f>
        <v>1459650</v>
      </c>
      <c r="DN13" s="235">
        <f>SUMIFS(bargiri[میزان بارگیری شده],bargiri[سال],year,bargiri[ماه],insale[[#This Row],[ماه/نوع فروش]],bargiri[نوع سفارش],insale[[#Headers],[انجمن]])</f>
        <v>276640</v>
      </c>
      <c r="DO13" s="235">
        <f>SUMIFS(bargiri[میزان بارگیری شده],bargiri[سال],year,bargiri[ماه],insale[[#This Row],[ماه/نوع فروش]],bargiri[نوع سفارش],insale[[#Headers],[بورس]])</f>
        <v>20000</v>
      </c>
      <c r="DP13" s="236">
        <f>SUMIFS(bargiri[میزان بارگیری شده],bargiri[سال],year,bargiri[ماه],insale[[#This Row],[ماه/نوع فروش]],bargiri[نوع سفارش],insale[[#Headers],[تعادلی]])</f>
        <v>174380</v>
      </c>
      <c r="DQ13" s="118"/>
      <c r="DR13" s="240" t="s">
        <v>303</v>
      </c>
      <c r="DS13" s="235" cm="1">
        <f t="array" ref="DS13">INDEX(insale[[#This Row],[عادی]:[تعادلی]], DR8)</f>
        <v>174380</v>
      </c>
      <c r="DT13" s="118"/>
      <c r="DU13" s="118"/>
      <c r="DW13" s="221"/>
      <c r="DX13" s="222"/>
      <c r="DY13" s="222"/>
      <c r="DZ13" s="222"/>
    </row>
    <row r="14" spans="1:132" ht="18.600000000000001" customHeight="1">
      <c r="A14" s="102" t="s">
        <v>105</v>
      </c>
      <c r="Z14" s="160" t="s">
        <v>44</v>
      </c>
      <c r="AA14" s="356">
        <v>80000</v>
      </c>
      <c r="AB14" s="231">
        <v>1000000</v>
      </c>
      <c r="AC14" s="356">
        <v>1000000</v>
      </c>
      <c r="AD14" s="356">
        <v>1</v>
      </c>
      <c r="AE14"/>
      <c r="AN14" s="173" t="s">
        <v>117</v>
      </c>
      <c r="AO14" s="174">
        <v>2572300</v>
      </c>
      <c r="AP14" s="174">
        <v>887195</v>
      </c>
      <c r="AQ14" s="174">
        <v>65848.484848484848</v>
      </c>
      <c r="AR14" s="362">
        <v>23</v>
      </c>
      <c r="AS14" s="363">
        <v>66</v>
      </c>
      <c r="AT14" s="215">
        <v>4.6611235829910058E-2</v>
      </c>
      <c r="AU14" s="175">
        <f t="shared" si="0"/>
        <v>0.65509660615013798</v>
      </c>
      <c r="AV14" s="176"/>
      <c r="AW14" s="176" t="s">
        <v>104</v>
      </c>
      <c r="AX14" s="217">
        <f>IFERROR(SUMIFS(invoice[میزان سفارش],invoice[سال],calc!$AX$5,invoice[نام مشتری],calc!AW14)+IFERROR(SUMIFS(invoice[میزان سفارش],invoice[سال],(calc!$AX$5)-1,invoice[نام مشتری],calc!AW14),0)-SUMIFS(bargiri[میزان بارگیری شده],bargiri[نام مشتری],calc!AW14,bargiri[سال],(calc!$AX$5)-1),"")</f>
        <v>522380</v>
      </c>
      <c r="AY14" s="176"/>
      <c r="AZ14" s="176"/>
      <c r="BA14" s="167">
        <f t="shared" si="3"/>
        <v>8</v>
      </c>
      <c r="BB14" s="167" t="str">
        <f t="shared" si="1"/>
        <v>پارس اکسیر البرز شمالی</v>
      </c>
      <c r="BC14" s="177">
        <f>SUMIFS(invoice[میزان سفارش],invoice[سال],calc!$AX$5,invoice[نام مشتری],calc!BB14)+IFERROR(SUMIFS(invoice[میزان سفارش],invoice[سال],(calc!$AX$5)-1,invoice[نام مشتری],calc!BB14),0)-SUMIFS(bargiri[میزان بارگیری شده],bargiri[نام مشتری],calc!BB14,bargiri[سال],(calc!$AX$5)-1)</f>
        <v>-163275</v>
      </c>
      <c r="BD14" s="177">
        <f>SUMIFS(bargiri[میزان بارگیری شده],bargiri[نام مشتری],calc!BB14,bargiri[سال],(calc!$AX$5))</f>
        <v>576830</v>
      </c>
      <c r="BE14" s="175">
        <f t="shared" si="2"/>
        <v>-3.5328739856071047</v>
      </c>
      <c r="BJ14" s="160" t="s">
        <v>311</v>
      </c>
      <c r="BK14" s="181">
        <v>154150</v>
      </c>
      <c r="BL14" s="356">
        <v>10</v>
      </c>
      <c r="BO14" s="160" t="s">
        <v>311</v>
      </c>
      <c r="BP14" s="181">
        <v>2323085</v>
      </c>
      <c r="BQ14" s="356">
        <v>17</v>
      </c>
      <c r="BR14" s="158">
        <v>1</v>
      </c>
      <c r="BT14" s="173" t="s">
        <v>301</v>
      </c>
      <c r="BU14" s="183" t="str">
        <f>IF(SUMIFS(invoice[میزان سفارش],invoice[ماه],calc!BT14,invoice[سال],calc!$BV$5)=0,"",SUMIFS(invoice[میزان سفارش],invoice[ماه],calc!BT14,invoice[سال],calc!$BV$5))</f>
        <v/>
      </c>
      <c r="BV14" s="183">
        <f>IF(SUMIFS(bargiri[میزان بارگیری شده],bargiri[ماه],calc!BT14,bargiri[سال],calc!$BV$5)=0,"",SUMIFS(bargiri[میزان بارگیری شده],bargiri[ماه],calc!BT14,bargiri[سال],calc!$BV$5))</f>
        <v>926050</v>
      </c>
      <c r="BW14" s="183">
        <f>IF(BV14="","",SUM($BU$8:BU13)-SUM($BV$8:BV13)+$BW$8)</f>
        <v>16110183</v>
      </c>
      <c r="BX14" s="167" t="str">
        <f>IF($BX$6=TRUE,IF(COUNTIFS(invoice[ماه],calc!BT14,invoice[سال],calc!$BV$5)=0,"",COUNTIFS(invoice[ماه],calc!BT14,invoice[سال],calc!$BV$5)),"")</f>
        <v/>
      </c>
      <c r="BY14" s="167" t="str">
        <f>IF($BY$6=TRUE,IF(COUNTIFS(bargiri[ماه],calc!BT14,bargiri[سال],calc!$BV$5)=0,"",COUNTIFS(bargiri[ماه],calc!BT14,bargiri[سال],calc!$BV$5)),"")</f>
        <v/>
      </c>
      <c r="BZ14" s="184">
        <f>IF(AVERAGEIFS(bargiri[فی],bargiri[ماه],calc!BT14,bargiri[سال],calc!$BV$5)=0,"",AVERAGEIFS(bargiri[فی],bargiri[ماه],calc!BT14,bargiri[سال],calc!$BV$5))</f>
        <v>168150.72881355931</v>
      </c>
      <c r="CA14" s="168" t="e">
        <f t="shared" si="6"/>
        <v>#N/A</v>
      </c>
      <c r="CJ14" s="160" t="s">
        <v>48</v>
      </c>
      <c r="CK14" s="356">
        <v>902430</v>
      </c>
      <c r="CL14" s="356">
        <v>65000</v>
      </c>
      <c r="CM14" s="356">
        <v>902430</v>
      </c>
      <c r="CN14" s="356">
        <v>65000</v>
      </c>
      <c r="CO14" s="187" t="str">
        <f t="shared" si="4"/>
        <v/>
      </c>
      <c r="CP14" s="188" t="str">
        <f t="shared" si="5"/>
        <v/>
      </c>
      <c r="CT14" s="173" t="s">
        <v>300</v>
      </c>
      <c r="CU14" s="179" t="str">
        <f>IFERROR(SUMPRODUCT((bargiri[ماه]=CT14)*(bargiri[سال]=$BV$5)*(bargiri[میزان بارگیری شده])*(bargiri[فی])) /SUMIFS(bargiri[میزان بارگیری شده], bargiri[ماه], CT14, bargiri[سال], calc!$BV$5), "")</f>
        <v/>
      </c>
      <c r="CV14" s="179" t="str">
        <f>IFERROR(SUMPRODUCT((bargiri[ماه]=CT14)*(bargiri[سال]=$BV$5)*(bargiri[میزان بارگیری شده])*(bargiri[فی])) /SUMIFS(bargiri[فی], bargiri[ماه], CT14, bargiri[سال], calc!$BV$5), "")</f>
        <v/>
      </c>
      <c r="DH14" s="270"/>
      <c r="DI14" s="167" t="s">
        <v>241</v>
      </c>
      <c r="DJ14" s="179">
        <f>SUMIFS(invoice[[میزان حمل نشده ]],invoice[نوع سفارش],"انجمن")</f>
        <v>7743818</v>
      </c>
      <c r="DL14" s="235" t="s">
        <v>302</v>
      </c>
      <c r="DM14" s="235">
        <f>SUMIFS(bargiri[میزان بارگیری شده],bargiri[سال],year,bargiri[ماه],insale[[#This Row],[ماه/نوع فروش]],bargiri[نوع سفارش],insale[[#Headers],[عادی]])</f>
        <v>1533010</v>
      </c>
      <c r="DN14" s="235">
        <f>SUMIFS(bargiri[میزان بارگیری شده],bargiri[سال],year,bargiri[ماه],insale[[#This Row],[ماه/نوع فروش]],bargiri[نوع سفارش],insale[[#Headers],[انجمن]])</f>
        <v>410440</v>
      </c>
      <c r="DO14" s="235">
        <f>SUMIFS(bargiri[میزان بارگیری شده],bargiri[سال],year,bargiri[ماه],insale[[#This Row],[ماه/نوع فروش]],bargiri[نوع سفارش],insale[[#Headers],[بورس]])</f>
        <v>53410</v>
      </c>
      <c r="DP14" s="236">
        <f>SUMIFS(bargiri[میزان بارگیری شده],bargiri[سال],year,bargiri[ماه],insale[[#This Row],[ماه/نوع فروش]],bargiri[نوع سفارش],insale[[#Headers],[تعادلی]])</f>
        <v>70670</v>
      </c>
      <c r="DQ14" s="118"/>
      <c r="DR14" s="235" t="s">
        <v>302</v>
      </c>
      <c r="DS14" s="235" cm="1">
        <f t="array" ref="DS14">INDEX(insale[[#This Row],[عادی]:[تعادلی]], DR8)</f>
        <v>70670</v>
      </c>
      <c r="DT14" s="118"/>
      <c r="DU14" s="118"/>
      <c r="DW14" s="221"/>
      <c r="DX14" s="222"/>
      <c r="DY14" s="222"/>
      <c r="DZ14" s="222"/>
    </row>
    <row r="15" spans="1:132" ht="18.600000000000001" customHeight="1">
      <c r="A15" s="101" t="s">
        <v>106</v>
      </c>
      <c r="Z15" s="160" t="s">
        <v>781</v>
      </c>
      <c r="AA15" s="356">
        <v>111000</v>
      </c>
      <c r="AB15" s="231">
        <v>500000</v>
      </c>
      <c r="AC15" s="356">
        <v>500000</v>
      </c>
      <c r="AD15" s="356">
        <v>1</v>
      </c>
      <c r="AE15"/>
      <c r="AN15" s="173" t="s">
        <v>109</v>
      </c>
      <c r="AO15" s="174">
        <v>2500000</v>
      </c>
      <c r="AP15" s="174"/>
      <c r="AQ15" s="174"/>
      <c r="AR15" s="362">
        <v>3</v>
      </c>
      <c r="AS15" s="363"/>
      <c r="AT15" s="215">
        <v>0</v>
      </c>
      <c r="AU15" s="175">
        <f t="shared" si="0"/>
        <v>1</v>
      </c>
      <c r="AV15" s="176"/>
      <c r="AW15" s="176" t="s">
        <v>99</v>
      </c>
      <c r="AX15" s="217">
        <f>IFERROR(SUMIFS(invoice[میزان سفارش],invoice[سال],calc!$AX$5,invoice[نام مشتری],calc!AW15)+IFERROR(SUMIFS(invoice[میزان سفارش],invoice[سال],(calc!$AX$5)-1,invoice[نام مشتری],calc!AW15),0)-SUMIFS(bargiri[میزان بارگیری شده],bargiri[نام مشتری],calc!AW15,bargiri[سال],(calc!$AX$5)-1),"")</f>
        <v>-163275</v>
      </c>
      <c r="AY15" s="176"/>
      <c r="AZ15" s="176"/>
      <c r="BA15" s="167">
        <f t="shared" si="3"/>
        <v>9</v>
      </c>
      <c r="BB15" s="167" t="str">
        <f t="shared" si="1"/>
        <v>اکسیژن ارومیه گاز</v>
      </c>
      <c r="BC15" s="177">
        <f>SUMIFS(invoice[میزان سفارش],invoice[سال],calc!$AX$5,invoice[نام مشتری],calc!BB15)+IFERROR(SUMIFS(invoice[میزان سفارش],invoice[سال],(calc!$AX$5)-1,invoice[نام مشتری],calc!BB15),0)-SUMIFS(bargiri[میزان بارگیری شده],bargiri[نام مشتری],calc!BB15,bargiri[سال],(calc!$AX$5)-1)</f>
        <v>116055</v>
      </c>
      <c r="BD15" s="177">
        <f>SUMIFS(bargiri[میزان بارگیری شده],bargiri[نام مشتری],calc!BB15,bargiri[سال],(calc!$AX$5))</f>
        <v>44880</v>
      </c>
      <c r="BE15" s="175">
        <f t="shared" si="2"/>
        <v>0.3867131963293266</v>
      </c>
      <c r="BJ15" s="160" t="s">
        <v>298</v>
      </c>
      <c r="BK15" s="181">
        <v>2312705</v>
      </c>
      <c r="BL15" s="356">
        <v>145</v>
      </c>
      <c r="BO15" s="160" t="s">
        <v>298</v>
      </c>
      <c r="BP15" s="181">
        <v>10142650</v>
      </c>
      <c r="BQ15" s="356">
        <v>38</v>
      </c>
      <c r="BT15" s="173" t="s">
        <v>300</v>
      </c>
      <c r="BU15" s="183" t="str">
        <f>IF(SUMIFS(invoice[میزان سفارش],invoice[ماه],calc!BT15,invoice[سال],calc!$BV$5)=0,"",SUMIFS(invoice[میزان سفارش],invoice[ماه],calc!BT15,invoice[سال],calc!$BV$5))</f>
        <v/>
      </c>
      <c r="BV15" s="183" t="str">
        <f>IF(SUMIFS(bargiri[میزان بارگیری شده],bargiri[ماه],calc!BT15,bargiri[سال],calc!$BV$5)=0,"",SUMIFS(bargiri[میزان بارگیری شده],bargiri[ماه],calc!BT15,bargiri[سال],calc!$BV$5))</f>
        <v/>
      </c>
      <c r="BW15" s="183" t="str">
        <f>IF(BV15="","",SUM($BU$8:BU14)-SUM($BV$8:BV14)+$BW$8)</f>
        <v/>
      </c>
      <c r="BX15" s="167" t="str">
        <f>IF($BX$6=TRUE,IF(COUNTIFS(invoice[ماه],calc!BT15,invoice[سال],calc!$BV$5)=0,"",COUNTIFS(invoice[ماه],calc!BT15,invoice[سال],calc!$BV$5)),"")</f>
        <v/>
      </c>
      <c r="BY15" s="167" t="str">
        <f>IF($BY$6=TRUE,IF(COUNTIFS(bargiri[ماه],calc!BT15,bargiri[سال],calc!$BV$5)=0,"",COUNTIFS(bargiri[ماه],calc!BT15,bargiri[سال],calc!$BV$5)),"")</f>
        <v/>
      </c>
      <c r="BZ15" s="184" t="e">
        <f>IF(AVERAGEIFS(bargiri[فی],bargiri[ماه],calc!BT15,bargiri[سال],calc!$BV$5)=0,"",AVERAGEIFS(bargiri[فی],bargiri[ماه],calc!BT15,bargiri[سال],calc!$BV$5))</f>
        <v>#DIV/0!</v>
      </c>
      <c r="CA15" s="168" t="e">
        <f t="shared" si="6"/>
        <v>#N/A</v>
      </c>
      <c r="CJ15" s="160" t="s">
        <v>47</v>
      </c>
      <c r="CK15" s="356">
        <v>100000</v>
      </c>
      <c r="CL15" s="356">
        <v>50000</v>
      </c>
      <c r="CM15" s="356">
        <v>100000</v>
      </c>
      <c r="CN15" s="356">
        <v>50000</v>
      </c>
      <c r="CO15" s="187" t="str">
        <f t="shared" si="4"/>
        <v/>
      </c>
      <c r="CP15" s="188" t="str">
        <f t="shared" si="5"/>
        <v/>
      </c>
      <c r="CT15" s="173" t="s">
        <v>299</v>
      </c>
      <c r="CU15" s="179" t="str">
        <f>IFERROR(SUMPRODUCT((bargiri[ماه]=CT15)*(bargiri[سال]=$BV$5)*(bargiri[میزان بارگیری شده])*(bargiri[فی])) /SUMIFS(bargiri[میزان بارگیری شده], bargiri[ماه], CT15, bargiri[سال], calc!$BV$5), "")</f>
        <v/>
      </c>
      <c r="CV15" s="179" t="str">
        <f>IFERROR(SUMPRODUCT((bargiri[ماه]=CT15)*(bargiri[سال]=$BV$5)*(bargiri[میزان بارگیری شده])*(bargiri[فی])) /SUMIFS(bargiri[فی], bargiri[ماه], CT15, bargiri[سال], calc!$BV$5), "")</f>
        <v/>
      </c>
      <c r="DA15" s="167" t="s">
        <v>586</v>
      </c>
      <c r="DB15" s="167"/>
      <c r="DC15" s="167" t="s">
        <v>237</v>
      </c>
      <c r="DD15" s="167">
        <f>DD12</f>
        <v>1405</v>
      </c>
      <c r="DH15" s="270"/>
      <c r="DI15" s="167" t="s">
        <v>242</v>
      </c>
      <c r="DJ15" s="179">
        <f>SUMIFS(invoice[[میزان حمل نشده ]],invoice[نوع سفارش],"بورس")</f>
        <v>654230</v>
      </c>
      <c r="DL15" s="235" t="s">
        <v>301</v>
      </c>
      <c r="DM15" s="235">
        <f>SUMIFS(bargiri[میزان بارگیری شده],bargiri[سال],year,bargiri[ماه],insale[[#This Row],[ماه/نوع فروش]],bargiri[نوع سفارش],insale[[#Headers],[عادی]])</f>
        <v>709710</v>
      </c>
      <c r="DN15" s="235">
        <f>SUMIFS(bargiri[میزان بارگیری شده],bargiri[سال],year,bargiri[ماه],insale[[#This Row],[ماه/نوع فروش]],bargiri[نوع سفارش],insale[[#Headers],[انجمن]])</f>
        <v>163220</v>
      </c>
      <c r="DO15" s="235">
        <f>SUMIFS(bargiri[میزان بارگیری شده],bargiri[سال],year,bargiri[ماه],insale[[#This Row],[ماه/نوع فروش]],bargiri[نوع سفارش],insale[[#Headers],[بورس]])</f>
        <v>12360</v>
      </c>
      <c r="DP15" s="236">
        <f>SUMIFS(bargiri[میزان بارگیری شده],bargiri[سال],year,bargiri[ماه],insale[[#This Row],[ماه/نوع فروش]],bargiri[نوع سفارش],insale[[#Headers],[تعادلی]])</f>
        <v>40760</v>
      </c>
      <c r="DQ15" s="118"/>
      <c r="DR15" s="240" t="s">
        <v>301</v>
      </c>
      <c r="DS15" s="235" cm="1">
        <f t="array" ref="DS15">INDEX(insale[[#This Row],[عادی]:[تعادلی]], DR8)</f>
        <v>40760</v>
      </c>
      <c r="DT15" s="118"/>
      <c r="DU15" s="118"/>
      <c r="DW15" s="221"/>
      <c r="DX15" s="222"/>
      <c r="DY15" s="222"/>
      <c r="DZ15" s="222"/>
    </row>
    <row r="16" spans="1:132" ht="18.600000000000001" customHeight="1">
      <c r="A16" s="101" t="s">
        <v>107</v>
      </c>
      <c r="Z16"/>
      <c r="AA16"/>
      <c r="AB16"/>
      <c r="AC16"/>
      <c r="AD16"/>
      <c r="AE16"/>
      <c r="AN16" s="173" t="s">
        <v>105</v>
      </c>
      <c r="AO16" s="174">
        <v>2400000</v>
      </c>
      <c r="AP16" s="174"/>
      <c r="AQ16" s="174"/>
      <c r="AR16" s="362">
        <v>4</v>
      </c>
      <c r="AS16" s="363"/>
      <c r="AT16" s="215">
        <v>0</v>
      </c>
      <c r="AU16" s="175">
        <f t="shared" si="0"/>
        <v>1</v>
      </c>
      <c r="AV16" s="176"/>
      <c r="AW16" s="176" t="s">
        <v>98</v>
      </c>
      <c r="AX16" s="217">
        <f>IFERROR(SUMIFS(invoice[میزان سفارش],invoice[سال],calc!$AX$5,invoice[نام مشتری],calc!AW16)+IFERROR(SUMIFS(invoice[میزان سفارش],invoice[سال],(calc!$AX$5)-1,invoice[نام مشتری],calc!AW16),0)-SUMIFS(bargiri[میزان بارگیری شده],bargiri[نام مشتری],calc!AW16,bargiri[سال],(calc!$AX$5)-1),"")</f>
        <v>116055</v>
      </c>
      <c r="AY16" s="176"/>
      <c r="AZ16" s="176"/>
      <c r="BA16" s="167">
        <f t="shared" si="3"/>
        <v>10</v>
      </c>
      <c r="BB16" s="167" t="str">
        <f t="shared" si="1"/>
        <v>گاز اکسیژن طوس</v>
      </c>
      <c r="BC16" s="177">
        <f>SUMIFS(invoice[میزان سفارش],invoice[سال],calc!$AX$5,invoice[نام مشتری],calc!BB16)+IFERROR(SUMIFS(invoice[میزان سفارش],invoice[سال],(calc!$AX$5)-1,invoice[نام مشتری],calc!BB16),0)-SUMIFS(bargiri[میزان بارگیری شده],bargiri[نام مشتری],calc!BB16,bargiri[سال],(calc!$AX$5)-1)</f>
        <v>617815</v>
      </c>
      <c r="BD16" s="177">
        <f>SUMIFS(bargiri[میزان بارگیری شده],bargiri[نام مشتری],calc!BB16,bargiri[سال],(calc!$AX$5))</f>
        <v>175310</v>
      </c>
      <c r="BE16" s="175">
        <f t="shared" si="2"/>
        <v>0.28375808292126281</v>
      </c>
      <c r="BJ16" s="160" t="s">
        <v>302</v>
      </c>
      <c r="BK16" s="181">
        <v>2227410</v>
      </c>
      <c r="BL16" s="356">
        <v>126</v>
      </c>
      <c r="BO16" s="160" t="s">
        <v>302</v>
      </c>
      <c r="BP16" s="181">
        <v>4686685</v>
      </c>
      <c r="BQ16" s="356">
        <v>21</v>
      </c>
      <c r="BT16" s="173" t="s">
        <v>299</v>
      </c>
      <c r="BU16" s="183" t="str">
        <f>IF(SUMIFS(invoice[میزان سفارش],invoice[ماه],calc!BT16,invoice[سال],calc!$BV$5)=0,"",SUMIFS(invoice[میزان سفارش],invoice[ماه],calc!BT16,invoice[سال],calc!$BV$5))</f>
        <v/>
      </c>
      <c r="BV16" s="183" t="str">
        <f>IF(SUMIFS(bargiri[میزان بارگیری شده],bargiri[ماه],calc!BT16,bargiri[سال],calc!$BV$5)=0,"",SUMIFS(bargiri[میزان بارگیری شده],bargiri[ماه],calc!BT16,bargiri[سال],calc!$BV$5))</f>
        <v/>
      </c>
      <c r="BW16" s="183" t="str">
        <f>IF(BV16="","",SUM($BU$8:BU15)-SUM($BV$8:BV15)+$BW$8)</f>
        <v/>
      </c>
      <c r="BX16" s="167" t="str">
        <f>IF($BX$6=TRUE,IF(COUNTIFS(invoice[ماه],calc!BT16,invoice[سال],calc!$BV$5)=0,"",COUNTIFS(invoice[ماه],calc!BT16,invoice[سال],calc!$BV$5)),"")</f>
        <v/>
      </c>
      <c r="BY16" s="167" t="str">
        <f>IF($BY$6=TRUE,IF(COUNTIFS(bargiri[ماه],calc!BT16,bargiri[سال],calc!$BV$5)=0,"",COUNTIFS(bargiri[ماه],calc!BT16,bargiri[سال],calc!$BV$5)),"")</f>
        <v/>
      </c>
      <c r="BZ16" s="184" t="e">
        <f>IF(AVERAGEIFS(bargiri[فی],bargiri[ماه],calc!BT16,bargiri[سال],calc!$BV$5)=0,"",AVERAGEIFS(bargiri[فی],bargiri[ماه],calc!BT16,bargiri[سال],calc!$BV$5))</f>
        <v>#DIV/0!</v>
      </c>
      <c r="CA16" s="168" t="e">
        <f t="shared" si="6"/>
        <v>#N/A</v>
      </c>
      <c r="CJ16" s="160" t="s">
        <v>45</v>
      </c>
      <c r="CK16" s="356">
        <v>300000</v>
      </c>
      <c r="CL16" s="356">
        <v>80000</v>
      </c>
      <c r="CM16" s="356">
        <v>300000</v>
      </c>
      <c r="CN16" s="356">
        <v>80000</v>
      </c>
      <c r="CO16" s="187" t="str">
        <f t="shared" si="4"/>
        <v/>
      </c>
      <c r="CP16" s="188" t="str">
        <f t="shared" si="5"/>
        <v/>
      </c>
      <c r="CT16" s="173" t="s">
        <v>298</v>
      </c>
      <c r="CU16" s="179" t="str">
        <f>IFERROR(SUMPRODUCT((bargiri[ماه]=CT16)*(bargiri[سال]=$BV$5)*(bargiri[میزان بارگیری شده])*(bargiri[فی])) /SUMIFS(bargiri[میزان بارگیری شده], bargiri[ماه], CT16, bargiri[سال], calc!$BV$5), "")</f>
        <v/>
      </c>
      <c r="CV16" s="179" t="str">
        <f>IFERROR(SUMPRODUCT((bargiri[ماه]=CT16)*(bargiri[سال]=$BV$5)*(bargiri[میزان بارگیری شده])*(bargiri[فی])) /SUMIFS(bargiri[فی], bargiri[ماه], CT16, bargiri[سال], calc!$BV$5), "")</f>
        <v/>
      </c>
      <c r="DA16" s="167" t="s">
        <v>236</v>
      </c>
      <c r="DB16" s="167" t="s">
        <v>510</v>
      </c>
      <c r="DH16" s="270"/>
      <c r="DI16" s="167" t="s">
        <v>240</v>
      </c>
      <c r="DJ16" s="179">
        <f>SUMIFS(invoice[[میزان حمل نشده ]],invoice[نوع سفارش],"تعادلی")</f>
        <v>252020</v>
      </c>
      <c r="DL16" s="235" t="s">
        <v>300</v>
      </c>
      <c r="DM16" s="235">
        <f>SUMIFS(bargiri[میزان بارگیری شده],bargiri[سال],year,bargiri[ماه],insale[[#This Row],[ماه/نوع فروش]],bargiri[نوع سفارش],insale[[#Headers],[عادی]])</f>
        <v>0</v>
      </c>
      <c r="DN16" s="235">
        <f>SUMIFS(bargiri[میزان بارگیری شده],bargiri[سال],year,bargiri[ماه],insale[[#This Row],[ماه/نوع فروش]],bargiri[نوع سفارش],insale[[#Headers],[انجمن]])</f>
        <v>0</v>
      </c>
      <c r="DO16" s="235">
        <f>SUMIFS(bargiri[میزان بارگیری شده],bargiri[سال],year,bargiri[ماه],insale[[#This Row],[ماه/نوع فروش]],bargiri[نوع سفارش],insale[[#Headers],[بورس]])</f>
        <v>0</v>
      </c>
      <c r="DP16" s="236">
        <f>SUMIFS(bargiri[میزان بارگیری شده],bargiri[سال],year,bargiri[ماه],insale[[#This Row],[ماه/نوع فروش]],bargiri[نوع سفارش],insale[[#Headers],[تعادلی]])</f>
        <v>0</v>
      </c>
      <c r="DQ16" s="118"/>
      <c r="DR16" s="235" t="s">
        <v>300</v>
      </c>
      <c r="DS16" s="235" cm="1">
        <f t="array" ref="DS16">INDEX(insale[[#This Row],[عادی]:[تعادلی]], DR8)</f>
        <v>0</v>
      </c>
      <c r="DT16" s="118"/>
      <c r="DU16" s="118"/>
      <c r="DW16" s="221"/>
      <c r="DX16" s="222"/>
      <c r="DY16" s="222"/>
      <c r="DZ16" s="222"/>
    </row>
    <row r="17" spans="1:130">
      <c r="A17" s="102" t="s">
        <v>108</v>
      </c>
      <c r="K17" s="159" t="s">
        <v>512</v>
      </c>
      <c r="L17" s="160" t="s" vm="6">
        <v>1022</v>
      </c>
      <c r="M17" s="104"/>
      <c r="N17" s="104"/>
      <c r="Z17"/>
      <c r="AA17"/>
      <c r="AB17"/>
      <c r="AC17"/>
      <c r="AD17"/>
      <c r="AE17"/>
      <c r="AN17" s="173" t="s">
        <v>104</v>
      </c>
      <c r="AO17" s="174">
        <v>2361830</v>
      </c>
      <c r="AP17" s="174">
        <v>769710</v>
      </c>
      <c r="AQ17" s="174">
        <v>83330.638297872341</v>
      </c>
      <c r="AR17" s="362">
        <v>30</v>
      </c>
      <c r="AS17" s="363">
        <v>47</v>
      </c>
      <c r="AT17" s="215">
        <v>4.0438837381455116E-2</v>
      </c>
      <c r="AU17" s="175">
        <f t="shared" si="0"/>
        <v>0.67410440209498568</v>
      </c>
      <c r="AV17" s="176"/>
      <c r="AW17" s="176" t="s">
        <v>121</v>
      </c>
      <c r="AX17" s="217">
        <f>IFERROR(SUMIFS(invoice[میزان سفارش],invoice[سال],calc!$AX$5,invoice[نام مشتری],calc!AW17)+IFERROR(SUMIFS(invoice[میزان سفارش],invoice[سال],(calc!$AX$5)-1,invoice[نام مشتری],calc!AW17),0)-SUMIFS(bargiri[میزان بارگیری شده],bargiri[نام مشتری],calc!AW17,bargiri[سال],(calc!$AX$5)-1),"")</f>
        <v>617815</v>
      </c>
      <c r="AY17" s="176"/>
      <c r="AZ17" s="176"/>
      <c r="BJ17" s="160" t="s">
        <v>295</v>
      </c>
      <c r="BK17" s="181">
        <v>1070380</v>
      </c>
      <c r="BL17" s="356">
        <v>83</v>
      </c>
      <c r="BO17" s="160" t="s">
        <v>295</v>
      </c>
      <c r="BP17" s="181">
        <v>16739615</v>
      </c>
      <c r="BQ17" s="356">
        <v>26</v>
      </c>
      <c r="BT17" s="173" t="s">
        <v>298</v>
      </c>
      <c r="BU17" s="183" t="str">
        <f>IF(SUMIFS(invoice[میزان سفارش],invoice[ماه],calc!BT17,invoice[سال],calc!$BV$5)=0,"",SUMIFS(invoice[میزان سفارش],invoice[ماه],calc!BT17,invoice[سال],calc!$BV$5))</f>
        <v/>
      </c>
      <c r="BV17" s="183" t="str">
        <f>IF(SUMIFS(bargiri[میزان بارگیری شده],bargiri[ماه],calc!BT17,bargiri[سال],calc!$BV$5)=0,"",SUMIFS(bargiri[میزان بارگیری شده],bargiri[ماه],calc!BT17,bargiri[سال],calc!$BV$5))</f>
        <v/>
      </c>
      <c r="BW17" s="183" t="str">
        <f>IF(BV17="","",SUM($BU$8:BU16)-SUM($BV$8:BV16)+$BW$8)</f>
        <v/>
      </c>
      <c r="BX17" s="167" t="str">
        <f>IF($BX$6=TRUE,IF(COUNTIFS(invoice[ماه],calc!BT17,invoice[سال],calc!$BV$5)=0,"",COUNTIFS(invoice[ماه],calc!BT17,invoice[سال],calc!$BV$5)),"")</f>
        <v/>
      </c>
      <c r="BY17" s="167" t="str">
        <f>IF($BY$6=TRUE,IF(COUNTIFS(bargiri[ماه],calc!BT17,bargiri[سال],calc!$BV$5)=0,"",COUNTIFS(bargiri[ماه],calc!BT17,bargiri[سال],calc!$BV$5)),"")</f>
        <v/>
      </c>
      <c r="BZ17" s="184" t="e">
        <f>IF(AVERAGEIFS(bargiri[فی],bargiri[ماه],calc!BT17,bargiri[سال],calc!$BV$5)=0,"",AVERAGEIFS(bargiri[فی],bargiri[ماه],calc!BT17,bargiri[سال],calc!$BV$5))</f>
        <v>#DIV/0!</v>
      </c>
      <c r="CA17" s="168" t="e">
        <f t="shared" si="6"/>
        <v>#N/A</v>
      </c>
      <c r="CJ17" s="160" t="s">
        <v>781</v>
      </c>
      <c r="CK17" s="356">
        <v>500000</v>
      </c>
      <c r="CL17" s="356">
        <v>111000</v>
      </c>
      <c r="CM17" s="356">
        <v>500000</v>
      </c>
      <c r="CN17" s="356">
        <v>111000</v>
      </c>
      <c r="CO17" s="187" t="str">
        <f t="shared" si="4"/>
        <v/>
      </c>
      <c r="CP17" s="188" t="str">
        <f t="shared" si="5"/>
        <v/>
      </c>
      <c r="CT17" s="173" t="s">
        <v>297</v>
      </c>
      <c r="CU17" s="179" t="str">
        <f>IFERROR(SUMPRODUCT((bargiri[ماه]=CT17)*(bargiri[سال]=$BV$5)*(bargiri[میزان بارگیری شده])*(bargiri[فی])) /SUMIFS(bargiri[میزان بارگیری شده], bargiri[ماه], CT17, bargiri[سال], calc!$BV$5), "")</f>
        <v/>
      </c>
      <c r="CV17" s="179" t="str">
        <f>IFERROR(SUMPRODUCT((bargiri[ماه]=CT17)*(bargiri[سال]=$BV$5)*(bargiri[میزان بارگیری شده])*(bargiri[فی])) /SUMIFS(bargiri[فی], bargiri[ماه], CT17, bargiri[سال], calc!$BV$5), "")</f>
        <v/>
      </c>
      <c r="DA17" s="173" t="s">
        <v>295</v>
      </c>
      <c r="DB17" s="179" cm="1">
        <f t="array" ref="DB17">IFERROR(
    SUMPRODUCT(
        (bargiri[سال]=$BV$5)*
        (MATCH(bargiri[ماه],{"فروردین","اردیبهشت","خرداد","تیر","مرداد","شهریور","مهر","آبان","آذر","دی","بهمن","اسفند"},0)
            &lt;=MATCH(CT7,{"فروردین","اردیبهشت","خرداد","تیر","مرداد","شهریور","مهر","آبان","آذر","دی","بهمن","اسفند"},0))*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&lt;=MATCH(CT7,{"فروردین","اردیبهشت","خرداد","تیر","مرداد","شهریور","مهر","آبان","آذر","دی","بهمن","اسفند"},0))*
        (bargiri[میزان بارگیری شده])
    ),
"")</f>
        <v>130065.24271844661</v>
      </c>
      <c r="DH17" s="271"/>
      <c r="DI17" s="167" t="s">
        <v>886</v>
      </c>
      <c r="DJ17" s="174">
        <f>SUM(DJ13:DJ16)</f>
        <v>15193948</v>
      </c>
      <c r="DL17" s="235" t="s">
        <v>299</v>
      </c>
      <c r="DM17" s="235">
        <f>SUMIFS(bargiri[میزان بارگیری شده],bargiri[سال],year,bargiri[ماه],insale[[#This Row],[ماه/نوع فروش]],bargiri[نوع سفارش],insale[[#Headers],[عادی]])</f>
        <v>0</v>
      </c>
      <c r="DN17" s="235">
        <f>SUMIFS(bargiri[میزان بارگیری شده],bargiri[سال],year,bargiri[ماه],insale[[#This Row],[ماه/نوع فروش]],bargiri[نوع سفارش],insale[[#Headers],[انجمن]])</f>
        <v>0</v>
      </c>
      <c r="DO17" s="235">
        <f>SUMIFS(bargiri[میزان بارگیری شده],bargiri[سال],year,bargiri[ماه],insale[[#This Row],[ماه/نوع فروش]],bargiri[نوع سفارش],insale[[#Headers],[بورس]])</f>
        <v>0</v>
      </c>
      <c r="DP17" s="236">
        <f>SUMIFS(bargiri[میزان بارگیری شده],bargiri[سال],year,bargiri[ماه],insale[[#This Row],[ماه/نوع فروش]],bargiri[نوع سفارش],insale[[#Headers],[تعادلی]])</f>
        <v>0</v>
      </c>
      <c r="DQ17" s="118"/>
      <c r="DR17" s="240" t="s">
        <v>299</v>
      </c>
      <c r="DS17" s="235" cm="1">
        <f t="array" ref="DS17">INDEX(insale[[#This Row],[عادی]:[تعادلی]], DR8)</f>
        <v>0</v>
      </c>
      <c r="DT17" s="118"/>
      <c r="DU17" s="118"/>
      <c r="DW17" s="221"/>
      <c r="DX17" s="222"/>
      <c r="DY17" s="222"/>
      <c r="DZ17" s="222"/>
    </row>
    <row r="18" spans="1:130">
      <c r="A18" s="101" t="s">
        <v>109</v>
      </c>
      <c r="Z18"/>
      <c r="AA18"/>
      <c r="AB18"/>
      <c r="AC18"/>
      <c r="AD18"/>
      <c r="AE18"/>
      <c r="AN18" s="173" t="s">
        <v>103</v>
      </c>
      <c r="AO18" s="174">
        <v>2146708</v>
      </c>
      <c r="AP18" s="174">
        <v>551720</v>
      </c>
      <c r="AQ18" s="174">
        <v>75844.155844155845</v>
      </c>
      <c r="AR18" s="362">
        <v>8</v>
      </c>
      <c r="AS18" s="363">
        <v>77</v>
      </c>
      <c r="AT18" s="215">
        <v>2.8986131608133476E-2</v>
      </c>
      <c r="AU18" s="175">
        <f t="shared" si="0"/>
        <v>0.74299252623086143</v>
      </c>
      <c r="AV18" s="176"/>
      <c r="AW18" s="176" t="s">
        <v>117</v>
      </c>
      <c r="AX18" s="217">
        <f>IFERROR(SUMIFS(invoice[میزان سفارش],invoice[سال],calc!$AX$5,invoice[نام مشتری],calc!AW18)+IFERROR(SUMIFS(invoice[میزان سفارش],invoice[سال],(calc!$AX$5)-1,invoice[نام مشتری],calc!AW18),0)-SUMIFS(bargiri[میزان بارگیری شده],bargiri[نام مشتری],calc!AW18,bargiri[سال],(calc!$AX$5)-1),"")</f>
        <v>730520</v>
      </c>
      <c r="AY18" s="176"/>
      <c r="AZ18" s="176"/>
      <c r="BJ18" s="160" t="s">
        <v>303</v>
      </c>
      <c r="BK18" s="181">
        <v>1222105</v>
      </c>
      <c r="BL18" s="356">
        <v>78</v>
      </c>
      <c r="BO18" s="160" t="s">
        <v>303</v>
      </c>
      <c r="BP18" s="181">
        <v>620000</v>
      </c>
      <c r="BQ18" s="356">
        <v>18</v>
      </c>
      <c r="BT18" s="173" t="s">
        <v>297</v>
      </c>
      <c r="BU18" s="183" t="str">
        <f>IF(SUMIFS(invoice[میزان سفارش],invoice[ماه],calc!BT18,invoice[سال],calc!$BV$5)=0,"",SUMIFS(invoice[میزان سفارش],invoice[ماه],calc!BT18,invoice[سال],calc!$BV$5))</f>
        <v/>
      </c>
      <c r="BV18" s="183" t="str">
        <f>IF(SUMIFS(bargiri[میزان بارگیری شده],bargiri[ماه],calc!BT18,bargiri[سال],calc!$BV$5)=0,"",SUMIFS(bargiri[میزان بارگیری شده],bargiri[ماه],calc!BT18,bargiri[سال],calc!$BV$5))</f>
        <v/>
      </c>
      <c r="BW18" s="183" t="str">
        <f>IF(BV18="","",SUM($BU$8:BU17)-SUM($BV$8:BV17)+$BW$8)</f>
        <v/>
      </c>
      <c r="BX18" s="167" t="str">
        <f>IF($BX$6=TRUE,IF(COUNTIFS(invoice[ماه],calc!BT18,invoice[سال],calc!$BV$5)=0,"",COUNTIFS(invoice[ماه],calc!BT18,invoice[سال],calc!$BV$5)),"")</f>
        <v/>
      </c>
      <c r="BY18" s="167" t="str">
        <f>IF($BY$6=TRUE,IF(COUNTIFS(bargiri[ماه],calc!BT18,bargiri[سال],calc!$BV$5)=0,"",COUNTIFS(bargiri[ماه],calc!BT18,bargiri[سال],calc!$BV$5)),"")</f>
        <v/>
      </c>
      <c r="BZ18" s="184" t="e">
        <f>IF(AVERAGEIFS(bargiri[فی],bargiri[ماه],calc!BT18,bargiri[سال],calc!$BV$5)=0,"",AVERAGEIFS(bargiri[فی],bargiri[ماه],calc!BT18,bargiri[سال],calc!$BV$5))</f>
        <v>#DIV/0!</v>
      </c>
      <c r="CA18" s="168" t="e">
        <f t="shared" si="6"/>
        <v>#N/A</v>
      </c>
      <c r="CJ18"/>
      <c r="CK18"/>
      <c r="CL18"/>
      <c r="CM18"/>
      <c r="CN18"/>
      <c r="CO18" s="187" t="str">
        <f t="shared" si="4"/>
        <v/>
      </c>
      <c r="CP18" s="188" t="str">
        <f t="shared" si="5"/>
        <v/>
      </c>
      <c r="CT18" s="173" t="s">
        <v>296</v>
      </c>
      <c r="CU18" s="179" t="str">
        <f>IFERROR(SUMPRODUCT((bargiri[ماه]=CT18)*(bargiri[سال]=$BV$5)*(bargiri[میزان بارگیری شده])*(bargiri[فی])) /SUMIFS(bargiri[میزان بارگیری شده], bargiri[ماه], CT18, bargiri[سال], calc!$BV$5), "")</f>
        <v/>
      </c>
      <c r="CV18" s="179" t="str">
        <f>IFERROR(SUMPRODUCT((bargiri[ماه]=CT18)*(bargiri[سال]=$BV$5)*(bargiri[میزان بارگیری شده])*(bargiri[فی])) /SUMIFS(bargiri[فی], bargiri[ماه], CT18, bargiri[سال], calc!$BV$5), "")</f>
        <v/>
      </c>
      <c r="DA18" s="173" t="s">
        <v>305</v>
      </c>
      <c r="DB18" s="179" cm="1">
        <f t="array" ref="DB18">IFERROR(
    SUMPRODUCT(
        (bargiri[سال]=$BV$5)*
        (MATCH(bargiri[ماه],{"فروردین","اردیبهشت","خرداد","تیر","مرداد","شهریور","مهر","آبان","آذر","دی","بهمن","اسفند"},0)
            &lt;=MATCH(CT8,{"فروردین","اردیبهشت","خرداد","تیر","مرداد","شهریور","مهر","آبان","آذر","دی","بهمن","اسفند"},0))*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&lt;=MATCH(CT8,{"فروردین","اردیبهشت","خرداد","تیر","مرداد","شهریور","مهر","آبان","آذر","دی","بهمن","اسفند"},0))*
        (bargiri[میزان بارگیری شده])
    ),
"")</f>
        <v>134213.17826229613</v>
      </c>
      <c r="DL18" s="235" t="s">
        <v>298</v>
      </c>
      <c r="DM18" s="235">
        <f>SUMIFS(bargiri[میزان بارگیری شده],bargiri[سال],year,bargiri[ماه],insale[[#This Row],[ماه/نوع فروش]],bargiri[نوع سفارش],insale[[#Headers],[عادی]])</f>
        <v>0</v>
      </c>
      <c r="DN18" s="235">
        <f>SUMIFS(bargiri[میزان بارگیری شده],bargiri[سال],year,bargiri[ماه],insale[[#This Row],[ماه/نوع فروش]],bargiri[نوع سفارش],insale[[#Headers],[انجمن]])</f>
        <v>0</v>
      </c>
      <c r="DO18" s="235">
        <f>SUMIFS(bargiri[میزان بارگیری شده],bargiri[سال],year,bargiri[ماه],insale[[#This Row],[ماه/نوع فروش]],bargiri[نوع سفارش],insale[[#Headers],[بورس]])</f>
        <v>0</v>
      </c>
      <c r="DP18" s="236">
        <f>SUMIFS(bargiri[میزان بارگیری شده],bargiri[سال],year,bargiri[ماه],insale[[#This Row],[ماه/نوع فروش]],bargiri[نوع سفارش],insale[[#Headers],[تعادلی]])</f>
        <v>0</v>
      </c>
      <c r="DQ18" s="118"/>
      <c r="DR18" s="235" t="s">
        <v>298</v>
      </c>
      <c r="DS18" s="235" cm="1">
        <f t="array" ref="DS18">INDEX(insale[[#This Row],[عادی]:[تعادلی]], DR8)</f>
        <v>0</v>
      </c>
      <c r="DT18" s="118"/>
      <c r="DU18" s="118"/>
      <c r="DW18" s="221"/>
      <c r="DX18" s="222"/>
      <c r="DY18" s="222"/>
      <c r="DZ18" s="222"/>
    </row>
    <row r="19" spans="1:130">
      <c r="A19" s="102" t="s">
        <v>110</v>
      </c>
      <c r="K19" s="158" t="s">
        <v>307</v>
      </c>
      <c r="L19" s="158" t="s">
        <v>289</v>
      </c>
      <c r="M19" s="158" t="s">
        <v>290</v>
      </c>
      <c r="N19" s="158" t="s">
        <v>1</v>
      </c>
      <c r="O19" s="158" t="s">
        <v>235</v>
      </c>
      <c r="P19" s="158" t="s">
        <v>282</v>
      </c>
      <c r="Q19" s="158" t="s">
        <v>309</v>
      </c>
      <c r="R19" s="158" t="s">
        <v>308</v>
      </c>
      <c r="S19" s="158" t="s">
        <v>314</v>
      </c>
      <c r="T19" s="158" t="s">
        <v>315</v>
      </c>
      <c r="Z19"/>
      <c r="AA19"/>
      <c r="AB19"/>
      <c r="AC19"/>
      <c r="AD19"/>
      <c r="AE19"/>
      <c r="AN19" s="173" t="s">
        <v>122</v>
      </c>
      <c r="AO19" s="174">
        <v>2000000</v>
      </c>
      <c r="AP19" s="174">
        <v>290805</v>
      </c>
      <c r="AQ19" s="174">
        <v>75000</v>
      </c>
      <c r="AR19" s="362">
        <v>5</v>
      </c>
      <c r="AS19" s="363">
        <v>17</v>
      </c>
      <c r="AT19" s="215">
        <v>1.5278242590994083E-2</v>
      </c>
      <c r="AU19" s="175">
        <f t="shared" si="0"/>
        <v>0.85459750000000001</v>
      </c>
      <c r="AV19" s="176"/>
      <c r="AW19" s="176" t="s">
        <v>101</v>
      </c>
      <c r="AX19" s="217">
        <f>IFERROR(SUMIFS(invoice[میزان سفارش],invoice[سال],calc!$AX$5,invoice[نام مشتری],calc!AW19)+IFERROR(SUMIFS(invoice[میزان سفارش],invoice[سال],(calc!$AX$5)-1,invoice[نام مشتری],calc!AW19),0)-SUMIFS(bargiri[میزان بارگیری شده],bargiri[نام مشتری],calc!AW19,bargiri[سال],(calc!$AX$5)-1),"")</f>
        <v>13520</v>
      </c>
      <c r="AY19" s="176"/>
      <c r="AZ19" s="176"/>
      <c r="BJ19" s="160" t="s">
        <v>301</v>
      </c>
      <c r="BK19" s="181">
        <v>2151865</v>
      </c>
      <c r="BL19" s="356">
        <v>114</v>
      </c>
      <c r="BO19" s="160" t="s">
        <v>301</v>
      </c>
      <c r="BP19" s="181">
        <v>3267970</v>
      </c>
      <c r="BQ19" s="356">
        <v>10</v>
      </c>
      <c r="BT19" s="173" t="s">
        <v>296</v>
      </c>
      <c r="BU19" s="183" t="str">
        <f>IF(SUMIFS(invoice[میزان سفارش],invoice[ماه],calc!BT19,invoice[سال],calc!$BV$5)=0,"",SUMIFS(invoice[میزان سفارش],invoice[ماه],calc!BT19,invoice[سال],calc!$BV$5))</f>
        <v/>
      </c>
      <c r="BV19" s="183" t="str">
        <f>IF(SUMIFS(bargiri[میزان بارگیری شده],bargiri[ماه],calc!BT19,bargiri[سال],calc!$BV$5)=0,"",SUMIFS(bargiri[میزان بارگیری شده],bargiri[ماه],calc!BT19,bargiri[سال],calc!$BV$5))</f>
        <v/>
      </c>
      <c r="BW19" s="249" t="str">
        <f>IF(BV19="","",SUM($BU$8:BU18)-SUM($BV$8:BV18)+$BW$8)</f>
        <v/>
      </c>
      <c r="BX19" s="167" t="str">
        <f>IF($BX$6=TRUE,IF(COUNTIFS(invoice[ماه],calc!BT19,invoice[سال],calc!$BV$5)=0,"",COUNTIFS(invoice[ماه],calc!BT19,invoice[سال],calc!$BV$5)),"")</f>
        <v/>
      </c>
      <c r="BY19" s="167" t="str">
        <f>IF($BY$6=TRUE,IF(COUNTIFS(bargiri[ماه],calc!BT19,bargiri[سال],calc!$BV$5)=0,"",COUNTIFS(bargiri[ماه],calc!BT19,bargiri[سال],calc!$BV$5)),"")</f>
        <v/>
      </c>
      <c r="BZ19" s="184" t="e">
        <f>IF(AVERAGEIFS(bargiri[فی],bargiri[ماه],calc!BT19,bargiri[سال],calc!$BV$5)=0,"",AVERAGEIFS(bargiri[فی],bargiri[ماه],calc!BT19,bargiri[سال],calc!$BV$5))</f>
        <v>#DIV/0!</v>
      </c>
      <c r="CA19" s="168" t="e">
        <f t="shared" si="6"/>
        <v>#N/A</v>
      </c>
      <c r="CJ19"/>
      <c r="CK19"/>
      <c r="CL19"/>
      <c r="CM19"/>
      <c r="CN19"/>
      <c r="CO19" s="187" t="str">
        <f t="shared" si="4"/>
        <v/>
      </c>
      <c r="CP19" s="188" t="str">
        <f t="shared" si="5"/>
        <v/>
      </c>
      <c r="DA19" s="173" t="s">
        <v>311</v>
      </c>
      <c r="DB19" s="179" cm="1">
        <f t="array" ref="DB19">IFERROR(
    SUMPRODUCT(
        (bargiri[سال]=$BV$5)*
        (MATCH(bargiri[ماه],{"فروردین","اردیبهشت","خرداد","تیر","مرداد","شهریور","مهر","آبان","آذر","دی","بهمن","اسفند"},0)
            &lt;=MATCH(CT9,{"فروردین","اردیبهشت","خرداد","تیر","مرداد","شهریور","مهر","آبان","آذر","دی","بهمن","اسفند"},0))*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&lt;=MATCH(CT9,{"فروردین","اردیبهشت","خرداد","تیر","مرداد","شهریور","مهر","آبان","آذر","دی","بهمن","اسفند"},0))*
        (bargiri[میزان بارگیری شده])
    ),
"")</f>
        <v>136631.15418275719</v>
      </c>
      <c r="DI19" s="167" t="s">
        <v>878</v>
      </c>
      <c r="DJ19" s="179">
        <f>SUMIFS(invoice[[میزان حمل نشده ]],invoice[فی],"&lt;80000")</f>
        <v>0</v>
      </c>
      <c r="DL19" s="235" t="s">
        <v>297</v>
      </c>
      <c r="DM19" s="235">
        <f>SUMIFS(bargiri[میزان بارگیری شده],bargiri[سال],year,bargiri[ماه],insale[[#This Row],[ماه/نوع فروش]],bargiri[نوع سفارش],insale[[#Headers],[عادی]])</f>
        <v>0</v>
      </c>
      <c r="DN19" s="235">
        <f>SUMIFS(bargiri[میزان بارگیری شده],bargiri[سال],year,bargiri[ماه],insale[[#This Row],[ماه/نوع فروش]],bargiri[نوع سفارش],insale[[#Headers],[انجمن]])</f>
        <v>0</v>
      </c>
      <c r="DO19" s="235">
        <f>SUMIFS(bargiri[میزان بارگیری شده],bargiri[سال],year,bargiri[ماه],insale[[#This Row],[ماه/نوع فروش]],bargiri[نوع سفارش],insale[[#Headers],[بورس]])</f>
        <v>0</v>
      </c>
      <c r="DP19" s="236">
        <f>SUMIFS(bargiri[میزان بارگیری شده],bargiri[سال],year,bargiri[ماه],insale[[#This Row],[ماه/نوع فروش]],bargiri[نوع سفارش],insale[[#Headers],[تعادلی]])</f>
        <v>0</v>
      </c>
      <c r="DQ19" s="118"/>
      <c r="DR19" s="240" t="s">
        <v>297</v>
      </c>
      <c r="DS19" s="235" cm="1">
        <f t="array" ref="DS19">INDEX(insale[[#This Row],[عادی]:[تعادلی]], DR8)</f>
        <v>0</v>
      </c>
      <c r="DT19" s="118"/>
      <c r="DU19" s="118"/>
    </row>
    <row r="20" spans="1:130">
      <c r="A20" s="101" t="s">
        <v>254</v>
      </c>
      <c r="K20" s="356">
        <v>34</v>
      </c>
      <c r="L20" s="356">
        <v>280</v>
      </c>
      <c r="M20" s="170">
        <v>3161</v>
      </c>
      <c r="N20" s="181">
        <v>66585078</v>
      </c>
      <c r="O20" s="181">
        <v>51400945</v>
      </c>
      <c r="P20" s="170">
        <v>100749.70673837393</v>
      </c>
      <c r="Q20" s="182">
        <v>237803.85</v>
      </c>
      <c r="R20" s="182">
        <v>16281.579030725372</v>
      </c>
      <c r="S20" s="182">
        <v>5853.9238141094665</v>
      </c>
      <c r="T20" s="182">
        <v>507783.01728104468</v>
      </c>
      <c r="Z20"/>
      <c r="AA20"/>
      <c r="AB20"/>
      <c r="AC20"/>
      <c r="AD20"/>
      <c r="AE20"/>
      <c r="AN20" s="173" t="s">
        <v>98</v>
      </c>
      <c r="AO20" s="174">
        <v>1973860</v>
      </c>
      <c r="AP20" s="174">
        <v>786265</v>
      </c>
      <c r="AQ20" s="174">
        <v>76738.5</v>
      </c>
      <c r="AR20" s="362">
        <v>26</v>
      </c>
      <c r="AS20" s="363">
        <v>40</v>
      </c>
      <c r="AT20" s="215">
        <v>4.1308599958074871E-2</v>
      </c>
      <c r="AU20" s="175">
        <f t="shared" si="0"/>
        <v>0.6016612120413809</v>
      </c>
      <c r="AV20" s="176"/>
      <c r="AW20" s="176" t="s">
        <v>105</v>
      </c>
      <c r="AX20" s="217">
        <f>IFERROR(SUMIFS(invoice[میزان سفارش],invoice[سال],calc!$AX$5,invoice[نام مشتری],calc!AW20)+IFERROR(SUMIFS(invoice[میزان سفارش],invoice[سال],(calc!$AX$5)-1,invoice[نام مشتری],calc!AW20),0)-SUMIFS(bargiri[میزان بارگیری شده],bargiri[نام مشتری],calc!AW20,bargiri[سال],(calc!$AX$5)-1),"")</f>
        <v>2087210</v>
      </c>
      <c r="AY20" s="176"/>
      <c r="AZ20" s="176"/>
      <c r="BW20" s="167"/>
      <c r="CJ20"/>
      <c r="CK20"/>
      <c r="CL20"/>
      <c r="CM20"/>
      <c r="CN20"/>
      <c r="CO20" s="187" t="str">
        <f t="shared" si="4"/>
        <v/>
      </c>
      <c r="CP20" s="188" t="str">
        <f t="shared" si="5"/>
        <v/>
      </c>
      <c r="DA20" s="173" t="s">
        <v>304</v>
      </c>
      <c r="DB20" s="179" cm="1">
        <f t="array" ref="DB20">IFERROR(
    SUMPRODUCT(
        (bargiri[سال]=$BV$5)*
        (MATCH(bargiri[ماه],{"فروردین","اردیبهشت","خرداد","تیر","مرداد","شهریور","مهر","آبان","آذر","دی","بهمن","اسفند"},0)
            &lt;=MATCH(CT10,{"فروردین","اردیبهشت","خرداد","تیر","مرداد","شهریور","مهر","آبان","آذر","دی","بهمن","اسفند"},0))*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&lt;=MATCH(CT10,{"فروردین","اردیبهشت","خرداد","تیر","مرداد","شهریور","مهر","آبان","آذر","دی","بهمن","اسفند"},0))*
        (bargiri[میزان بارگیری شده])
    ),
"")</f>
        <v>139622.73865573885</v>
      </c>
      <c r="DI20" s="167" t="s">
        <v>880</v>
      </c>
      <c r="DJ20" s="179">
        <f>SUMIFS(invoice[[میزان حمل نشده ]],invoice[فی],"&gt;=80000",invoice[فی],"&lt;100000")</f>
        <v>0</v>
      </c>
      <c r="DL20" s="237" t="s">
        <v>296</v>
      </c>
      <c r="DM20" s="235">
        <f>SUMIFS(bargiri[میزان بارگیری شده],bargiri[سال],year,bargiri[ماه],insale[[#This Row],[ماه/نوع فروش]],bargiri[نوع سفارش],insale[[#Headers],[عادی]])</f>
        <v>0</v>
      </c>
      <c r="DN20" s="237">
        <f>SUMIFS(bargiri[میزان بارگیری شده],bargiri[سال],year,bargiri[ماه],insale[[#This Row],[ماه/نوع فروش]],bargiri[نوع سفارش],insale[[#Headers],[انجمن]])</f>
        <v>0</v>
      </c>
      <c r="DO20" s="237">
        <f>SUMIFS(bargiri[میزان بارگیری شده],bargiri[سال],year,bargiri[ماه],insale[[#This Row],[ماه/نوع فروش]],bargiri[نوع سفارش],insale[[#Headers],[بورس]])</f>
        <v>0</v>
      </c>
      <c r="DP20" s="238">
        <f>SUMIFS(bargiri[میزان بارگیری شده],bargiri[سال],year,bargiri[ماه],insale[[#This Row],[ماه/نوع فروش]],bargiri[نوع سفارش],insale[[#Headers],[تعادلی]])</f>
        <v>0</v>
      </c>
      <c r="DQ20" s="118"/>
      <c r="DR20" s="235" t="s">
        <v>296</v>
      </c>
      <c r="DS20" s="235" cm="1">
        <f t="array" ref="DS20">INDEX(insale[[#This Row],[عادی]:[تعادلی]], DR8)</f>
        <v>0</v>
      </c>
      <c r="DT20" s="118"/>
      <c r="DU20" s="118"/>
    </row>
    <row r="21" spans="1:130">
      <c r="A21" s="102" t="s">
        <v>255</v>
      </c>
      <c r="Z21"/>
      <c r="AA21"/>
      <c r="AB21"/>
      <c r="AC21"/>
      <c r="AD21"/>
      <c r="AE21"/>
      <c r="AN21" s="173" t="s">
        <v>101</v>
      </c>
      <c r="AO21" s="174">
        <v>1854380</v>
      </c>
      <c r="AP21" s="174">
        <v>653845</v>
      </c>
      <c r="AQ21" s="174">
        <v>69682.926829268297</v>
      </c>
      <c r="AR21" s="362">
        <v>23</v>
      </c>
      <c r="AS21" s="363">
        <v>41</v>
      </c>
      <c r="AT21" s="215">
        <v>3.4351550100268309E-2</v>
      </c>
      <c r="AU21" s="175">
        <f t="shared" si="0"/>
        <v>0.64740506260852682</v>
      </c>
      <c r="AV21" s="176"/>
      <c r="AW21" s="176" t="s">
        <v>114</v>
      </c>
      <c r="AX21" s="217">
        <f>IFERROR(SUMIFS(invoice[میزان سفارش],invoice[سال],calc!$AX$5,invoice[نام مشتری],calc!AW21)+IFERROR(SUMIFS(invoice[میزان سفارش],invoice[سال],(calc!$AX$5)-1,invoice[نام مشتری],calc!AW21),0)-SUMIFS(bargiri[میزان بارگیری شده],bargiri[نام مشتری],calc!AW21,bargiri[سال],(calc!$AX$5)-1),"")</f>
        <v>1064110</v>
      </c>
      <c r="AY21" s="176"/>
      <c r="AZ21" s="176"/>
      <c r="CJ21"/>
      <c r="CK21"/>
      <c r="CL21"/>
      <c r="CM21"/>
      <c r="CN21"/>
      <c r="CO21" s="187" t="str">
        <f t="shared" si="4"/>
        <v/>
      </c>
      <c r="CP21" s="188" t="str">
        <f t="shared" si="5"/>
        <v/>
      </c>
      <c r="DA21" s="173" t="s">
        <v>303</v>
      </c>
      <c r="DB21" s="179" cm="1">
        <f t="array" ref="DB21">IFERROR(
    SUMPRODUCT(
        (bargiri[سال]=$BV$5)*
        (MATCH(bargiri[ماه],{"فروردین","اردیبهشت","خرداد","تیر","مرداد","شهریور","مهر","آبان","آذر","دی","بهمن","اسفند"},0)
            &lt;=MATCH(CT11,{"فروردین","اردیبهشت","خرداد","تیر","مرداد","شهریور","مهر","آبان","آذر","دی","بهمن","اسفند"},0))*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&lt;=MATCH(CT11,{"فروردین","اردیبهشت","خرداد","تیر","مرداد","شهریور","مهر","آبان","آذر","دی","بهمن","اسفند"},0))*
        (bargiri[میزان بارگیری شده])
    ),
"")</f>
        <v>141108.73330519194</v>
      </c>
      <c r="DI21" s="167" t="s">
        <v>881</v>
      </c>
      <c r="DJ21" s="179">
        <f>SUMIFS(invoice[[میزان حمل نشده ]],invoice[فی],"&gt;=100000",invoice[فی],"&lt;120000")</f>
        <v>3085360</v>
      </c>
    </row>
    <row r="22" spans="1:130">
      <c r="A22" s="102" t="s">
        <v>116</v>
      </c>
      <c r="Z22"/>
      <c r="AA22"/>
      <c r="AB22"/>
      <c r="AC22"/>
      <c r="AD22"/>
      <c r="AE22"/>
      <c r="AN22" s="173" t="s">
        <v>107</v>
      </c>
      <c r="AO22" s="174">
        <v>1837365</v>
      </c>
      <c r="AP22" s="174">
        <v>1454650</v>
      </c>
      <c r="AQ22" s="174">
        <v>70052.631578947374</v>
      </c>
      <c r="AR22" s="362">
        <v>2</v>
      </c>
      <c r="AS22" s="363">
        <v>76</v>
      </c>
      <c r="AT22" s="215">
        <v>7.6424049053453486E-2</v>
      </c>
      <c r="AU22" s="175">
        <f t="shared" si="0"/>
        <v>0.20829557545724453</v>
      </c>
      <c r="AV22" s="176"/>
      <c r="AW22" s="176" t="s">
        <v>123</v>
      </c>
      <c r="AX22" s="217">
        <f>IFERROR(SUMIFS(invoice[میزان سفارش],invoice[سال],calc!$AX$5,invoice[نام مشتری],calc!AW22)+IFERROR(SUMIFS(invoice[میزان سفارش],invoice[سال],(calc!$AX$5)-1,invoice[نام مشتری],calc!AW22),0)-SUMIFS(bargiri[میزان بارگیری شده],bargiri[نام مشتری],calc!AW22,bargiri[سال],(calc!$AX$5)-1),"")</f>
        <v>601105</v>
      </c>
      <c r="AY22" s="176"/>
      <c r="AZ22" s="176"/>
      <c r="CJ22"/>
      <c r="CK22"/>
      <c r="CL22"/>
      <c r="CM22"/>
      <c r="CN22"/>
      <c r="CO22" s="187" t="str">
        <f t="shared" si="4"/>
        <v/>
      </c>
      <c r="CP22" s="188" t="str">
        <f t="shared" si="5"/>
        <v/>
      </c>
      <c r="DA22" s="173" t="s">
        <v>302</v>
      </c>
      <c r="DB22" s="179" cm="1">
        <f t="array" ref="DB22">IFERROR(
    SUMPRODUCT(
        (bargiri[سال]=$BV$5)*
        (MATCH(bargiri[ماه],{"فروردین","اردیبهشت","خرداد","تیر","مرداد","شهریور","مهر","آبان","آذر","دی","بهمن","اسفند"},0)
            &lt;=MATCH(CT12,{"فروردین","اردیبهشت","خرداد","تیر","مرداد","شهریور","مهر","آبان","آذر","دی","بهمن","اسفند"},0))*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&lt;=MATCH(CT12,{"فروردین","اردیبهشت","خرداد","تیر","مرداد","شهریور","مهر","آبان","آذر","دی","بهمن","اسفند"},0))*
        (bargiri[میزان بارگیری شده])
    ),
"")</f>
        <v>144792.52792607172</v>
      </c>
      <c r="DI22" s="167" t="s">
        <v>882</v>
      </c>
      <c r="DJ22" s="179">
        <f>SUMIFS(invoice[[میزان حمل نشده ]],invoice[فی],"&gt;=120000",invoice[فی],"&lt;150000")</f>
        <v>1830270</v>
      </c>
    </row>
    <row r="23" spans="1:130">
      <c r="A23" s="102" t="s">
        <v>117</v>
      </c>
      <c r="Z23"/>
      <c r="AA23"/>
      <c r="AB23"/>
      <c r="AC23"/>
      <c r="AD23"/>
      <c r="AE23"/>
      <c r="AN23" s="173" t="s">
        <v>125</v>
      </c>
      <c r="AO23" s="174">
        <v>1150000</v>
      </c>
      <c r="AP23" s="174"/>
      <c r="AQ23" s="174"/>
      <c r="AR23" s="362">
        <v>5</v>
      </c>
      <c r="AS23" s="363"/>
      <c r="AT23" s="215">
        <v>0</v>
      </c>
      <c r="AU23" s="175">
        <f t="shared" si="0"/>
        <v>1</v>
      </c>
      <c r="AV23" s="176"/>
      <c r="AW23" s="176" t="s">
        <v>113</v>
      </c>
      <c r="AX23" s="217">
        <f>IFERROR(SUMIFS(invoice[میزان سفارش],invoice[سال],calc!$AX$5,invoice[نام مشتری],calc!AW23)+IFERROR(SUMIFS(invoice[میزان سفارش],invoice[سال],(calc!$AX$5)-1,invoice[نام مشتری],calc!AW23),0)-SUMIFS(bargiri[میزان بارگیری شده],bargiri[نام مشتری],calc!AW23,bargiri[سال],(calc!$AX$5)-1),"")</f>
        <v>1407225</v>
      </c>
      <c r="AY23" s="176"/>
      <c r="AZ23" s="176"/>
      <c r="BU23" s="158" t="s">
        <v>237</v>
      </c>
      <c r="BV23" s="158">
        <v>3</v>
      </c>
      <c r="CJ23"/>
      <c r="CK23"/>
      <c r="CL23"/>
      <c r="CM23"/>
      <c r="CN23"/>
      <c r="CO23" s="187" t="str">
        <f t="shared" si="4"/>
        <v/>
      </c>
      <c r="CP23" s="188" t="str">
        <f t="shared" si="5"/>
        <v/>
      </c>
      <c r="DA23" s="173" t="s">
        <v>301</v>
      </c>
      <c r="DB23" s="179" cm="1">
        <f t="array" ref="DB23">IFERROR(
    SUMPRODUCT(
        (bargiri[سال]=$BV$5)*
        (MATCH(bargiri[ماه],{"فروردین","اردیبهشت","خرداد","تیر","مرداد","شهریور","مهر","آبان","آذر","دی","بهمن","اسفند"},0)
            &lt;=MATCH(CT13,{"فروردین","اردیبهشت","خرداد","تیر","مرداد","شهریور","مهر","آبان","آذر","دی","بهمن","اسفند"},0))*
        (bargiri[میزان بارگیری شده])*
        (bargiri[فی])
    ) /
    SUMPRODUCT(
        (bargiri[سال]=$BV$5)*
        (MATCH(bargiri[ماه],{"فروردین","اردیبهشت","خرداد","تیر","مرداد","شهریور","مهر","آبان","آذر","دی","بهمن","اسفند"},0)
            &lt;=MATCH(CT13,{"فروردین","اردیبهشت","خرداد","تیر","مرداد","شهریور","مهر","آبان","آذر","دی","بهمن","اسفند"},0))*
        (bargiri[میزان بارگیری شده])
    ),
"")</f>
        <v>146291.69462144127</v>
      </c>
      <c r="DI23" s="167" t="s">
        <v>883</v>
      </c>
      <c r="DJ23" s="179">
        <f>SUMIFS(invoice[[میزان حمل نشده ]],invoice[فی],"&gt;=150000")</f>
        <v>10277973</v>
      </c>
    </row>
    <row r="24" spans="1:130">
      <c r="A24" s="102" t="s">
        <v>118</v>
      </c>
      <c r="Z24"/>
      <c r="AA24"/>
      <c r="AB24"/>
      <c r="AC24"/>
      <c r="AD24"/>
      <c r="AN24" s="173" t="s">
        <v>123</v>
      </c>
      <c r="AO24" s="174">
        <v>870000</v>
      </c>
      <c r="AP24" s="174">
        <v>53370</v>
      </c>
      <c r="AQ24" s="174">
        <v>75000</v>
      </c>
      <c r="AR24" s="362">
        <v>5</v>
      </c>
      <c r="AS24" s="363">
        <v>7</v>
      </c>
      <c r="AT24" s="215">
        <v>2.8039401216669391E-3</v>
      </c>
      <c r="AU24" s="175">
        <f t="shared" si="0"/>
        <v>0.93865517241379315</v>
      </c>
      <c r="AV24" s="176"/>
      <c r="AW24" s="176" t="s">
        <v>107</v>
      </c>
      <c r="AX24" s="217">
        <f>IFERROR(SUMIFS(invoice[میزان سفارش],invoice[سال],calc!$AX$5,invoice[نام مشتری],calc!AW24)+IFERROR(SUMIFS(invoice[میزان سفارش],invoice[سال],(calc!$AX$5)-1,invoice[نام مشتری],calc!AW24),0)-SUMIFS(bargiri[میزان بارگیری شده],bargiri[نام مشتری],calc!AW24,bargiri[سال],(calc!$AX$5)-1),"")</f>
        <v>-382790</v>
      </c>
      <c r="AY24" s="176"/>
      <c r="AZ24" s="176"/>
      <c r="BU24" s="167">
        <v>1403</v>
      </c>
      <c r="CJ24"/>
      <c r="CK24"/>
      <c r="CL24"/>
      <c r="CM24"/>
      <c r="CN24"/>
      <c r="CO24" s="187" t="str">
        <f t="shared" si="4"/>
        <v/>
      </c>
      <c r="CP24" s="188" t="str">
        <f t="shared" si="5"/>
        <v/>
      </c>
      <c r="DA24" s="173" t="s">
        <v>300</v>
      </c>
      <c r="DB24" s="179" t="str" cm="1">
        <f t="array" ref="DB24">IFERROR(SUMPRODUCT((bargiri[ماه]=CT14)*(bargiri[سال]=$BV$5)*(bargiri[میزان بارگیری شده])*(bargiri[فی])) /SUMIFS(bargiri[میزان بارگیری شده], bargiri[ماه], CT14, bargiri[سال], calc!$BV$5), "")</f>
        <v/>
      </c>
    </row>
    <row r="25" spans="1:130">
      <c r="A25" s="101" t="s">
        <v>120</v>
      </c>
      <c r="Z25"/>
      <c r="AA25"/>
      <c r="AB25"/>
      <c r="AC25"/>
      <c r="AD25"/>
      <c r="AN25" s="173" t="s">
        <v>121</v>
      </c>
      <c r="AO25" s="174">
        <v>860000</v>
      </c>
      <c r="AP25" s="174"/>
      <c r="AQ25" s="174"/>
      <c r="AR25" s="362">
        <v>12</v>
      </c>
      <c r="AS25" s="363"/>
      <c r="AT25" s="215">
        <v>0</v>
      </c>
      <c r="AU25" s="175">
        <f t="shared" si="0"/>
        <v>1</v>
      </c>
      <c r="AV25" s="176"/>
      <c r="AW25" s="176" t="s">
        <v>125</v>
      </c>
      <c r="AX25" s="217">
        <f>IFERROR(SUMIFS(invoice[میزان سفارش],invoice[سال],calc!$AX$5,invoice[نام مشتری],calc!AW25)+IFERROR(SUMIFS(invoice[میزان سفارش],invoice[سال],(calc!$AX$5)-1,invoice[نام مشتری],calc!AW25),0)-SUMIFS(bargiri[میزان بارگیری شده],bargiri[نام مشتری],calc!AW25,bargiri[سال],(calc!$AX$5)-1),"")</f>
        <v>603090</v>
      </c>
      <c r="AY25" s="176"/>
      <c r="AZ25" s="176"/>
      <c r="BU25" s="167">
        <v>1404</v>
      </c>
      <c r="CJ25"/>
      <c r="CK25"/>
      <c r="CL25"/>
      <c r="CM25"/>
      <c r="CN25"/>
      <c r="CO25" s="187" t="str">
        <f t="shared" si="4"/>
        <v/>
      </c>
      <c r="CP25" s="188" t="str">
        <f t="shared" si="5"/>
        <v/>
      </c>
      <c r="DA25" s="173" t="s">
        <v>299</v>
      </c>
      <c r="DB25" s="179" t="str" cm="1">
        <f t="array" ref="DB25">IFERROR(SUMPRODUCT((bargiri[ماه]=CT15)*(bargiri[سال]=$BV$5)*(bargiri[میزان بارگیری شده])*(bargiri[فی])) /SUMIFS(bargiri[میزان بارگیری شده], bargiri[ماه], CT15, bargiri[سال], calc!$BV$5), "")</f>
        <v/>
      </c>
    </row>
    <row r="26" spans="1:130" ht="18.600000000000001" customHeight="1">
      <c r="A26" s="102" t="s">
        <v>121</v>
      </c>
      <c r="Z26"/>
      <c r="AA26"/>
      <c r="AB26"/>
      <c r="AC26"/>
      <c r="AD26"/>
      <c r="AN26" s="173" t="s">
        <v>115</v>
      </c>
      <c r="AO26" s="174">
        <v>842395</v>
      </c>
      <c r="AP26" s="174">
        <v>842395</v>
      </c>
      <c r="AQ26" s="174">
        <v>64024.390243902439</v>
      </c>
      <c r="AR26" s="362">
        <v>3</v>
      </c>
      <c r="AS26" s="363">
        <v>41</v>
      </c>
      <c r="AT26" s="215">
        <v>4.4257544290643075E-2</v>
      </c>
      <c r="AU26" s="175">
        <f t="shared" si="0"/>
        <v>0</v>
      </c>
      <c r="AV26" s="176"/>
      <c r="AW26" s="176" t="s">
        <v>100</v>
      </c>
      <c r="AX26" s="217">
        <f>IFERROR(SUMIFS(invoice[میزان سفارش],invoice[سال],calc!$AX$5,invoice[نام مشتری],calc!AW26)+IFERROR(SUMIFS(invoice[میزان سفارش],invoice[سال],(calc!$AX$5)-1,invoice[نام مشتری],calc!AW26),0)-SUMIFS(bargiri[میزان بارگیری شده],bargiri[نام مشتری],calc!AW26,bargiri[سال],(calc!$AX$5)-1),"")</f>
        <v>242125</v>
      </c>
      <c r="AY26" s="176"/>
      <c r="AZ26" s="176"/>
      <c r="BU26" s="167">
        <v>1405</v>
      </c>
      <c r="CJ26"/>
      <c r="CK26"/>
      <c r="CL26"/>
      <c r="CM26"/>
      <c r="CN26"/>
      <c r="CO26" s="187" t="str">
        <f t="shared" si="4"/>
        <v/>
      </c>
      <c r="CP26" s="188" t="str">
        <f t="shared" si="5"/>
        <v/>
      </c>
      <c r="DA26" s="173" t="s">
        <v>298</v>
      </c>
      <c r="DB26" s="179" t="str" cm="1">
        <f t="array" ref="DB26">IFERROR(SUMPRODUCT((bargiri[ماه]=CT16)*(bargiri[سال]=$BV$5)*(bargiri[میزان بارگیری شده])*(bargiri[فی])) /SUMIFS(bargiri[میزان بارگیری شده], bargiri[ماه], CT16, bargiri[سال], calc!$BV$5), "")</f>
        <v/>
      </c>
      <c r="DH26" s="269" t="s">
        <v>886</v>
      </c>
      <c r="DI26" s="167" t="s">
        <v>243</v>
      </c>
      <c r="DJ26" s="174">
        <f>DJ7+DJ13</f>
        <v>14103620</v>
      </c>
    </row>
    <row r="27" spans="1:130" ht="18.600000000000001" customHeight="1">
      <c r="A27" s="101" t="s">
        <v>122</v>
      </c>
      <c r="Z27"/>
      <c r="AA27"/>
      <c r="AB27"/>
      <c r="AC27"/>
      <c r="AD27"/>
      <c r="AN27" s="173" t="s">
        <v>119</v>
      </c>
      <c r="AO27" s="174">
        <v>824870</v>
      </c>
      <c r="AP27" s="174">
        <v>74870</v>
      </c>
      <c r="AQ27" s="174">
        <v>76720.399999999994</v>
      </c>
      <c r="AR27" s="362">
        <v>5</v>
      </c>
      <c r="AS27" s="363">
        <v>5</v>
      </c>
      <c r="AT27" s="215">
        <v>3.9335019094847989E-3</v>
      </c>
      <c r="AU27" s="175">
        <f t="shared" si="0"/>
        <v>0.90923418235600761</v>
      </c>
      <c r="AV27" s="176"/>
      <c r="AW27" s="176" t="s">
        <v>124</v>
      </c>
      <c r="AX27" s="217">
        <f>IFERROR(SUMIFS(invoice[میزان سفارش],invoice[سال],calc!$AX$5,invoice[نام مشتری],calc!AW27)+IFERROR(SUMIFS(invoice[میزان سفارش],invoice[سال],(calc!$AX$5)-1,invoice[نام مشتری],calc!AW27),0)-SUMIFS(bargiri[میزان بارگیری شده],bargiri[نام مشتری],calc!AW27,bargiri[سال],(calc!$AX$5)-1),"")</f>
        <v>303900</v>
      </c>
      <c r="AY27" s="176"/>
      <c r="AZ27" s="176"/>
      <c r="BU27" s="167">
        <v>1406</v>
      </c>
      <c r="CJ27"/>
      <c r="CK27"/>
      <c r="CL27"/>
      <c r="CM27"/>
      <c r="CN27"/>
      <c r="CO27" s="187" t="str">
        <f t="shared" si="4"/>
        <v/>
      </c>
      <c r="CP27" s="188" t="str">
        <f t="shared" si="5"/>
        <v/>
      </c>
      <c r="DA27" s="173" t="s">
        <v>297</v>
      </c>
      <c r="DB27" s="179" t="str" cm="1">
        <f t="array" ref="DB27">IFERROR(SUMPRODUCT((bargiri[ماه]=CT17)*(bargiri[سال]=$BV$5)*(bargiri[میزان بارگیری شده])*(bargiri[فی])) /SUMIFS(bargiri[میزان بارگیری شده], bargiri[ماه], CT17, bargiri[سال], calc!$BV$5), "")</f>
        <v/>
      </c>
      <c r="DH27" s="270"/>
      <c r="DI27" s="167" t="s">
        <v>241</v>
      </c>
      <c r="DJ27" s="174">
        <f>DJ8+DJ14</f>
        <v>9513728</v>
      </c>
    </row>
    <row r="28" spans="1:130" ht="18.600000000000001" customHeight="1">
      <c r="A28" s="101" t="s">
        <v>256</v>
      </c>
      <c r="Z28"/>
      <c r="AA28"/>
      <c r="AB28"/>
      <c r="AC28"/>
      <c r="AD28"/>
      <c r="AN28" s="173" t="s">
        <v>124</v>
      </c>
      <c r="AO28" s="174">
        <v>621045</v>
      </c>
      <c r="AP28" s="174">
        <v>294565</v>
      </c>
      <c r="AQ28" s="174">
        <v>70714.28571428571</v>
      </c>
      <c r="AR28" s="362">
        <v>4</v>
      </c>
      <c r="AS28" s="363">
        <v>14</v>
      </c>
      <c r="AT28" s="215">
        <v>1.5475784559468277E-2</v>
      </c>
      <c r="AU28" s="175">
        <f t="shared" si="0"/>
        <v>0.52569459539968921</v>
      </c>
      <c r="AV28" s="176"/>
      <c r="AW28" s="176" t="s">
        <v>120</v>
      </c>
      <c r="AX28" s="217">
        <f>IFERROR(SUMIFS(invoice[میزان سفارش],invoice[سال],calc!$AX$5,invoice[نام مشتری],calc!AW28)+IFERROR(SUMIFS(invoice[میزان سفارش],invoice[سال],(calc!$AX$5)-1,invoice[نام مشتری],calc!AW28),0)-SUMIFS(bargiri[میزان بارگیری شده],bargiri[نام مشتری],calc!AW28,bargiri[سال],(calc!$AX$5)-1),"")</f>
        <v>-144195</v>
      </c>
      <c r="AY28" s="176"/>
      <c r="AZ28" s="176"/>
      <c r="BU28" s="167">
        <v>1407</v>
      </c>
      <c r="CJ28"/>
      <c r="CK28"/>
      <c r="CL28"/>
      <c r="CM28"/>
      <c r="CN28"/>
      <c r="CO28" s="187" t="str">
        <f t="shared" si="4"/>
        <v/>
      </c>
      <c r="CP28" s="188" t="str">
        <f t="shared" si="5"/>
        <v/>
      </c>
      <c r="DA28" s="173" t="s">
        <v>296</v>
      </c>
      <c r="DB28" s="179" t="str" cm="1">
        <f t="array" ref="DB28">IFERROR(SUMPRODUCT((bargiri[ماه]=CT18)*(bargiri[سال]=$BV$5)*(bargiri[میزان بارگیری شده])*(bargiri[فی])) /SUMIFS(bargiri[میزان بارگیری شده], bargiri[ماه], CT18, bargiri[سال], calc!$BV$5), "")</f>
        <v/>
      </c>
      <c r="DH28" s="270"/>
      <c r="DI28" s="167" t="s">
        <v>242</v>
      </c>
      <c r="DJ28" s="174">
        <f>DJ9+DJ15</f>
        <v>868755</v>
      </c>
    </row>
    <row r="29" spans="1:130" ht="18.600000000000001" customHeight="1">
      <c r="A29" s="101" t="s">
        <v>125</v>
      </c>
      <c r="Z29"/>
      <c r="AA29"/>
      <c r="AB29"/>
      <c r="AC29"/>
      <c r="AD29"/>
      <c r="AN29" s="173" t="s">
        <v>100</v>
      </c>
      <c r="AO29" s="174">
        <v>500000</v>
      </c>
      <c r="AP29" s="174"/>
      <c r="AQ29" s="174"/>
      <c r="AR29" s="362">
        <v>4</v>
      </c>
      <c r="AS29" s="363"/>
      <c r="AT29" s="215">
        <v>0</v>
      </c>
      <c r="AU29" s="175">
        <f t="shared" si="0"/>
        <v>1</v>
      </c>
      <c r="AV29" s="176"/>
      <c r="AW29" s="176" t="s">
        <v>115</v>
      </c>
      <c r="AX29" s="217">
        <f>IFERROR(SUMIFS(invoice[میزان سفارش],invoice[سال],calc!$AX$5,invoice[نام مشتری],calc!AW29)+IFERROR(SUMIFS(invoice[میزان سفارش],invoice[سال],(calc!$AX$5)-1,invoice[نام مشتری],calc!AW29),0)-SUMIFS(bargiri[میزان بارگیری شده],bargiri[نام مشتری],calc!AW29,bargiri[سال],(calc!$AX$5)-1),"")</f>
        <v>0</v>
      </c>
      <c r="AY29" s="176"/>
      <c r="AZ29" s="176"/>
      <c r="BU29" s="167"/>
      <c r="CJ29"/>
      <c r="CK29"/>
      <c r="CL29"/>
      <c r="CM29"/>
      <c r="CN29"/>
      <c r="CO29" s="187" t="str">
        <f t="shared" si="4"/>
        <v/>
      </c>
      <c r="CP29" s="188" t="str">
        <f t="shared" si="5"/>
        <v/>
      </c>
      <c r="DH29" s="270"/>
      <c r="DI29" s="167" t="s">
        <v>240</v>
      </c>
      <c r="DJ29" s="174">
        <f>DJ10+DJ16</f>
        <v>1068985</v>
      </c>
    </row>
    <row r="30" spans="1:130">
      <c r="Z30"/>
      <c r="AA30"/>
      <c r="AB30"/>
      <c r="AC30"/>
      <c r="AD30"/>
      <c r="AN30" s="173" t="s">
        <v>120</v>
      </c>
      <c r="AO30" s="174">
        <v>417970</v>
      </c>
      <c r="AP30" s="174">
        <v>273775</v>
      </c>
      <c r="AQ30" s="174">
        <v>80000</v>
      </c>
      <c r="AR30" s="362">
        <v>1</v>
      </c>
      <c r="AS30" s="363">
        <v>31</v>
      </c>
      <c r="AT30" s="215">
        <v>1.4383524579527192E-2</v>
      </c>
      <c r="AU30" s="175">
        <f t="shared" si="0"/>
        <v>0.34498887479962681</v>
      </c>
      <c r="AV30" s="176"/>
      <c r="AW30" s="176" t="s">
        <v>110</v>
      </c>
      <c r="AX30" s="217">
        <f>IFERROR(SUMIFS(invoice[میزان سفارش],invoice[سال],calc!$AX$5,invoice[نام مشتری],calc!AW30)+IFERROR(SUMIFS(invoice[میزان سفارش],invoice[سال],(calc!$AX$5)-1,invoice[نام مشتری],calc!AW30),0)-SUMIFS(bargiri[میزان بارگیری شده],bargiri[نام مشتری],calc!AW30,bargiri[سال],(calc!$AX$5)-1),"")</f>
        <v>-44485</v>
      </c>
      <c r="AY30" s="176"/>
      <c r="AZ30" s="176"/>
      <c r="BU30" s="167"/>
      <c r="CJ30"/>
      <c r="CK30"/>
      <c r="CL30"/>
      <c r="CM30"/>
      <c r="CN30"/>
      <c r="CO30" s="187" t="str">
        <f t="shared" si="4"/>
        <v/>
      </c>
      <c r="CP30" s="188" t="str">
        <f t="shared" si="5"/>
        <v/>
      </c>
      <c r="DA30" s="158" t="s">
        <v>917</v>
      </c>
      <c r="DB30" s="180">
        <f>DB31/DB32</f>
        <v>191079.46103369951</v>
      </c>
      <c r="DH30" s="271"/>
      <c r="DI30" s="167" t="s">
        <v>886</v>
      </c>
      <c r="DJ30" s="174">
        <f>SUM(DJ26:DJ29)</f>
        <v>25555088</v>
      </c>
    </row>
    <row r="31" spans="1:130">
      <c r="Z31"/>
      <c r="AA31"/>
      <c r="AB31"/>
      <c r="AC31"/>
      <c r="AD31"/>
      <c r="AN31" s="173" t="s">
        <v>110</v>
      </c>
      <c r="AO31" s="174">
        <v>415775</v>
      </c>
      <c r="AP31" s="174">
        <v>371290</v>
      </c>
      <c r="AQ31" s="174">
        <v>78000</v>
      </c>
      <c r="AR31" s="362">
        <v>1</v>
      </c>
      <c r="AS31" s="363">
        <v>22</v>
      </c>
      <c r="AT31" s="215">
        <v>1.950674400925085E-2</v>
      </c>
      <c r="AU31" s="175">
        <f t="shared" si="0"/>
        <v>0.10699296494498223</v>
      </c>
      <c r="AV31" s="176"/>
      <c r="AW31" s="176" t="s">
        <v>108</v>
      </c>
      <c r="AX31" s="217">
        <f>IFERROR(SUMIFS(invoice[میزان سفارش],invoice[سال],calc!$AX$5,invoice[نام مشتری],calc!AW31)+IFERROR(SUMIFS(invoice[میزان سفارش],invoice[سال],(calc!$AX$5)-1,invoice[نام مشتری],calc!AW31),0)-SUMIFS(bargiri[میزان بارگیری شده],bargiri[نام مشتری],calc!AW31,bargiri[سال],(calc!$AX$5)-1),"")</f>
        <v>6250</v>
      </c>
      <c r="AY31" s="176"/>
      <c r="AZ31" s="176"/>
      <c r="BU31" s="167"/>
      <c r="CJ31"/>
      <c r="CK31"/>
      <c r="CL31"/>
      <c r="CM31"/>
      <c r="CN31"/>
      <c r="CO31" s="187" t="str">
        <f t="shared" si="4"/>
        <v/>
      </c>
      <c r="CP31" s="188"/>
      <c r="DA31" s="158" t="s">
        <v>1018</v>
      </c>
      <c r="DB31" s="158">
        <f>SUMPRODUCT(invoice[[میزان حمل نشده ]],invoice[فی])</f>
        <v>2903185472400</v>
      </c>
    </row>
    <row r="32" spans="1:130">
      <c r="Z32"/>
      <c r="AA32"/>
      <c r="AB32"/>
      <c r="AC32"/>
      <c r="AD32"/>
      <c r="AN32" s="173" t="s">
        <v>108</v>
      </c>
      <c r="AO32" s="174">
        <v>369915</v>
      </c>
      <c r="AP32" s="174">
        <v>316590</v>
      </c>
      <c r="AQ32" s="174">
        <v>73529.411764705888</v>
      </c>
      <c r="AR32" s="362">
        <v>6</v>
      </c>
      <c r="AS32" s="363">
        <v>17</v>
      </c>
      <c r="AT32" s="215">
        <v>1.6632928670011919E-2</v>
      </c>
      <c r="AU32" s="175">
        <f t="shared" si="0"/>
        <v>0.14415473825067926</v>
      </c>
      <c r="AV32" s="176"/>
      <c r="AW32" s="176" t="s">
        <v>111</v>
      </c>
      <c r="AX32" s="217">
        <f>IFERROR(SUMIFS(invoice[میزان سفارش],invoice[سال],calc!$AX$5,invoice[نام مشتری],calc!AW32)+IFERROR(SUMIFS(invoice[میزان سفارش],invoice[سال],(calc!$AX$5)-1,invoice[نام مشتری],calc!AW32),0)-SUMIFS(bargiri[میزان بارگیری شده],bargiri[نام مشتری],calc!AW32,bargiri[سال],(calc!$AX$5)-1),"")</f>
        <v>-14550</v>
      </c>
      <c r="AY32" s="176"/>
      <c r="AZ32" s="176"/>
      <c r="BU32" s="167"/>
      <c r="CJ32"/>
      <c r="CK32"/>
      <c r="CL32"/>
      <c r="CM32"/>
      <c r="CN32"/>
      <c r="CO32" s="187" t="str">
        <f t="shared" si="4"/>
        <v/>
      </c>
      <c r="CP32" s="190"/>
      <c r="DA32" s="158" t="s">
        <v>1017</v>
      </c>
      <c r="DB32" s="158">
        <f>SUM(invoice[[میزان حمل نشده ]])</f>
        <v>15193603</v>
      </c>
    </row>
    <row r="33" spans="26:93">
      <c r="Z33"/>
      <c r="AA33"/>
      <c r="AB33"/>
      <c r="AC33"/>
      <c r="AD33"/>
      <c r="AN33" s="173" t="s">
        <v>1100</v>
      </c>
      <c r="AO33" s="174">
        <v>200000</v>
      </c>
      <c r="AP33" s="174"/>
      <c r="AQ33" s="174"/>
      <c r="AR33" s="362">
        <v>1</v>
      </c>
      <c r="AS33" s="363"/>
      <c r="AT33" s="215">
        <v>0</v>
      </c>
      <c r="AU33" s="175">
        <f t="shared" si="0"/>
        <v>1</v>
      </c>
      <c r="AV33" s="176"/>
      <c r="AW33" s="176" t="s">
        <v>112</v>
      </c>
      <c r="AX33" s="217">
        <f>IFERROR(SUMIFS(invoice[میزان سفارش],invoice[سال],calc!$AX$5,invoice[نام مشتری],calc!AW33)+IFERROR(SUMIFS(invoice[میزان سفارش],invoice[سال],(calc!$AX$5)-1,invoice[نام مشتری],calc!AW33),0)-SUMIFS(bargiri[میزان بارگیری شده],bargiri[نام مشتری],calc!AW33,bargiri[سال],(calc!$AX$5)-1),"")</f>
        <v>0</v>
      </c>
      <c r="AY33" s="176"/>
      <c r="AZ33" s="176"/>
      <c r="BU33" s="167"/>
      <c r="CJ33"/>
      <c r="CK33"/>
      <c r="CL33"/>
      <c r="CM33"/>
      <c r="CN33"/>
      <c r="CO33" s="187" t="str">
        <f t="shared" si="4"/>
        <v/>
      </c>
    </row>
    <row r="34" spans="26:93">
      <c r="Z34"/>
      <c r="AA34"/>
      <c r="AB34"/>
      <c r="AC34"/>
      <c r="AD34"/>
      <c r="AN34" s="173" t="s">
        <v>1042</v>
      </c>
      <c r="AO34" s="174">
        <v>200000</v>
      </c>
      <c r="AP34" s="174"/>
      <c r="AQ34" s="174"/>
      <c r="AR34" s="362">
        <v>2</v>
      </c>
      <c r="AS34" s="363"/>
      <c r="AT34" s="215">
        <v>0</v>
      </c>
      <c r="AU34" s="175">
        <f t="shared" si="0"/>
        <v>1</v>
      </c>
      <c r="AV34" s="176"/>
      <c r="AW34" s="176" t="s">
        <v>126</v>
      </c>
      <c r="AX34" s="217">
        <f>IFERROR(SUMIFS(invoice[میزان سفارش],invoice[سال],calc!$AX$5,invoice[نام مشتری],calc!AW34)+IFERROR(SUMIFS(invoice[میزان سفارش],invoice[سال],(calc!$AX$5)-1,invoice[نام مشتری],calc!AW34),0)-SUMIFS(bargiri[میزان بارگیری شده],bargiri[نام مشتری],calc!AW34,bargiri[سال],(calc!$AX$5)-1),"")</f>
        <v>0</v>
      </c>
      <c r="AY34" s="176"/>
      <c r="AZ34" s="176"/>
      <c r="BU34" s="167"/>
      <c r="CJ34"/>
      <c r="CK34"/>
      <c r="CL34"/>
      <c r="CM34"/>
      <c r="CN34"/>
      <c r="CO34" s="187" t="str">
        <f t="shared" si="4"/>
        <v/>
      </c>
    </row>
    <row r="35" spans="26:93">
      <c r="Z35"/>
      <c r="AA35"/>
      <c r="AB35"/>
      <c r="AC35"/>
      <c r="AD35"/>
      <c r="AN35" s="173" t="s">
        <v>111</v>
      </c>
      <c r="AO35" s="174">
        <v>158880</v>
      </c>
      <c r="AP35" s="174">
        <v>139000</v>
      </c>
      <c r="AQ35" s="174">
        <v>80000</v>
      </c>
      <c r="AR35" s="362">
        <v>3</v>
      </c>
      <c r="AS35" s="363">
        <v>15</v>
      </c>
      <c r="AT35" s="215">
        <v>7.3027483026363972E-3</v>
      </c>
      <c r="AU35" s="175">
        <f t="shared" si="0"/>
        <v>0.12512588116817724</v>
      </c>
      <c r="AV35" s="176"/>
      <c r="AW35" s="176" t="s">
        <v>119</v>
      </c>
      <c r="AX35" s="217">
        <f>IFERROR(SUMIFS(invoice[میزان سفارش],invoice[سال],calc!$AX$5,invoice[نام مشتری],calc!AW35)+IFERROR(SUMIFS(invoice[میزان سفارش],invoice[سال],(calc!$AX$5)-1,invoice[نام مشتری],calc!AW35),0)-SUMIFS(bargiri[میزان بارگیری شده],bargiri[نام مشتری],calc!AW35,bargiri[سال],(calc!$AX$5)-1),"")</f>
        <v>750000</v>
      </c>
      <c r="AY35" s="176"/>
      <c r="AZ35" s="176"/>
      <c r="CJ35"/>
      <c r="CK35"/>
      <c r="CL35"/>
      <c r="CM35"/>
      <c r="CN35"/>
      <c r="CO35" s="187" t="str">
        <f t="shared" si="4"/>
        <v/>
      </c>
    </row>
    <row r="36" spans="26:93">
      <c r="Z36"/>
      <c r="AA36"/>
      <c r="AB36"/>
      <c r="AC36"/>
      <c r="AD36"/>
      <c r="AN36" s="173" t="s">
        <v>1043</v>
      </c>
      <c r="AO36" s="174">
        <v>150000</v>
      </c>
      <c r="AP36" s="174"/>
      <c r="AQ36" s="174"/>
      <c r="AR36" s="362">
        <v>1</v>
      </c>
      <c r="AS36" s="363"/>
      <c r="AT36" s="215">
        <v>0</v>
      </c>
      <c r="AU36" s="175">
        <f t="shared" si="0"/>
        <v>1</v>
      </c>
      <c r="AV36" s="176"/>
      <c r="AW36" s="176" t="str">
        <f t="shared" ref="AW36:AW49" si="7">IF(AN36&lt;&gt;"",AN36,"")</f>
        <v>گاز کربنیک نورین ابهر</v>
      </c>
      <c r="AX36" s="217">
        <f>IFERROR(SUMIFS(invoice[میزان سفارش],invoice[سال],calc!$AX$5,invoice[نام مشتری],calc!AW36)+IFERROR(SUMIFS(invoice[میزان سفارش],invoice[سال],(calc!$AX$5)-1,invoice[نام مشتری],calc!AW36),0)-SUMIFS(bargiri[میزان بارگیری شده],bargiri[نام مشتری],calc!AW36,bargiri[سال],(calc!$AX$5)-1),"")</f>
        <v>150000</v>
      </c>
      <c r="AY36" s="176"/>
      <c r="AZ36" s="176"/>
      <c r="CJ36"/>
      <c r="CK36"/>
      <c r="CL36"/>
      <c r="CM36"/>
      <c r="CN36"/>
      <c r="CO36" s="187" t="str">
        <f t="shared" si="4"/>
        <v/>
      </c>
    </row>
    <row r="37" spans="26:93">
      <c r="Z37"/>
      <c r="AA37"/>
      <c r="AB37"/>
      <c r="AC37"/>
      <c r="AD37"/>
      <c r="AN37" s="173" t="s">
        <v>1118</v>
      </c>
      <c r="AO37" s="174">
        <v>130000</v>
      </c>
      <c r="AP37" s="174"/>
      <c r="AQ37" s="174"/>
      <c r="AR37" s="362">
        <v>1</v>
      </c>
      <c r="AS37" s="363"/>
      <c r="AT37" s="215">
        <v>0</v>
      </c>
      <c r="AU37" s="175">
        <f t="shared" si="0"/>
        <v>1</v>
      </c>
      <c r="AV37" s="176"/>
      <c r="AW37" s="176" t="str">
        <f t="shared" si="7"/>
        <v>برفاب گاز تبریز</v>
      </c>
      <c r="AX37" s="217">
        <f>IFERROR(SUMIFS(invoice[میزان سفارش],invoice[سال],calc!$AX$5,invoice[نام مشتری],calc!AW37)+IFERROR(SUMIFS(invoice[میزان سفارش],invoice[سال],(calc!$AX$5)-1,invoice[نام مشتری],calc!AW37),0)-SUMIFS(bargiri[میزان بارگیری شده],bargiri[نام مشتری],calc!AW37,bargiri[سال],(calc!$AX$5)-1),"")</f>
        <v>130000</v>
      </c>
      <c r="AY37" s="176"/>
      <c r="AZ37" s="176"/>
      <c r="CJ37"/>
      <c r="CK37"/>
      <c r="CL37"/>
      <c r="CM37"/>
      <c r="CN37"/>
      <c r="CO37" s="187" t="str">
        <f t="shared" si="4"/>
        <v/>
      </c>
    </row>
    <row r="38" spans="26:93">
      <c r="Z38"/>
      <c r="AA38"/>
      <c r="AB38"/>
      <c r="AC38"/>
      <c r="AD38"/>
      <c r="AN38" s="173" t="s">
        <v>1046</v>
      </c>
      <c r="AO38" s="174">
        <v>20000</v>
      </c>
      <c r="AP38" s="174"/>
      <c r="AQ38" s="174"/>
      <c r="AR38" s="362">
        <v>1</v>
      </c>
      <c r="AS38" s="363"/>
      <c r="AT38" s="215">
        <v>0</v>
      </c>
      <c r="AU38" s="175">
        <f t="shared" si="0"/>
        <v>1</v>
      </c>
      <c r="AV38" s="176"/>
      <c r="AW38" s="176" t="str">
        <f t="shared" si="7"/>
        <v>راسا پایدار مصباح</v>
      </c>
      <c r="AX38" s="217">
        <f>IFERROR(SUMIFS(invoice[میزان سفارش],invoice[سال],calc!$AX$5,invoice[نام مشتری],calc!AW38)+IFERROR(SUMIFS(invoice[میزان سفارش],invoice[سال],(calc!$AX$5)-1,invoice[نام مشتری],calc!AW38),0)-SUMIFS(bargiri[میزان بارگیری شده],bargiri[نام مشتری],calc!AW38,bargiri[سال],(calc!$AX$5)-1),"")</f>
        <v>20000</v>
      </c>
      <c r="AY38" s="176"/>
      <c r="AZ38" s="176"/>
      <c r="CJ38"/>
      <c r="CK38"/>
      <c r="CL38"/>
      <c r="CM38"/>
      <c r="CN38"/>
      <c r="CO38" s="187" t="str">
        <f t="shared" si="4"/>
        <v/>
      </c>
    </row>
    <row r="39" spans="26:93">
      <c r="Z39"/>
      <c r="AA39"/>
      <c r="AB39"/>
      <c r="AC39"/>
      <c r="AD39"/>
      <c r="AN39" s="173" t="s">
        <v>731</v>
      </c>
      <c r="AO39" s="174">
        <v>20000</v>
      </c>
      <c r="AP39" s="174"/>
      <c r="AQ39" s="174"/>
      <c r="AR39" s="362">
        <v>1</v>
      </c>
      <c r="AS39" s="363"/>
      <c r="AT39" s="215">
        <v>0</v>
      </c>
      <c r="AU39" s="175">
        <f t="shared" si="0"/>
        <v>1</v>
      </c>
      <c r="AV39" s="176"/>
      <c r="AW39" s="176" t="str">
        <f t="shared" si="7"/>
        <v>آیس کار</v>
      </c>
      <c r="AX39" s="217">
        <f>IFERROR(SUMIFS(invoice[میزان سفارش],invoice[سال],calc!$AX$5,invoice[نام مشتری],calc!AW39)+IFERROR(SUMIFS(invoice[میزان سفارش],invoice[سال],(calc!$AX$5)-1,invoice[نام مشتری],calc!AW39),0)-SUMIFS(bargiri[میزان بارگیری شده],bargiri[نام مشتری],calc!AW39,bargiri[سال],(calc!$AX$5)-1),"")</f>
        <v>11125</v>
      </c>
      <c r="AY39" s="176"/>
      <c r="AZ39" s="176"/>
      <c r="CJ39"/>
      <c r="CK39"/>
      <c r="CL39"/>
      <c r="CM39"/>
      <c r="CN39"/>
      <c r="CO39" s="187" t="str">
        <f t="shared" si="4"/>
        <v/>
      </c>
    </row>
    <row r="40" spans="26:93">
      <c r="Z40"/>
      <c r="AA40"/>
      <c r="AB40"/>
      <c r="AC40"/>
      <c r="AD40"/>
      <c r="AN40" s="173" t="s">
        <v>112</v>
      </c>
      <c r="AO40" s="174">
        <v>18375</v>
      </c>
      <c r="AP40" s="174">
        <v>18375</v>
      </c>
      <c r="AQ40" s="174">
        <v>73000</v>
      </c>
      <c r="AR40" s="362">
        <v>1</v>
      </c>
      <c r="AS40" s="363">
        <v>1</v>
      </c>
      <c r="AT40" s="215">
        <v>9.6538129540247339E-4</v>
      </c>
      <c r="AU40" s="175">
        <f t="shared" si="0"/>
        <v>0</v>
      </c>
      <c r="AV40" s="176"/>
      <c r="AW40" s="176" t="str">
        <f t="shared" si="7"/>
        <v>شرکت دیبا گاز پارسه</v>
      </c>
      <c r="AX40" s="217">
        <f>IFERROR(SUMIFS(invoice[میزان سفارش],invoice[سال],calc!$AX$5,invoice[نام مشتری],calc!AW40)+IFERROR(SUMIFS(invoice[میزان سفارش],invoice[سال],(calc!$AX$5)-1,invoice[نام مشتری],calc!AW40),0)-SUMIFS(bargiri[میزان بارگیری شده],bargiri[نام مشتری],calc!AW40,bargiri[سال],(calc!$AX$5)-1),"")</f>
        <v>0</v>
      </c>
      <c r="AY40" s="176"/>
      <c r="AZ40" s="176"/>
      <c r="CJ40"/>
      <c r="CK40"/>
      <c r="CL40"/>
      <c r="CM40"/>
      <c r="CN40"/>
      <c r="CO40" s="187" t="str">
        <f t="shared" si="4"/>
        <v/>
      </c>
    </row>
    <row r="41" spans="26:93">
      <c r="Z41"/>
      <c r="AA41"/>
      <c r="AB41"/>
      <c r="AC41"/>
      <c r="AD41"/>
      <c r="AN41" s="173" t="s">
        <v>126</v>
      </c>
      <c r="AO41" s="174">
        <v>9720</v>
      </c>
      <c r="AP41" s="174">
        <v>9720</v>
      </c>
      <c r="AQ41" s="174">
        <v>110000</v>
      </c>
      <c r="AR41" s="362">
        <v>1</v>
      </c>
      <c r="AS41" s="363">
        <v>1</v>
      </c>
      <c r="AT41" s="215">
        <v>5.1066700360881856E-4</v>
      </c>
      <c r="AU41" s="175">
        <f t="shared" si="0"/>
        <v>0</v>
      </c>
      <c r="AV41" s="176"/>
      <c r="AW41" s="176" t="str">
        <f t="shared" si="7"/>
        <v>میثاق گاز فراز کرج</v>
      </c>
      <c r="AX41" s="217">
        <f>IFERROR(SUMIFS(invoice[میزان سفارش],invoice[سال],calc!$AX$5,invoice[نام مشتری],calc!AW41)+IFERROR(SUMIFS(invoice[میزان سفارش],invoice[سال],(calc!$AX$5)-1,invoice[نام مشتری],calc!AW41),0)-SUMIFS(bargiri[میزان بارگیری شده],bargiri[نام مشتری],calc!AW41,bargiri[سال],(calc!$AX$5)-1),"")</f>
        <v>0</v>
      </c>
      <c r="AY41" s="176"/>
      <c r="AZ41" s="176"/>
      <c r="CJ41"/>
      <c r="CK41"/>
      <c r="CL41"/>
      <c r="CM41"/>
      <c r="CN41"/>
      <c r="CO41" s="187" t="str">
        <f t="shared" si="4"/>
        <v/>
      </c>
    </row>
    <row r="42" spans="26:93">
      <c r="Z42"/>
      <c r="AA42"/>
      <c r="AB42"/>
      <c r="AC42"/>
      <c r="AD42"/>
      <c r="AN42" s="167"/>
      <c r="AO42" s="167"/>
      <c r="AP42" s="167"/>
      <c r="AQ42" s="167"/>
      <c r="AR42" s="167"/>
      <c r="AS42" s="167"/>
      <c r="AT42" s="167"/>
      <c r="AU42" s="175" t="e">
        <f t="shared" si="0"/>
        <v>#DIV/0!</v>
      </c>
      <c r="AV42" s="176"/>
      <c r="AW42" s="176" t="str">
        <f t="shared" si="7"/>
        <v/>
      </c>
      <c r="AX42" s="217">
        <f>IFERROR(SUMIFS(invoice[میزان سفارش],invoice[سال],calc!$AX$5,invoice[نام مشتری],calc!AW42)+IFERROR(SUMIFS(invoice[میزان سفارش],invoice[سال],(calc!$AX$5)-1,invoice[نام مشتری],calc!AW42),0)-SUMIFS(bargiri[میزان بارگیری شده],bargiri[نام مشتری],calc!AW42,bargiri[سال],(calc!$AX$5)-1),"")</f>
        <v>0</v>
      </c>
      <c r="AY42" s="176"/>
      <c r="AZ42" s="176"/>
      <c r="CJ42"/>
      <c r="CK42"/>
      <c r="CL42"/>
      <c r="CM42"/>
      <c r="CN42"/>
      <c r="CO42" s="187" t="str">
        <f t="shared" si="4"/>
        <v/>
      </c>
    </row>
    <row r="43" spans="26:93">
      <c r="Z43"/>
      <c r="AA43"/>
      <c r="AB43"/>
      <c r="AC43"/>
      <c r="AD43"/>
      <c r="AN43" s="167"/>
      <c r="AO43" s="167"/>
      <c r="AP43" s="167"/>
      <c r="AQ43" s="167"/>
      <c r="AR43" s="167"/>
      <c r="AS43" s="167"/>
      <c r="AT43" s="167"/>
      <c r="AU43" s="175" t="e">
        <f t="shared" si="0"/>
        <v>#DIV/0!</v>
      </c>
      <c r="AV43" s="176"/>
      <c r="AW43" s="176" t="str">
        <f t="shared" si="7"/>
        <v/>
      </c>
      <c r="AX43" s="217">
        <f>IFERROR(SUMIFS(invoice[میزان سفارش],invoice[سال],calc!$AX$5,invoice[نام مشتری],calc!AW43)+IFERROR(SUMIFS(invoice[میزان سفارش],invoice[سال],(calc!$AX$5)-1,invoice[نام مشتری],calc!AW43),0)-SUMIFS(bargiri[میزان بارگیری شده],bargiri[نام مشتری],calc!AW43,bargiri[سال],(calc!$AX$5)-1),"")</f>
        <v>0</v>
      </c>
      <c r="AY43" s="176"/>
      <c r="AZ43" s="176"/>
      <c r="CJ43"/>
      <c r="CK43"/>
      <c r="CL43"/>
      <c r="CM43"/>
      <c r="CN43"/>
      <c r="CO43" s="187" t="str">
        <f t="shared" si="4"/>
        <v/>
      </c>
    </row>
    <row r="44" spans="26:93">
      <c r="Z44"/>
      <c r="AA44"/>
      <c r="AB44"/>
      <c r="AC44"/>
      <c r="AD44"/>
      <c r="AN44" s="167"/>
      <c r="AO44" s="167"/>
      <c r="AP44" s="167"/>
      <c r="AQ44" s="167"/>
      <c r="AR44" s="167"/>
      <c r="AS44" s="167"/>
      <c r="AT44" s="167"/>
      <c r="AU44" s="175" t="e">
        <f t="shared" si="0"/>
        <v>#DIV/0!</v>
      </c>
      <c r="AV44" s="176"/>
      <c r="AW44" s="176" t="str">
        <f t="shared" si="7"/>
        <v/>
      </c>
      <c r="AX44" s="217">
        <f>IFERROR(SUMIFS(invoice[میزان سفارش],invoice[سال],calc!$AX$5,invoice[نام مشتری],calc!AW44)+IFERROR(SUMIFS(invoice[میزان سفارش],invoice[سال],(calc!$AX$5)-1,invoice[نام مشتری],calc!AW44),0)-SUMIFS(bargiri[میزان بارگیری شده],bargiri[نام مشتری],calc!AW44,bargiri[سال],(calc!$AX$5)-1),"")</f>
        <v>0</v>
      </c>
      <c r="AY44" s="176"/>
      <c r="AZ44" s="176"/>
      <c r="CJ44"/>
      <c r="CK44"/>
      <c r="CL44"/>
      <c r="CM44"/>
      <c r="CN44"/>
      <c r="CO44" s="187" t="str">
        <f t="shared" si="4"/>
        <v/>
      </c>
    </row>
    <row r="45" spans="26:93">
      <c r="Z45"/>
      <c r="AA45"/>
      <c r="AB45"/>
      <c r="AC45"/>
      <c r="AD45"/>
      <c r="AN45" s="167"/>
      <c r="AO45" s="167"/>
      <c r="AP45" s="167"/>
      <c r="AQ45" s="167"/>
      <c r="AR45" s="167"/>
      <c r="AS45" s="167"/>
      <c r="AT45" s="167"/>
      <c r="AU45" s="175" t="e">
        <f t="shared" si="0"/>
        <v>#DIV/0!</v>
      </c>
      <c r="AV45" s="176"/>
      <c r="AW45" s="176" t="str">
        <f t="shared" si="7"/>
        <v/>
      </c>
      <c r="AX45" s="217">
        <f>IFERROR(SUMIFS(invoice[میزان سفارش],invoice[سال],calc!$AX$5,invoice[نام مشتری],calc!AW45)+IFERROR(SUMIFS(invoice[میزان سفارش],invoice[سال],(calc!$AX$5)-1,invoice[نام مشتری],calc!AW45),0)-SUMIFS(bargiri[میزان بارگیری شده],bargiri[نام مشتری],calc!AW45,bargiri[سال],(calc!$AX$5)-1),"")</f>
        <v>0</v>
      </c>
      <c r="AY45" s="176"/>
      <c r="AZ45" s="176"/>
      <c r="CJ45"/>
      <c r="CK45"/>
      <c r="CL45"/>
      <c r="CM45"/>
      <c r="CN45"/>
      <c r="CO45" s="187" t="str">
        <f t="shared" si="4"/>
        <v/>
      </c>
    </row>
    <row r="46" spans="26:93">
      <c r="Z46"/>
      <c r="AA46"/>
      <c r="AB46"/>
      <c r="AC46"/>
      <c r="AD46"/>
      <c r="AN46" s="167"/>
      <c r="AO46" s="167"/>
      <c r="AP46" s="167"/>
      <c r="AQ46" s="167"/>
      <c r="AR46" s="167"/>
      <c r="AS46" s="167"/>
      <c r="AT46" s="167"/>
      <c r="AU46" s="175" t="e">
        <f t="shared" si="0"/>
        <v>#DIV/0!</v>
      </c>
      <c r="AV46" s="176"/>
      <c r="AW46" s="176" t="str">
        <f t="shared" si="7"/>
        <v/>
      </c>
      <c r="AX46" s="217">
        <f>IFERROR(SUMIFS(invoice[میزان سفارش],invoice[سال],calc!$AX$5,invoice[نام مشتری],calc!AW46)+IFERROR(SUMIFS(invoice[میزان سفارش],invoice[سال],(calc!$AX$5)-1,invoice[نام مشتری],calc!AW46),0)-SUMIFS(bargiri[میزان بارگیری شده],bargiri[نام مشتری],calc!AW46,bargiri[سال],(calc!$AX$5)-1),"")</f>
        <v>0</v>
      </c>
      <c r="AY46" s="176"/>
      <c r="AZ46" s="176"/>
      <c r="CJ46"/>
      <c r="CK46"/>
      <c r="CL46"/>
      <c r="CM46"/>
      <c r="CN46"/>
      <c r="CO46" s="187" t="str">
        <f t="shared" si="4"/>
        <v/>
      </c>
    </row>
    <row r="47" spans="26:93">
      <c r="Z47"/>
      <c r="AA47"/>
      <c r="AB47"/>
      <c r="AC47"/>
      <c r="AD47"/>
      <c r="AN47" s="167"/>
      <c r="AO47" s="167"/>
      <c r="AP47" s="167"/>
      <c r="AQ47" s="167"/>
      <c r="AR47" s="167"/>
      <c r="AS47" s="167"/>
      <c r="AT47" s="167"/>
      <c r="AU47" s="175" t="e">
        <f t="shared" si="0"/>
        <v>#DIV/0!</v>
      </c>
      <c r="AV47" s="176"/>
      <c r="AW47" s="176" t="str">
        <f t="shared" si="7"/>
        <v/>
      </c>
      <c r="AX47" s="217">
        <f>IFERROR(SUMIFS(invoice[میزان سفارش],invoice[سال],calc!$AX$5,invoice[نام مشتری],calc!AW47)+IFERROR(SUMIFS(invoice[میزان سفارش],invoice[سال],(calc!$AX$5)-1,invoice[نام مشتری],calc!AW47),0)-SUMIFS(bargiri[میزان بارگیری شده],bargiri[نام مشتری],calc!AW47,bargiri[سال],(calc!$AX$5)-1),"")</f>
        <v>0</v>
      </c>
      <c r="AY47" s="176"/>
      <c r="AZ47" s="176"/>
      <c r="CJ47"/>
      <c r="CK47"/>
      <c r="CL47"/>
      <c r="CM47"/>
      <c r="CN47"/>
      <c r="CO47" s="187" t="str">
        <f t="shared" si="4"/>
        <v/>
      </c>
    </row>
    <row r="48" spans="26:93">
      <c r="Z48"/>
      <c r="AA48"/>
      <c r="AB48"/>
      <c r="AC48"/>
      <c r="AD48"/>
      <c r="AN48" s="167"/>
      <c r="AO48" s="167"/>
      <c r="AP48" s="167"/>
      <c r="AQ48" s="167"/>
      <c r="AR48" s="167"/>
      <c r="AS48" s="167"/>
      <c r="AT48" s="167"/>
      <c r="AU48" s="175" t="e">
        <f t="shared" si="0"/>
        <v>#DIV/0!</v>
      </c>
      <c r="AV48" s="176"/>
      <c r="AW48" s="176" t="str">
        <f t="shared" si="7"/>
        <v/>
      </c>
      <c r="AX48" s="217">
        <f>IFERROR(SUMIFS(invoice[میزان سفارش],invoice[سال],calc!$AX$5,invoice[نام مشتری],calc!AW48)+IFERROR(SUMIFS(invoice[میزان سفارش],invoice[سال],(calc!$AX$5)-1,invoice[نام مشتری],calc!AW48),0)-SUMIFS(bargiri[میزان بارگیری شده],bargiri[نام مشتری],calc!AW48,bargiri[سال],(calc!$AX$5)-1),"")</f>
        <v>0</v>
      </c>
      <c r="AY48" s="176"/>
      <c r="AZ48" s="176"/>
      <c r="CJ48"/>
      <c r="CK48"/>
      <c r="CL48"/>
      <c r="CM48"/>
      <c r="CN48"/>
      <c r="CO48" s="187" t="str">
        <f t="shared" si="4"/>
        <v/>
      </c>
    </row>
    <row r="49" spans="26:93">
      <c r="Z49"/>
      <c r="AA49"/>
      <c r="AB49"/>
      <c r="AC49"/>
      <c r="AD49"/>
      <c r="AN49" s="167"/>
      <c r="AO49" s="167"/>
      <c r="AP49" s="167"/>
      <c r="AQ49" s="167"/>
      <c r="AR49" s="167"/>
      <c r="AS49" s="167"/>
      <c r="AT49" s="167"/>
      <c r="AU49" s="175" t="e">
        <f t="shared" si="0"/>
        <v>#DIV/0!</v>
      </c>
      <c r="AV49" s="176"/>
      <c r="AW49" s="176" t="str">
        <f t="shared" si="7"/>
        <v/>
      </c>
      <c r="AX49" s="217">
        <f>IFERROR(SUMIFS(invoice[میزان سفارش],invoice[سال],calc!$AX$5,invoice[نام مشتری],calc!AW49)+IFERROR(SUMIFS(invoice[میزان سفارش],invoice[سال],(calc!$AX$5)-1,invoice[نام مشتری],calc!AW49),0)-SUMIFS(bargiri[میزان بارگیری شده],bargiri[نام مشتری],calc!AW49,bargiri[سال],(calc!$AX$5)-1),"")</f>
        <v>0</v>
      </c>
      <c r="AY49" s="176"/>
      <c r="AZ49" s="176"/>
      <c r="CJ49"/>
      <c r="CK49"/>
      <c r="CL49"/>
      <c r="CM49"/>
      <c r="CN49"/>
      <c r="CO49" s="187" t="str">
        <f t="shared" si="4"/>
        <v/>
      </c>
    </row>
    <row r="50" spans="26:93">
      <c r="Z50"/>
      <c r="AA50"/>
      <c r="AB50"/>
      <c r="AC50"/>
      <c r="AD50"/>
      <c r="AN50" s="167"/>
      <c r="AO50" s="167"/>
      <c r="AP50" s="167"/>
      <c r="AQ50" s="167"/>
      <c r="AR50" s="167"/>
      <c r="AS50" s="167"/>
      <c r="AT50" s="167"/>
      <c r="AU50" s="175" t="e">
        <f t="shared" si="0"/>
        <v>#DIV/0!</v>
      </c>
      <c r="AV50" s="176"/>
      <c r="AW50" s="176"/>
      <c r="AX50" s="176"/>
      <c r="AY50" s="176"/>
      <c r="AZ50" s="176"/>
      <c r="CJ50"/>
      <c r="CK50"/>
      <c r="CL50"/>
      <c r="CM50"/>
      <c r="CN50"/>
      <c r="CO50" s="187" t="str">
        <f t="shared" si="4"/>
        <v/>
      </c>
    </row>
    <row r="51" spans="26:93">
      <c r="Z51"/>
      <c r="AA51"/>
      <c r="AB51"/>
      <c r="AC51"/>
      <c r="AD51"/>
      <c r="AN51" s="167"/>
      <c r="AO51" s="167"/>
      <c r="AP51" s="167"/>
      <c r="AQ51" s="167"/>
      <c r="AR51" s="167"/>
      <c r="AS51" s="167"/>
      <c r="AT51" s="167"/>
      <c r="AU51" s="175" t="e">
        <f t="shared" si="0"/>
        <v>#DIV/0!</v>
      </c>
      <c r="AV51" s="176"/>
      <c r="AW51" s="176"/>
      <c r="AX51" s="176"/>
      <c r="AY51" s="176"/>
      <c r="AZ51" s="176"/>
      <c r="CJ51"/>
      <c r="CK51"/>
      <c r="CL51"/>
      <c r="CM51"/>
      <c r="CN51"/>
      <c r="CO51" s="187" t="str">
        <f t="shared" si="4"/>
        <v/>
      </c>
    </row>
    <row r="52" spans="26:93">
      <c r="Z52"/>
      <c r="AA52"/>
      <c r="AB52"/>
      <c r="AC52"/>
      <c r="AD52"/>
      <c r="AN52" s="167"/>
      <c r="AO52" s="167"/>
      <c r="AP52" s="167"/>
      <c r="AQ52" s="167"/>
      <c r="AR52" s="167"/>
      <c r="AS52" s="167"/>
      <c r="AT52" s="167"/>
      <c r="AU52" s="175" t="e">
        <f t="shared" si="0"/>
        <v>#DIV/0!</v>
      </c>
      <c r="AV52" s="176"/>
      <c r="AW52" s="176"/>
      <c r="AX52" s="176"/>
      <c r="AY52" s="176"/>
      <c r="AZ52" s="176"/>
      <c r="CJ52"/>
      <c r="CK52"/>
      <c r="CL52"/>
      <c r="CM52"/>
      <c r="CN52"/>
      <c r="CO52" s="187" t="str">
        <f t="shared" si="4"/>
        <v/>
      </c>
    </row>
    <row r="53" spans="26:93">
      <c r="Z53"/>
      <c r="AA53"/>
      <c r="AB53"/>
      <c r="AC53"/>
      <c r="AD53"/>
      <c r="AN53" s="167"/>
      <c r="AO53" s="167"/>
      <c r="AP53" s="167"/>
      <c r="AQ53" s="167"/>
      <c r="AR53" s="167"/>
      <c r="AS53" s="167"/>
      <c r="AT53" s="167"/>
      <c r="AU53" s="175" t="e">
        <f t="shared" si="0"/>
        <v>#DIV/0!</v>
      </c>
      <c r="AV53" s="176"/>
      <c r="AW53" s="176"/>
      <c r="AX53" s="176"/>
      <c r="AY53" s="176"/>
      <c r="AZ53" s="176"/>
      <c r="CJ53"/>
      <c r="CK53"/>
      <c r="CL53"/>
      <c r="CM53"/>
      <c r="CN53"/>
      <c r="CO53" s="187" t="str">
        <f t="shared" si="4"/>
        <v/>
      </c>
    </row>
    <row r="54" spans="26:93">
      <c r="Z54"/>
      <c r="AA54"/>
      <c r="AB54"/>
      <c r="AC54"/>
      <c r="AD54"/>
      <c r="AN54" s="167"/>
      <c r="AO54" s="167"/>
      <c r="AP54" s="167"/>
      <c r="AQ54" s="167"/>
      <c r="AR54" s="167"/>
      <c r="AS54" s="167"/>
      <c r="AT54" s="167"/>
      <c r="AU54" s="175" t="e">
        <f t="shared" si="0"/>
        <v>#DIV/0!</v>
      </c>
      <c r="AV54" s="176"/>
      <c r="AW54" s="176"/>
      <c r="AX54" s="176"/>
      <c r="AY54" s="176"/>
      <c r="AZ54" s="176"/>
      <c r="CJ54"/>
      <c r="CK54"/>
      <c r="CL54"/>
      <c r="CM54"/>
      <c r="CN54"/>
      <c r="CO54" s="187" t="str">
        <f t="shared" si="4"/>
        <v/>
      </c>
    </row>
    <row r="55" spans="26:93">
      <c r="Z55"/>
      <c r="AA55"/>
      <c r="AB55"/>
      <c r="AC55"/>
      <c r="AD55"/>
      <c r="AN55" s="167"/>
      <c r="AO55" s="167"/>
      <c r="AP55" s="167"/>
      <c r="AQ55" s="167"/>
      <c r="AR55" s="167"/>
      <c r="AS55" s="167"/>
      <c r="AT55" s="167"/>
      <c r="AU55" s="175" t="e">
        <f t="shared" si="0"/>
        <v>#DIV/0!</v>
      </c>
      <c r="AV55" s="176"/>
      <c r="AW55" s="176"/>
      <c r="AX55" s="176"/>
      <c r="AY55" s="176"/>
      <c r="AZ55" s="176"/>
      <c r="CJ55"/>
      <c r="CK55"/>
      <c r="CL55"/>
      <c r="CM55"/>
      <c r="CN55"/>
      <c r="CO55" s="187" t="str">
        <f t="shared" si="4"/>
        <v/>
      </c>
    </row>
    <row r="56" spans="26:93">
      <c r="Z56"/>
      <c r="AA56"/>
      <c r="AB56"/>
      <c r="AC56"/>
      <c r="AD56"/>
      <c r="AN56" s="167"/>
      <c r="AO56" s="167"/>
      <c r="AP56" s="167"/>
      <c r="AQ56" s="167"/>
      <c r="AR56" s="167"/>
      <c r="AS56" s="167"/>
      <c r="AT56" s="167"/>
      <c r="AU56" s="175" t="e">
        <f t="shared" si="0"/>
        <v>#DIV/0!</v>
      </c>
      <c r="AV56" s="176"/>
      <c r="AW56" s="176"/>
      <c r="AX56" s="176"/>
      <c r="AY56" s="176"/>
      <c r="AZ56" s="176"/>
      <c r="CJ56"/>
      <c r="CK56"/>
      <c r="CL56"/>
      <c r="CM56"/>
      <c r="CN56"/>
      <c r="CO56" s="187" t="str">
        <f t="shared" si="4"/>
        <v/>
      </c>
    </row>
    <row r="57" spans="26:93">
      <c r="Z57"/>
      <c r="AA57"/>
      <c r="AB57"/>
      <c r="AC57"/>
      <c r="AD57"/>
      <c r="AN57" s="167"/>
      <c r="AO57" s="167"/>
      <c r="AP57" s="167"/>
      <c r="AQ57" s="167"/>
      <c r="AR57" s="167"/>
      <c r="AS57" s="167"/>
      <c r="AT57" s="167"/>
      <c r="AU57" s="175" t="e">
        <f t="shared" si="0"/>
        <v>#DIV/0!</v>
      </c>
      <c r="AV57" s="176"/>
      <c r="AW57" s="176"/>
      <c r="AX57" s="176"/>
      <c r="AY57" s="176"/>
      <c r="AZ57" s="176"/>
      <c r="CJ57"/>
      <c r="CK57"/>
      <c r="CL57"/>
      <c r="CM57"/>
      <c r="CN57"/>
      <c r="CO57" s="187" t="str">
        <f t="shared" si="4"/>
        <v/>
      </c>
    </row>
    <row r="58" spans="26:93">
      <c r="Z58"/>
      <c r="AA58"/>
      <c r="AB58"/>
      <c r="AC58"/>
      <c r="AD58"/>
      <c r="AN58" s="167"/>
      <c r="AO58" s="167"/>
      <c r="AP58" s="167"/>
      <c r="AQ58" s="167"/>
      <c r="AR58" s="167"/>
      <c r="AS58" s="167"/>
      <c r="AT58" s="167"/>
      <c r="AU58" s="175" t="e">
        <f t="shared" si="0"/>
        <v>#DIV/0!</v>
      </c>
      <c r="AV58" s="176"/>
      <c r="AW58" s="176"/>
      <c r="AX58" s="176"/>
      <c r="AY58" s="176"/>
      <c r="AZ58" s="176"/>
      <c r="CJ58"/>
      <c r="CK58"/>
      <c r="CL58"/>
      <c r="CM58"/>
      <c r="CN58"/>
      <c r="CO58" s="187" t="str">
        <f t="shared" si="4"/>
        <v/>
      </c>
    </row>
    <row r="59" spans="26:93">
      <c r="Z59"/>
      <c r="AA59"/>
      <c r="AB59"/>
      <c r="AC59"/>
      <c r="AD59"/>
      <c r="AN59" s="167"/>
      <c r="AO59" s="167"/>
      <c r="AP59" s="167"/>
      <c r="AQ59" s="167"/>
      <c r="AR59" s="167"/>
      <c r="AS59" s="167"/>
      <c r="AT59" s="167"/>
      <c r="AU59" s="175" t="e">
        <f t="shared" si="0"/>
        <v>#DIV/0!</v>
      </c>
      <c r="AV59" s="176"/>
      <c r="AW59" s="176"/>
      <c r="AX59" s="176"/>
      <c r="AY59" s="176"/>
      <c r="AZ59" s="176"/>
      <c r="CJ59"/>
      <c r="CK59"/>
      <c r="CL59"/>
      <c r="CM59"/>
      <c r="CN59"/>
      <c r="CO59" s="187" t="str">
        <f t="shared" si="4"/>
        <v/>
      </c>
    </row>
    <row r="60" spans="26:93">
      <c r="Z60"/>
      <c r="AA60"/>
      <c r="AB60"/>
      <c r="AC60"/>
      <c r="AD60"/>
      <c r="AN60" s="167"/>
      <c r="AO60" s="167"/>
      <c r="AP60" s="167"/>
      <c r="AQ60" s="167"/>
      <c r="AR60" s="167"/>
      <c r="AS60" s="167"/>
      <c r="AT60" s="167"/>
      <c r="AU60" s="175" t="e">
        <f t="shared" si="0"/>
        <v>#DIV/0!</v>
      </c>
      <c r="AV60" s="176"/>
      <c r="AW60" s="176"/>
      <c r="AX60" s="176"/>
      <c r="AY60" s="176"/>
      <c r="AZ60" s="176"/>
      <c r="CJ60"/>
      <c r="CK60"/>
      <c r="CL60"/>
      <c r="CM60"/>
      <c r="CN60"/>
      <c r="CO60" s="187" t="str">
        <f t="shared" si="4"/>
        <v/>
      </c>
    </row>
    <row r="61" spans="26:93">
      <c r="Z61"/>
      <c r="AA61"/>
      <c r="AB61"/>
      <c r="AC61"/>
      <c r="AD61"/>
      <c r="AN61" s="167"/>
      <c r="AO61" s="167"/>
      <c r="AP61" s="167"/>
      <c r="AQ61" s="167"/>
      <c r="AR61" s="167"/>
      <c r="AS61" s="167"/>
      <c r="AT61" s="167"/>
      <c r="AU61" s="175" t="e">
        <f t="shared" si="0"/>
        <v>#DIV/0!</v>
      </c>
      <c r="AV61" s="176"/>
      <c r="AW61" s="176"/>
      <c r="AX61" s="176"/>
      <c r="AY61" s="176"/>
      <c r="AZ61" s="176"/>
      <c r="CJ61"/>
      <c r="CK61"/>
      <c r="CL61"/>
      <c r="CM61"/>
      <c r="CN61"/>
      <c r="CO61" s="187" t="str">
        <f t="shared" si="4"/>
        <v/>
      </c>
    </row>
    <row r="62" spans="26:93">
      <c r="Z62"/>
      <c r="AA62"/>
      <c r="AB62"/>
      <c r="AC62"/>
      <c r="AD62"/>
      <c r="AN62" s="167"/>
      <c r="AO62" s="167"/>
      <c r="AP62" s="167"/>
      <c r="AQ62" s="167"/>
      <c r="AR62" s="167"/>
      <c r="AS62" s="167"/>
      <c r="AT62" s="167"/>
      <c r="AU62" s="175" t="e">
        <f t="shared" si="0"/>
        <v>#DIV/0!</v>
      </c>
      <c r="AV62" s="176"/>
      <c r="AW62" s="176"/>
      <c r="AX62" s="176"/>
      <c r="AY62" s="176"/>
      <c r="AZ62" s="176"/>
      <c r="CJ62"/>
      <c r="CK62"/>
      <c r="CL62"/>
      <c r="CM62"/>
      <c r="CN62"/>
      <c r="CO62" s="187" t="str">
        <f t="shared" si="4"/>
        <v/>
      </c>
    </row>
    <row r="63" spans="26:93">
      <c r="Z63"/>
      <c r="AA63"/>
      <c r="AB63"/>
      <c r="AC63"/>
      <c r="AD63"/>
      <c r="AN63" s="167"/>
      <c r="AO63" s="167"/>
      <c r="AP63" s="167"/>
      <c r="AQ63" s="167"/>
      <c r="AR63" s="167"/>
      <c r="AS63" s="167"/>
      <c r="AT63" s="167"/>
      <c r="AU63" s="175" t="e">
        <f t="shared" si="0"/>
        <v>#DIV/0!</v>
      </c>
      <c r="AV63" s="176"/>
      <c r="AW63" s="176"/>
      <c r="AX63" s="176"/>
      <c r="AY63" s="176"/>
      <c r="AZ63" s="176"/>
      <c r="CJ63"/>
      <c r="CK63"/>
      <c r="CL63"/>
      <c r="CM63"/>
      <c r="CN63"/>
      <c r="CO63" s="187" t="str">
        <f t="shared" si="4"/>
        <v/>
      </c>
    </row>
    <row r="64" spans="26:93">
      <c r="Z64"/>
      <c r="AA64"/>
      <c r="AB64"/>
      <c r="AC64"/>
      <c r="AD64"/>
      <c r="AN64" s="167"/>
      <c r="AO64" s="167"/>
      <c r="AP64" s="167"/>
      <c r="AQ64" s="167"/>
      <c r="AR64" s="167"/>
      <c r="AS64" s="167"/>
      <c r="AT64" s="167"/>
      <c r="AU64" s="175" t="e">
        <f t="shared" si="0"/>
        <v>#DIV/0!</v>
      </c>
      <c r="AV64" s="176"/>
      <c r="AW64" s="176"/>
      <c r="AX64" s="176"/>
      <c r="AY64" s="176"/>
      <c r="AZ64" s="176"/>
      <c r="CJ64"/>
      <c r="CK64"/>
      <c r="CL64"/>
      <c r="CM64"/>
      <c r="CN64"/>
      <c r="CO64" s="187" t="str">
        <f t="shared" si="4"/>
        <v/>
      </c>
    </row>
    <row r="65" spans="26:93">
      <c r="Z65"/>
      <c r="AA65"/>
      <c r="AB65"/>
      <c r="AC65"/>
      <c r="AD65"/>
      <c r="AN65" s="167"/>
      <c r="AO65" s="167"/>
      <c r="AP65" s="167"/>
      <c r="AQ65" s="167"/>
      <c r="AR65" s="167"/>
      <c r="AS65" s="167"/>
      <c r="AT65" s="167"/>
      <c r="AU65" s="175" t="e">
        <f t="shared" si="0"/>
        <v>#DIV/0!</v>
      </c>
      <c r="AV65" s="176"/>
      <c r="AW65" s="176"/>
      <c r="AX65" s="176"/>
      <c r="AY65" s="176"/>
      <c r="AZ65" s="176"/>
      <c r="CJ65"/>
      <c r="CK65"/>
      <c r="CL65"/>
      <c r="CM65"/>
      <c r="CN65"/>
      <c r="CO65" s="187" t="str">
        <f t="shared" si="4"/>
        <v/>
      </c>
    </row>
    <row r="66" spans="26:93">
      <c r="Z66"/>
      <c r="AA66"/>
      <c r="AB66"/>
      <c r="AC66"/>
      <c r="AD66"/>
      <c r="AN66" s="167"/>
      <c r="AO66" s="167"/>
      <c r="AP66" s="167"/>
      <c r="AQ66" s="167"/>
      <c r="AR66" s="167"/>
      <c r="AS66" s="167"/>
      <c r="AT66" s="167"/>
      <c r="AU66" s="175" t="e">
        <f t="shared" si="0"/>
        <v>#DIV/0!</v>
      </c>
      <c r="AV66" s="176"/>
      <c r="AW66" s="176"/>
      <c r="AX66" s="176"/>
      <c r="AY66" s="176"/>
      <c r="AZ66" s="176"/>
      <c r="CJ66"/>
      <c r="CK66"/>
      <c r="CL66"/>
      <c r="CM66"/>
      <c r="CN66"/>
      <c r="CO66" s="187" t="str">
        <f t="shared" si="4"/>
        <v/>
      </c>
    </row>
    <row r="67" spans="26:93">
      <c r="Z67"/>
      <c r="AA67"/>
      <c r="AB67"/>
      <c r="AC67"/>
      <c r="AD67"/>
      <c r="AN67" s="167"/>
      <c r="AO67" s="167"/>
      <c r="AP67" s="167"/>
      <c r="AQ67" s="167"/>
      <c r="AR67" s="167"/>
      <c r="AS67" s="167"/>
      <c r="AT67" s="167"/>
      <c r="AU67" s="175" t="e">
        <f t="shared" si="0"/>
        <v>#DIV/0!</v>
      </c>
      <c r="AV67" s="176"/>
      <c r="AW67" s="176"/>
      <c r="AX67" s="176"/>
      <c r="AY67" s="176"/>
      <c r="AZ67" s="176"/>
      <c r="CJ67"/>
      <c r="CK67"/>
      <c r="CL67"/>
      <c r="CM67"/>
      <c r="CN67"/>
      <c r="CO67" s="187" t="str">
        <f t="shared" si="4"/>
        <v/>
      </c>
    </row>
    <row r="68" spans="26:93">
      <c r="Z68"/>
      <c r="AA68"/>
      <c r="AB68"/>
      <c r="AC68"/>
      <c r="AD68"/>
      <c r="AN68" s="167"/>
      <c r="AO68" s="167"/>
      <c r="AP68" s="167"/>
      <c r="AQ68" s="167"/>
      <c r="AR68" s="167"/>
      <c r="AS68" s="167"/>
      <c r="AT68" s="167"/>
      <c r="AU68" s="175" t="e">
        <f t="shared" si="0"/>
        <v>#DIV/0!</v>
      </c>
      <c r="AV68" s="176"/>
      <c r="AW68" s="176"/>
      <c r="AX68" s="176"/>
      <c r="AY68" s="176"/>
      <c r="AZ68" s="176"/>
      <c r="CJ68"/>
      <c r="CK68"/>
      <c r="CL68"/>
      <c r="CM68"/>
      <c r="CN68"/>
      <c r="CO68" s="187" t="str">
        <f t="shared" si="4"/>
        <v/>
      </c>
    </row>
    <row r="69" spans="26:93">
      <c r="Z69"/>
      <c r="AA69"/>
      <c r="AB69"/>
      <c r="AC69"/>
      <c r="AD69"/>
      <c r="AN69" s="167"/>
      <c r="AO69" s="167"/>
      <c r="AP69" s="167"/>
      <c r="AQ69" s="167"/>
      <c r="AR69" s="167"/>
      <c r="AS69" s="167"/>
      <c r="AT69" s="167"/>
      <c r="AU69" s="175" t="e">
        <f t="shared" si="0"/>
        <v>#DIV/0!</v>
      </c>
      <c r="AV69" s="176"/>
      <c r="AW69" s="176"/>
      <c r="AX69" s="176"/>
      <c r="AY69" s="176"/>
      <c r="AZ69" s="176"/>
      <c r="CJ69"/>
      <c r="CK69"/>
      <c r="CL69"/>
      <c r="CM69"/>
      <c r="CN69"/>
      <c r="CO69" s="187" t="str">
        <f t="shared" si="4"/>
        <v/>
      </c>
    </row>
    <row r="70" spans="26:93">
      <c r="Z70"/>
      <c r="AA70"/>
      <c r="AB70"/>
      <c r="AC70"/>
      <c r="AD70"/>
      <c r="AN70" s="167"/>
      <c r="AO70" s="167"/>
      <c r="AP70" s="167"/>
      <c r="AQ70" s="167"/>
      <c r="AR70" s="167"/>
      <c r="AS70" s="167"/>
      <c r="AT70" s="167"/>
      <c r="AU70" s="175" t="e">
        <f t="shared" si="0"/>
        <v>#DIV/0!</v>
      </c>
      <c r="AV70" s="176"/>
      <c r="AW70" s="176"/>
      <c r="AX70" s="176"/>
      <c r="AY70" s="176"/>
      <c r="AZ70" s="176"/>
      <c r="CJ70"/>
      <c r="CK70"/>
      <c r="CL70"/>
      <c r="CM70"/>
      <c r="CN70"/>
      <c r="CO70" s="187" t="str">
        <f t="shared" si="4"/>
        <v/>
      </c>
    </row>
    <row r="71" spans="26:93">
      <c r="Z71"/>
      <c r="AA71"/>
      <c r="AB71"/>
      <c r="AC71"/>
      <c r="AD71"/>
      <c r="AN71" s="167"/>
      <c r="AO71" s="167"/>
      <c r="AP71" s="167"/>
      <c r="AQ71" s="167"/>
      <c r="AR71" s="167"/>
      <c r="AS71" s="167"/>
      <c r="AT71" s="167"/>
      <c r="AU71" s="175" t="e">
        <f t="shared" si="0"/>
        <v>#DIV/0!</v>
      </c>
      <c r="AV71" s="176"/>
      <c r="AW71" s="176"/>
      <c r="AX71" s="176"/>
      <c r="AY71" s="176"/>
      <c r="AZ71" s="176"/>
      <c r="CJ71"/>
      <c r="CK71"/>
      <c r="CL71"/>
      <c r="CM71"/>
      <c r="CN71"/>
      <c r="CO71" s="187" t="str">
        <f t="shared" si="4"/>
        <v/>
      </c>
    </row>
    <row r="72" spans="26:93">
      <c r="Z72"/>
      <c r="AA72"/>
      <c r="AB72"/>
      <c r="AC72"/>
      <c r="AD72"/>
      <c r="AN72" s="167"/>
      <c r="AO72" s="167"/>
      <c r="AP72" s="167"/>
      <c r="AQ72" s="167"/>
      <c r="AR72" s="167"/>
      <c r="AS72" s="167"/>
      <c r="AT72" s="167"/>
      <c r="AU72" s="175" t="e">
        <f t="shared" ref="AU72:AU129" si="8">1-(AP72/AO72)</f>
        <v>#DIV/0!</v>
      </c>
      <c r="AV72" s="176"/>
      <c r="AW72" s="176"/>
      <c r="AX72" s="176"/>
      <c r="AY72" s="176"/>
      <c r="AZ72" s="176"/>
      <c r="CJ72"/>
      <c r="CK72"/>
      <c r="CL72"/>
      <c r="CM72"/>
      <c r="CN72"/>
      <c r="CO72" s="187" t="str">
        <f t="shared" si="4"/>
        <v/>
      </c>
    </row>
    <row r="73" spans="26:93">
      <c r="Z73"/>
      <c r="AA73"/>
      <c r="AB73"/>
      <c r="AC73"/>
      <c r="AD73"/>
      <c r="AN73" s="167"/>
      <c r="AO73" s="167"/>
      <c r="AP73" s="167"/>
      <c r="AQ73" s="167"/>
      <c r="AR73" s="167"/>
      <c r="AS73" s="167"/>
      <c r="AT73" s="167"/>
      <c r="AU73" s="175" t="e">
        <f t="shared" si="8"/>
        <v>#DIV/0!</v>
      </c>
      <c r="AV73" s="176"/>
      <c r="AW73" s="176"/>
      <c r="AX73" s="176"/>
      <c r="AY73" s="176"/>
      <c r="AZ73" s="176"/>
      <c r="CJ73"/>
      <c r="CK73"/>
      <c r="CL73"/>
      <c r="CM73"/>
      <c r="CN73"/>
      <c r="CO73" s="187" t="str">
        <f t="shared" si="4"/>
        <v/>
      </c>
    </row>
    <row r="74" spans="26:93">
      <c r="Z74"/>
      <c r="AA74"/>
      <c r="AB74"/>
      <c r="AC74"/>
      <c r="AD74"/>
      <c r="AN74" s="167"/>
      <c r="AO74" s="167"/>
      <c r="AP74" s="167"/>
      <c r="AQ74" s="167"/>
      <c r="AR74" s="167"/>
      <c r="AS74" s="167"/>
      <c r="AT74" s="167"/>
      <c r="AU74" s="175" t="e">
        <f t="shared" si="8"/>
        <v>#DIV/0!</v>
      </c>
      <c r="AV74" s="176"/>
      <c r="AW74" s="176"/>
      <c r="AX74" s="176"/>
      <c r="AY74" s="176"/>
      <c r="AZ74" s="176"/>
      <c r="CJ74"/>
      <c r="CK74"/>
      <c r="CL74"/>
      <c r="CM74"/>
      <c r="CN74"/>
      <c r="CO74" s="187" t="str">
        <f t="shared" ref="CO74:CO137" si="9">IF(CK74-CM74&gt;0,CK74-CM74,"")</f>
        <v/>
      </c>
    </row>
    <row r="75" spans="26:93">
      <c r="Z75"/>
      <c r="AA75"/>
      <c r="AB75"/>
      <c r="AC75"/>
      <c r="AD75"/>
      <c r="AN75" s="167"/>
      <c r="AO75" s="167"/>
      <c r="AP75" s="167"/>
      <c r="AQ75" s="167"/>
      <c r="AR75" s="167"/>
      <c r="AS75" s="167"/>
      <c r="AT75" s="167"/>
      <c r="AU75" s="175" t="e">
        <f t="shared" si="8"/>
        <v>#DIV/0!</v>
      </c>
      <c r="AV75" s="176"/>
      <c r="AW75" s="176"/>
      <c r="AX75" s="176"/>
      <c r="AY75" s="176"/>
      <c r="AZ75" s="176"/>
      <c r="CJ75"/>
      <c r="CK75"/>
      <c r="CL75"/>
      <c r="CM75"/>
      <c r="CN75"/>
      <c r="CO75" s="187" t="str">
        <f t="shared" si="9"/>
        <v/>
      </c>
    </row>
    <row r="76" spans="26:93">
      <c r="Z76"/>
      <c r="AA76"/>
      <c r="AB76"/>
      <c r="AC76"/>
      <c r="AD76"/>
      <c r="AN76" s="167"/>
      <c r="AO76" s="167"/>
      <c r="AP76" s="167"/>
      <c r="AQ76" s="167"/>
      <c r="AR76" s="167"/>
      <c r="AS76" s="167"/>
      <c r="AT76" s="167"/>
      <c r="AU76" s="175" t="e">
        <f t="shared" si="8"/>
        <v>#DIV/0!</v>
      </c>
      <c r="AV76" s="176"/>
      <c r="AW76" s="176"/>
      <c r="AX76" s="176"/>
      <c r="AY76" s="176"/>
      <c r="AZ76" s="176"/>
      <c r="CJ76"/>
      <c r="CK76"/>
      <c r="CL76"/>
      <c r="CM76"/>
      <c r="CN76"/>
      <c r="CO76" s="187" t="str">
        <f t="shared" si="9"/>
        <v/>
      </c>
    </row>
    <row r="77" spans="26:93">
      <c r="Z77"/>
      <c r="AA77"/>
      <c r="AB77"/>
      <c r="AC77"/>
      <c r="AD77"/>
      <c r="AN77" s="167"/>
      <c r="AO77" s="167"/>
      <c r="AP77" s="167"/>
      <c r="AQ77" s="167"/>
      <c r="AR77" s="167"/>
      <c r="AS77" s="167"/>
      <c r="AT77" s="167"/>
      <c r="AU77" s="175" t="e">
        <f t="shared" si="8"/>
        <v>#DIV/0!</v>
      </c>
      <c r="AV77" s="176"/>
      <c r="AW77" s="176"/>
      <c r="AX77" s="176"/>
      <c r="AY77" s="176"/>
      <c r="AZ77" s="176"/>
      <c r="CJ77"/>
      <c r="CK77"/>
      <c r="CL77"/>
      <c r="CM77"/>
      <c r="CN77"/>
      <c r="CO77" s="187" t="str">
        <f t="shared" si="9"/>
        <v/>
      </c>
    </row>
    <row r="78" spans="26:93">
      <c r="Z78"/>
      <c r="AA78"/>
      <c r="AB78"/>
      <c r="AC78"/>
      <c r="AD78"/>
      <c r="AN78" s="167"/>
      <c r="AO78" s="167"/>
      <c r="AP78" s="167"/>
      <c r="AQ78" s="167"/>
      <c r="AR78" s="167"/>
      <c r="AS78" s="167"/>
      <c r="AT78" s="167"/>
      <c r="AU78" s="175" t="e">
        <f t="shared" si="8"/>
        <v>#DIV/0!</v>
      </c>
      <c r="AV78" s="176"/>
      <c r="AW78" s="176"/>
      <c r="AX78" s="176"/>
      <c r="AY78" s="176"/>
      <c r="AZ78" s="176"/>
      <c r="CJ78"/>
      <c r="CK78"/>
      <c r="CL78"/>
      <c r="CM78"/>
      <c r="CN78"/>
      <c r="CO78" s="187" t="str">
        <f t="shared" si="9"/>
        <v/>
      </c>
    </row>
    <row r="79" spans="26:93">
      <c r="Z79"/>
      <c r="AA79"/>
      <c r="AB79"/>
      <c r="AC79"/>
      <c r="AD79"/>
      <c r="AN79" s="167"/>
      <c r="AO79" s="167"/>
      <c r="AP79" s="167"/>
      <c r="AQ79" s="167"/>
      <c r="AR79" s="167"/>
      <c r="AS79" s="167"/>
      <c r="AT79" s="167"/>
      <c r="AU79" s="175" t="e">
        <f t="shared" si="8"/>
        <v>#DIV/0!</v>
      </c>
      <c r="AV79" s="176"/>
      <c r="AW79" s="176"/>
      <c r="AX79" s="176"/>
      <c r="AY79" s="176"/>
      <c r="AZ79" s="176"/>
      <c r="CJ79"/>
      <c r="CK79"/>
      <c r="CL79"/>
      <c r="CM79"/>
      <c r="CN79"/>
      <c r="CO79" s="187" t="str">
        <f t="shared" si="9"/>
        <v/>
      </c>
    </row>
    <row r="80" spans="26:93">
      <c r="Z80"/>
      <c r="AA80"/>
      <c r="AB80"/>
      <c r="AC80"/>
      <c r="AD80"/>
      <c r="AN80" s="167"/>
      <c r="AO80" s="167"/>
      <c r="AP80" s="167"/>
      <c r="AQ80" s="167"/>
      <c r="AR80" s="167"/>
      <c r="AS80" s="167"/>
      <c r="AT80" s="167"/>
      <c r="AU80" s="175" t="e">
        <f t="shared" si="8"/>
        <v>#DIV/0!</v>
      </c>
      <c r="AV80" s="176"/>
      <c r="AW80" s="176"/>
      <c r="AX80" s="176"/>
      <c r="AY80" s="176"/>
      <c r="AZ80" s="176"/>
      <c r="CJ80"/>
      <c r="CK80"/>
      <c r="CL80"/>
      <c r="CM80"/>
      <c r="CN80"/>
      <c r="CO80" s="187" t="str">
        <f t="shared" si="9"/>
        <v/>
      </c>
    </row>
    <row r="81" spans="26:93">
      <c r="Z81"/>
      <c r="AA81"/>
      <c r="AB81"/>
      <c r="AC81"/>
      <c r="AD81"/>
      <c r="AN81" s="167"/>
      <c r="AO81" s="167"/>
      <c r="AP81" s="167"/>
      <c r="AQ81" s="167"/>
      <c r="AR81" s="167"/>
      <c r="AS81" s="167"/>
      <c r="AT81" s="167"/>
      <c r="AU81" s="175" t="e">
        <f t="shared" si="8"/>
        <v>#DIV/0!</v>
      </c>
      <c r="AV81" s="176"/>
      <c r="AW81" s="176"/>
      <c r="AX81" s="176"/>
      <c r="AY81" s="176"/>
      <c r="AZ81" s="176"/>
      <c r="CJ81"/>
      <c r="CK81"/>
      <c r="CL81"/>
      <c r="CM81"/>
      <c r="CN81"/>
      <c r="CO81" s="187" t="str">
        <f t="shared" si="9"/>
        <v/>
      </c>
    </row>
    <row r="82" spans="26:93">
      <c r="Z82"/>
      <c r="AA82"/>
      <c r="AB82"/>
      <c r="AC82"/>
      <c r="AD82"/>
      <c r="AN82" s="167"/>
      <c r="AO82" s="167"/>
      <c r="AP82" s="167"/>
      <c r="AQ82" s="167"/>
      <c r="AR82" s="167"/>
      <c r="AS82" s="167"/>
      <c r="AT82" s="167"/>
      <c r="AU82" s="175" t="e">
        <f t="shared" si="8"/>
        <v>#DIV/0!</v>
      </c>
      <c r="AV82" s="176"/>
      <c r="AW82" s="176"/>
      <c r="AX82" s="176"/>
      <c r="AY82" s="176"/>
      <c r="AZ82" s="176"/>
      <c r="CJ82"/>
      <c r="CK82"/>
      <c r="CL82"/>
      <c r="CM82"/>
      <c r="CN82"/>
      <c r="CO82" s="187" t="str">
        <f t="shared" si="9"/>
        <v/>
      </c>
    </row>
    <row r="83" spans="26:93">
      <c r="Z83"/>
      <c r="AA83"/>
      <c r="AB83"/>
      <c r="AC83"/>
      <c r="AD83"/>
      <c r="AN83" s="167"/>
      <c r="AO83" s="167"/>
      <c r="AP83" s="167"/>
      <c r="AQ83" s="167"/>
      <c r="AR83" s="167"/>
      <c r="AS83" s="167"/>
      <c r="AT83" s="167"/>
      <c r="AU83" s="175" t="e">
        <f t="shared" si="8"/>
        <v>#DIV/0!</v>
      </c>
      <c r="AV83" s="176"/>
      <c r="AW83" s="176"/>
      <c r="AX83" s="176"/>
      <c r="AY83" s="176"/>
      <c r="AZ83" s="176"/>
      <c r="CJ83"/>
      <c r="CK83"/>
      <c r="CL83"/>
      <c r="CM83"/>
      <c r="CN83"/>
      <c r="CO83" s="187" t="str">
        <f t="shared" si="9"/>
        <v/>
      </c>
    </row>
    <row r="84" spans="26:93">
      <c r="Z84"/>
      <c r="AA84"/>
      <c r="AB84"/>
      <c r="AC84"/>
      <c r="AD84"/>
      <c r="AN84" s="167"/>
      <c r="AO84" s="167"/>
      <c r="AP84" s="167"/>
      <c r="AQ84" s="167"/>
      <c r="AR84" s="167"/>
      <c r="AS84" s="167"/>
      <c r="AT84" s="167"/>
      <c r="AU84" s="175" t="e">
        <f t="shared" si="8"/>
        <v>#DIV/0!</v>
      </c>
      <c r="AV84" s="176"/>
      <c r="AW84" s="176"/>
      <c r="AX84" s="176"/>
      <c r="AY84" s="176"/>
      <c r="AZ84" s="176"/>
      <c r="CJ84"/>
      <c r="CK84"/>
      <c r="CL84"/>
      <c r="CM84"/>
      <c r="CN84"/>
      <c r="CO84" s="187" t="str">
        <f t="shared" si="9"/>
        <v/>
      </c>
    </row>
    <row r="85" spans="26:93">
      <c r="Z85"/>
      <c r="AA85"/>
      <c r="AB85"/>
      <c r="AC85"/>
      <c r="AD85"/>
      <c r="AN85" s="167"/>
      <c r="AO85" s="167"/>
      <c r="AP85" s="167"/>
      <c r="AQ85" s="167"/>
      <c r="AR85" s="167"/>
      <c r="AS85" s="167"/>
      <c r="AT85" s="167"/>
      <c r="AU85" s="175" t="e">
        <f t="shared" si="8"/>
        <v>#DIV/0!</v>
      </c>
      <c r="AV85" s="176"/>
      <c r="AW85" s="176"/>
      <c r="AX85" s="176"/>
      <c r="AY85" s="176"/>
      <c r="AZ85" s="176"/>
      <c r="CJ85"/>
      <c r="CK85"/>
      <c r="CL85"/>
      <c r="CM85"/>
      <c r="CN85"/>
      <c r="CO85" s="187" t="str">
        <f t="shared" si="9"/>
        <v/>
      </c>
    </row>
    <row r="86" spans="26:93">
      <c r="Z86"/>
      <c r="AA86"/>
      <c r="AB86"/>
      <c r="AC86"/>
      <c r="AD86"/>
      <c r="AN86" s="167"/>
      <c r="AO86" s="167"/>
      <c r="AP86" s="167"/>
      <c r="AQ86" s="167"/>
      <c r="AR86" s="167"/>
      <c r="AS86" s="167"/>
      <c r="AT86" s="167"/>
      <c r="AU86" s="175" t="e">
        <f t="shared" si="8"/>
        <v>#DIV/0!</v>
      </c>
      <c r="AV86" s="176"/>
      <c r="AW86" s="176"/>
      <c r="AX86" s="176"/>
      <c r="AY86" s="176"/>
      <c r="AZ86" s="176"/>
      <c r="CJ86"/>
      <c r="CK86"/>
      <c r="CL86"/>
      <c r="CM86"/>
      <c r="CN86"/>
      <c r="CO86" s="187" t="str">
        <f t="shared" si="9"/>
        <v/>
      </c>
    </row>
    <row r="87" spans="26:93">
      <c r="Z87"/>
      <c r="AA87"/>
      <c r="AB87"/>
      <c r="AC87"/>
      <c r="AD87"/>
      <c r="AN87" s="167"/>
      <c r="AO87" s="167"/>
      <c r="AP87" s="167"/>
      <c r="AQ87" s="167"/>
      <c r="AR87" s="167"/>
      <c r="AS87" s="167"/>
      <c r="AT87" s="167"/>
      <c r="AU87" s="175" t="e">
        <f t="shared" si="8"/>
        <v>#DIV/0!</v>
      </c>
      <c r="AV87" s="176"/>
      <c r="AW87" s="176"/>
      <c r="AX87" s="176"/>
      <c r="AY87" s="176"/>
      <c r="AZ87" s="176"/>
      <c r="CJ87"/>
      <c r="CK87"/>
      <c r="CL87"/>
      <c r="CM87"/>
      <c r="CN87"/>
      <c r="CO87" s="187" t="str">
        <f t="shared" si="9"/>
        <v/>
      </c>
    </row>
    <row r="88" spans="26:93">
      <c r="Z88"/>
      <c r="AA88"/>
      <c r="AB88"/>
      <c r="AC88"/>
      <c r="AD88"/>
      <c r="AN88" s="167"/>
      <c r="AO88" s="167"/>
      <c r="AP88" s="167"/>
      <c r="AQ88" s="167"/>
      <c r="AR88" s="167"/>
      <c r="AS88" s="167"/>
      <c r="AT88" s="167"/>
      <c r="AU88" s="175" t="e">
        <f t="shared" si="8"/>
        <v>#DIV/0!</v>
      </c>
      <c r="AV88" s="176"/>
      <c r="AW88" s="176"/>
      <c r="AX88" s="176"/>
      <c r="AY88" s="176"/>
      <c r="AZ88" s="176"/>
      <c r="CJ88"/>
      <c r="CK88"/>
      <c r="CL88"/>
      <c r="CM88"/>
      <c r="CN88"/>
      <c r="CO88" s="187" t="str">
        <f t="shared" si="9"/>
        <v/>
      </c>
    </row>
    <row r="89" spans="26:93">
      <c r="Z89"/>
      <c r="AA89"/>
      <c r="AB89"/>
      <c r="AC89"/>
      <c r="AD89"/>
      <c r="AN89" s="167"/>
      <c r="AO89" s="167"/>
      <c r="AP89" s="167"/>
      <c r="AQ89" s="167"/>
      <c r="AR89" s="167"/>
      <c r="AS89" s="167"/>
      <c r="AT89" s="167"/>
      <c r="AU89" s="175" t="e">
        <f t="shared" si="8"/>
        <v>#DIV/0!</v>
      </c>
      <c r="AV89" s="176"/>
      <c r="AW89" s="176"/>
      <c r="AX89" s="176"/>
      <c r="AY89" s="176"/>
      <c r="AZ89" s="176"/>
      <c r="CJ89"/>
      <c r="CK89"/>
      <c r="CL89"/>
      <c r="CM89"/>
      <c r="CN89"/>
      <c r="CO89" s="187" t="str">
        <f t="shared" si="9"/>
        <v/>
      </c>
    </row>
    <row r="90" spans="26:93">
      <c r="Z90"/>
      <c r="AA90"/>
      <c r="AB90"/>
      <c r="AC90"/>
      <c r="AD90"/>
      <c r="AN90" s="167"/>
      <c r="AO90" s="167"/>
      <c r="AP90" s="167"/>
      <c r="AQ90" s="167"/>
      <c r="AR90" s="167"/>
      <c r="AS90" s="167"/>
      <c r="AT90" s="167"/>
      <c r="AU90" s="175" t="e">
        <f t="shared" si="8"/>
        <v>#DIV/0!</v>
      </c>
      <c r="AV90" s="176"/>
      <c r="AW90" s="176"/>
      <c r="AX90" s="176"/>
      <c r="AY90" s="176"/>
      <c r="AZ90" s="176"/>
      <c r="CJ90"/>
      <c r="CK90"/>
      <c r="CL90"/>
      <c r="CM90"/>
      <c r="CN90"/>
      <c r="CO90" s="187" t="str">
        <f t="shared" si="9"/>
        <v/>
      </c>
    </row>
    <row r="91" spans="26:93">
      <c r="Z91"/>
      <c r="AA91"/>
      <c r="AB91"/>
      <c r="AC91"/>
      <c r="AD91"/>
      <c r="AN91" s="167"/>
      <c r="AO91" s="167"/>
      <c r="AP91" s="167"/>
      <c r="AQ91" s="167"/>
      <c r="AR91" s="167"/>
      <c r="AS91" s="167"/>
      <c r="AT91" s="167"/>
      <c r="AU91" s="175" t="e">
        <f t="shared" si="8"/>
        <v>#DIV/0!</v>
      </c>
      <c r="AV91" s="176"/>
      <c r="AW91" s="176"/>
      <c r="AX91" s="176"/>
      <c r="AY91" s="176"/>
      <c r="AZ91" s="176"/>
      <c r="CJ91"/>
      <c r="CK91"/>
      <c r="CL91"/>
      <c r="CM91"/>
      <c r="CN91"/>
      <c r="CO91" s="187" t="str">
        <f t="shared" si="9"/>
        <v/>
      </c>
    </row>
    <row r="92" spans="26:93">
      <c r="Z92"/>
      <c r="AA92"/>
      <c r="AB92"/>
      <c r="AC92"/>
      <c r="AD92"/>
      <c r="AN92" s="167"/>
      <c r="AO92" s="167"/>
      <c r="AP92" s="167"/>
      <c r="AQ92" s="167"/>
      <c r="AR92" s="167"/>
      <c r="AS92" s="167"/>
      <c r="AT92" s="167"/>
      <c r="AU92" s="175" t="e">
        <f t="shared" si="8"/>
        <v>#DIV/0!</v>
      </c>
      <c r="AV92" s="176"/>
      <c r="AW92" s="176"/>
      <c r="AX92" s="176"/>
      <c r="AY92" s="176"/>
      <c r="AZ92" s="176"/>
      <c r="CJ92"/>
      <c r="CK92"/>
      <c r="CL92"/>
      <c r="CM92"/>
      <c r="CN92"/>
      <c r="CO92" s="187" t="str">
        <f t="shared" si="9"/>
        <v/>
      </c>
    </row>
    <row r="93" spans="26:93">
      <c r="Z93"/>
      <c r="AA93"/>
      <c r="AB93"/>
      <c r="AC93"/>
      <c r="AD93"/>
      <c r="AN93" s="167"/>
      <c r="AO93" s="167"/>
      <c r="AP93" s="167"/>
      <c r="AQ93" s="167"/>
      <c r="AR93" s="167"/>
      <c r="AS93" s="167"/>
      <c r="AT93" s="167"/>
      <c r="AU93" s="175" t="e">
        <f t="shared" si="8"/>
        <v>#DIV/0!</v>
      </c>
      <c r="AV93" s="176"/>
      <c r="AW93" s="176"/>
      <c r="AX93" s="176"/>
      <c r="AY93" s="176"/>
      <c r="AZ93" s="176"/>
      <c r="CJ93"/>
      <c r="CK93"/>
      <c r="CL93"/>
      <c r="CM93"/>
      <c r="CN93"/>
      <c r="CO93" s="187" t="str">
        <f t="shared" si="9"/>
        <v/>
      </c>
    </row>
    <row r="94" spans="26:93">
      <c r="Z94"/>
      <c r="AA94"/>
      <c r="AB94"/>
      <c r="AC94"/>
      <c r="AD94"/>
      <c r="AN94" s="167"/>
      <c r="AO94" s="167"/>
      <c r="AP94" s="167"/>
      <c r="AQ94" s="167"/>
      <c r="AR94" s="167"/>
      <c r="AS94" s="167"/>
      <c r="AT94" s="167"/>
      <c r="AU94" s="175" t="e">
        <f t="shared" si="8"/>
        <v>#DIV/0!</v>
      </c>
      <c r="AV94" s="176"/>
      <c r="AW94" s="176"/>
      <c r="AX94" s="176"/>
      <c r="AY94" s="176"/>
      <c r="AZ94" s="176"/>
      <c r="CJ94"/>
      <c r="CK94"/>
      <c r="CL94"/>
      <c r="CM94"/>
      <c r="CN94"/>
      <c r="CO94" s="187" t="str">
        <f t="shared" si="9"/>
        <v/>
      </c>
    </row>
    <row r="95" spans="26:93">
      <c r="Z95"/>
      <c r="AA95"/>
      <c r="AB95"/>
      <c r="AC95"/>
      <c r="AD95"/>
      <c r="AN95" s="167"/>
      <c r="AO95" s="167"/>
      <c r="AP95" s="167"/>
      <c r="AQ95" s="167"/>
      <c r="AR95" s="167"/>
      <c r="AS95" s="167"/>
      <c r="AT95" s="167"/>
      <c r="AU95" s="175" t="e">
        <f t="shared" si="8"/>
        <v>#DIV/0!</v>
      </c>
      <c r="AV95" s="176"/>
      <c r="AW95" s="176"/>
      <c r="AX95" s="176"/>
      <c r="AY95" s="176"/>
      <c r="AZ95" s="176"/>
      <c r="CJ95"/>
      <c r="CK95"/>
      <c r="CL95"/>
      <c r="CM95"/>
      <c r="CN95"/>
      <c r="CO95" s="187" t="str">
        <f t="shared" si="9"/>
        <v/>
      </c>
    </row>
    <row r="96" spans="26:93">
      <c r="Z96"/>
      <c r="AA96"/>
      <c r="AB96"/>
      <c r="AC96"/>
      <c r="AD96"/>
      <c r="AN96" s="167"/>
      <c r="AO96" s="167"/>
      <c r="AP96" s="167"/>
      <c r="AQ96" s="167"/>
      <c r="AR96" s="167"/>
      <c r="AS96" s="167"/>
      <c r="AT96" s="167"/>
      <c r="AU96" s="175" t="e">
        <f t="shared" si="8"/>
        <v>#DIV/0!</v>
      </c>
      <c r="AV96" s="176"/>
      <c r="AW96" s="176"/>
      <c r="AX96" s="176"/>
      <c r="AY96" s="176"/>
      <c r="AZ96" s="176"/>
      <c r="CJ96"/>
      <c r="CK96"/>
      <c r="CL96"/>
      <c r="CM96"/>
      <c r="CN96"/>
      <c r="CO96" s="187" t="str">
        <f t="shared" si="9"/>
        <v/>
      </c>
    </row>
    <row r="97" spans="26:93">
      <c r="Z97"/>
      <c r="AA97"/>
      <c r="AB97"/>
      <c r="AC97"/>
      <c r="AD97"/>
      <c r="AN97" s="167"/>
      <c r="AO97" s="167"/>
      <c r="AP97" s="167"/>
      <c r="AQ97" s="167"/>
      <c r="AR97" s="167"/>
      <c r="AS97" s="167"/>
      <c r="AT97" s="167"/>
      <c r="AU97" s="175" t="e">
        <f t="shared" si="8"/>
        <v>#DIV/0!</v>
      </c>
      <c r="AV97" s="176"/>
      <c r="AW97" s="176"/>
      <c r="AX97" s="176"/>
      <c r="AY97" s="176"/>
      <c r="AZ97" s="176"/>
      <c r="CJ97"/>
      <c r="CK97"/>
      <c r="CL97"/>
      <c r="CM97"/>
      <c r="CN97"/>
      <c r="CO97" s="187" t="str">
        <f t="shared" si="9"/>
        <v/>
      </c>
    </row>
    <row r="98" spans="26:93">
      <c r="Z98"/>
      <c r="AA98"/>
      <c r="AB98"/>
      <c r="AC98"/>
      <c r="AD98"/>
      <c r="AN98" s="167"/>
      <c r="AO98" s="167"/>
      <c r="AP98" s="167"/>
      <c r="AQ98" s="167"/>
      <c r="AR98" s="167"/>
      <c r="AS98" s="167"/>
      <c r="AT98" s="167"/>
      <c r="AU98" s="175" t="e">
        <f t="shared" si="8"/>
        <v>#DIV/0!</v>
      </c>
      <c r="AV98" s="176"/>
      <c r="AW98" s="176"/>
      <c r="AX98" s="176"/>
      <c r="AY98" s="176"/>
      <c r="AZ98" s="176"/>
      <c r="CJ98"/>
      <c r="CK98"/>
      <c r="CL98"/>
      <c r="CM98"/>
      <c r="CN98"/>
      <c r="CO98" s="187" t="str">
        <f t="shared" si="9"/>
        <v/>
      </c>
    </row>
    <row r="99" spans="26:93">
      <c r="Z99"/>
      <c r="AA99"/>
      <c r="AB99"/>
      <c r="AC99"/>
      <c r="AD99"/>
      <c r="AN99" s="167"/>
      <c r="AO99" s="167"/>
      <c r="AP99" s="167"/>
      <c r="AQ99" s="167"/>
      <c r="AR99" s="167"/>
      <c r="AS99" s="167"/>
      <c r="AT99" s="167"/>
      <c r="AU99" s="175" t="e">
        <f t="shared" si="8"/>
        <v>#DIV/0!</v>
      </c>
      <c r="AV99" s="176"/>
      <c r="AW99" s="176"/>
      <c r="AX99" s="176"/>
      <c r="AY99" s="176"/>
      <c r="AZ99" s="176"/>
      <c r="CJ99"/>
      <c r="CK99"/>
      <c r="CL99"/>
      <c r="CM99"/>
      <c r="CN99"/>
      <c r="CO99" s="187" t="str">
        <f t="shared" si="9"/>
        <v/>
      </c>
    </row>
    <row r="100" spans="26:93">
      <c r="Z100"/>
      <c r="AA100"/>
      <c r="AB100"/>
      <c r="AC100"/>
      <c r="AD100"/>
      <c r="AN100" s="167"/>
      <c r="AO100" s="167"/>
      <c r="AP100" s="167"/>
      <c r="AQ100" s="167"/>
      <c r="AR100" s="167"/>
      <c r="AS100" s="167"/>
      <c r="AT100" s="167"/>
      <c r="AU100" s="175" t="e">
        <f t="shared" si="8"/>
        <v>#DIV/0!</v>
      </c>
      <c r="AV100" s="176"/>
      <c r="AW100" s="176"/>
      <c r="AX100" s="176"/>
      <c r="AY100" s="176"/>
      <c r="AZ100" s="176"/>
      <c r="CJ100"/>
      <c r="CK100"/>
      <c r="CL100"/>
      <c r="CM100"/>
      <c r="CN100"/>
      <c r="CO100" s="187" t="str">
        <f t="shared" si="9"/>
        <v/>
      </c>
    </row>
    <row r="101" spans="26:93">
      <c r="Z101"/>
      <c r="AA101"/>
      <c r="AB101"/>
      <c r="AC101"/>
      <c r="AD101"/>
      <c r="AN101" s="167"/>
      <c r="AO101" s="167"/>
      <c r="AP101" s="167"/>
      <c r="AQ101" s="167"/>
      <c r="AR101" s="167"/>
      <c r="AS101" s="167"/>
      <c r="AT101" s="167"/>
      <c r="AU101" s="175" t="e">
        <f t="shared" si="8"/>
        <v>#DIV/0!</v>
      </c>
      <c r="AV101" s="176"/>
      <c r="AW101" s="176"/>
      <c r="AX101" s="176"/>
      <c r="AY101" s="176"/>
      <c r="AZ101" s="176"/>
      <c r="CJ101"/>
      <c r="CK101"/>
      <c r="CL101"/>
      <c r="CM101"/>
      <c r="CN101"/>
      <c r="CO101" s="187" t="str">
        <f t="shared" si="9"/>
        <v/>
      </c>
    </row>
    <row r="102" spans="26:93">
      <c r="Z102"/>
      <c r="AA102"/>
      <c r="AB102"/>
      <c r="AC102"/>
      <c r="AD102"/>
      <c r="AU102" s="175" t="e">
        <f t="shared" si="8"/>
        <v>#DIV/0!</v>
      </c>
      <c r="AV102" s="176"/>
      <c r="AW102" s="176"/>
      <c r="AX102" s="176"/>
      <c r="AY102" s="176"/>
      <c r="AZ102" s="176"/>
      <c r="CJ102"/>
      <c r="CK102"/>
      <c r="CL102"/>
      <c r="CM102"/>
      <c r="CN102"/>
      <c r="CO102" s="187" t="str">
        <f t="shared" si="9"/>
        <v/>
      </c>
    </row>
    <row r="103" spans="26:93">
      <c r="Z103"/>
      <c r="AA103"/>
      <c r="AB103"/>
      <c r="AC103"/>
      <c r="AD103"/>
      <c r="AU103" s="175" t="e">
        <f t="shared" si="8"/>
        <v>#DIV/0!</v>
      </c>
      <c r="AV103" s="176"/>
      <c r="AW103" s="176"/>
      <c r="AX103" s="176"/>
      <c r="AY103" s="176"/>
      <c r="AZ103" s="176"/>
      <c r="CJ103"/>
      <c r="CK103"/>
      <c r="CL103"/>
      <c r="CM103"/>
      <c r="CN103"/>
      <c r="CO103" s="187" t="str">
        <f t="shared" si="9"/>
        <v/>
      </c>
    </row>
    <row r="104" spans="26:93">
      <c r="Z104"/>
      <c r="AA104"/>
      <c r="AB104"/>
      <c r="AC104"/>
      <c r="AD104"/>
      <c r="AU104" s="175" t="e">
        <f t="shared" si="8"/>
        <v>#DIV/0!</v>
      </c>
      <c r="AV104" s="176"/>
      <c r="AW104" s="176"/>
      <c r="AX104" s="176"/>
      <c r="AY104" s="176"/>
      <c r="AZ104" s="176"/>
      <c r="CJ104"/>
      <c r="CK104"/>
      <c r="CL104"/>
      <c r="CM104"/>
      <c r="CN104"/>
      <c r="CO104" s="187" t="str">
        <f t="shared" si="9"/>
        <v/>
      </c>
    </row>
    <row r="105" spans="26:93">
      <c r="Z105"/>
      <c r="AA105"/>
      <c r="AB105"/>
      <c r="AC105"/>
      <c r="AD105"/>
      <c r="AU105" s="175" t="e">
        <f t="shared" si="8"/>
        <v>#DIV/0!</v>
      </c>
      <c r="AV105" s="176"/>
      <c r="AW105" s="176"/>
      <c r="AX105" s="176"/>
      <c r="AY105" s="176"/>
      <c r="AZ105" s="176"/>
      <c r="CJ105"/>
      <c r="CK105"/>
      <c r="CL105"/>
      <c r="CM105"/>
      <c r="CN105"/>
      <c r="CO105" s="187" t="str">
        <f t="shared" si="9"/>
        <v/>
      </c>
    </row>
    <row r="106" spans="26:93">
      <c r="Z106"/>
      <c r="AA106"/>
      <c r="AB106"/>
      <c r="AC106"/>
      <c r="AD106"/>
      <c r="AU106" s="175" t="e">
        <f t="shared" si="8"/>
        <v>#DIV/0!</v>
      </c>
      <c r="AV106" s="176"/>
      <c r="AW106" s="176"/>
      <c r="AX106" s="176"/>
      <c r="AY106" s="176"/>
      <c r="AZ106" s="176"/>
      <c r="CJ106"/>
      <c r="CK106"/>
      <c r="CL106"/>
      <c r="CM106"/>
      <c r="CN106"/>
      <c r="CO106" s="187" t="str">
        <f t="shared" si="9"/>
        <v/>
      </c>
    </row>
    <row r="107" spans="26:93">
      <c r="Z107"/>
      <c r="AA107"/>
      <c r="AB107"/>
      <c r="AC107"/>
      <c r="AD107"/>
      <c r="AU107" s="175" t="e">
        <f t="shared" si="8"/>
        <v>#DIV/0!</v>
      </c>
      <c r="AV107" s="176"/>
      <c r="AW107" s="176"/>
      <c r="AX107" s="176"/>
      <c r="AY107" s="176"/>
      <c r="AZ107" s="176"/>
      <c r="CJ107"/>
      <c r="CK107"/>
      <c r="CL107"/>
      <c r="CM107"/>
      <c r="CN107"/>
      <c r="CO107" s="187" t="str">
        <f t="shared" si="9"/>
        <v/>
      </c>
    </row>
    <row r="108" spans="26:93">
      <c r="Z108"/>
      <c r="AA108"/>
      <c r="AB108"/>
      <c r="AC108"/>
      <c r="AD108"/>
      <c r="AU108" s="175" t="e">
        <f t="shared" si="8"/>
        <v>#DIV/0!</v>
      </c>
      <c r="AV108" s="176"/>
      <c r="AW108" s="176"/>
      <c r="AX108" s="176"/>
      <c r="AY108" s="176"/>
      <c r="AZ108" s="176"/>
      <c r="CJ108"/>
      <c r="CK108"/>
      <c r="CL108"/>
      <c r="CM108"/>
      <c r="CN108"/>
      <c r="CO108" s="187" t="str">
        <f t="shared" si="9"/>
        <v/>
      </c>
    </row>
    <row r="109" spans="26:93">
      <c r="Z109"/>
      <c r="AA109"/>
      <c r="AB109"/>
      <c r="AC109"/>
      <c r="AD109"/>
      <c r="AU109" s="175" t="e">
        <f t="shared" si="8"/>
        <v>#DIV/0!</v>
      </c>
      <c r="AV109" s="176"/>
      <c r="AW109" s="176"/>
      <c r="AX109" s="176"/>
      <c r="AY109" s="176"/>
      <c r="AZ109" s="176"/>
      <c r="CJ109"/>
      <c r="CK109"/>
      <c r="CL109"/>
      <c r="CM109"/>
      <c r="CN109"/>
      <c r="CO109" s="187" t="str">
        <f t="shared" si="9"/>
        <v/>
      </c>
    </row>
    <row r="110" spans="26:93">
      <c r="Z110"/>
      <c r="AA110"/>
      <c r="AB110"/>
      <c r="AC110"/>
      <c r="AD110"/>
      <c r="AU110" s="175" t="e">
        <f t="shared" si="8"/>
        <v>#DIV/0!</v>
      </c>
      <c r="AV110" s="176"/>
      <c r="AW110" s="176"/>
      <c r="AX110" s="176"/>
      <c r="AY110" s="176"/>
      <c r="AZ110" s="176"/>
      <c r="CJ110"/>
      <c r="CK110"/>
      <c r="CL110"/>
      <c r="CM110"/>
      <c r="CN110"/>
      <c r="CO110" s="187" t="str">
        <f t="shared" si="9"/>
        <v/>
      </c>
    </row>
    <row r="111" spans="26:93">
      <c r="Z111"/>
      <c r="AA111"/>
      <c r="AB111"/>
      <c r="AC111"/>
      <c r="AD111"/>
      <c r="AU111" s="175" t="e">
        <f t="shared" si="8"/>
        <v>#DIV/0!</v>
      </c>
      <c r="AV111" s="176"/>
      <c r="AW111" s="176"/>
      <c r="AX111" s="176"/>
      <c r="AY111" s="176"/>
      <c r="AZ111" s="176"/>
      <c r="CJ111"/>
      <c r="CK111"/>
      <c r="CL111"/>
      <c r="CM111"/>
      <c r="CN111"/>
      <c r="CO111" s="187" t="str">
        <f t="shared" si="9"/>
        <v/>
      </c>
    </row>
    <row r="112" spans="26:93">
      <c r="Z112"/>
      <c r="AA112"/>
      <c r="AB112"/>
      <c r="AC112"/>
      <c r="AD112"/>
      <c r="AU112" s="175" t="e">
        <f t="shared" si="8"/>
        <v>#DIV/0!</v>
      </c>
      <c r="AV112" s="176"/>
      <c r="AW112" s="176"/>
      <c r="AX112" s="176"/>
      <c r="AY112" s="176"/>
      <c r="AZ112" s="176"/>
      <c r="CJ112"/>
      <c r="CK112"/>
      <c r="CL112"/>
      <c r="CM112"/>
      <c r="CN112"/>
      <c r="CO112" s="187" t="str">
        <f t="shared" si="9"/>
        <v/>
      </c>
    </row>
    <row r="113" spans="26:93">
      <c r="Z113"/>
      <c r="AA113"/>
      <c r="AB113"/>
      <c r="AC113"/>
      <c r="AD113"/>
      <c r="AU113" s="175" t="e">
        <f t="shared" si="8"/>
        <v>#DIV/0!</v>
      </c>
      <c r="AV113" s="176"/>
      <c r="AW113" s="176"/>
      <c r="AX113" s="176"/>
      <c r="AY113" s="176"/>
      <c r="AZ113" s="176"/>
      <c r="CJ113"/>
      <c r="CK113"/>
      <c r="CL113"/>
      <c r="CM113"/>
      <c r="CN113"/>
      <c r="CO113" s="187" t="str">
        <f t="shared" si="9"/>
        <v/>
      </c>
    </row>
    <row r="114" spans="26:93">
      <c r="AB114" s="231">
        <f>SUM(AB50:AB113)</f>
        <v>0</v>
      </c>
      <c r="AU114" s="175" t="e">
        <f t="shared" si="8"/>
        <v>#DIV/0!</v>
      </c>
      <c r="AV114" s="176"/>
      <c r="AW114" s="176"/>
      <c r="AX114" s="176"/>
      <c r="AY114" s="176"/>
      <c r="AZ114" s="176"/>
      <c r="CJ114"/>
      <c r="CK114"/>
      <c r="CL114"/>
      <c r="CM114"/>
      <c r="CN114"/>
      <c r="CO114" s="187" t="str">
        <f t="shared" si="9"/>
        <v/>
      </c>
    </row>
    <row r="115" spans="26:93">
      <c r="AU115" s="175" t="e">
        <f t="shared" si="8"/>
        <v>#DIV/0!</v>
      </c>
      <c r="AV115" s="176"/>
      <c r="AW115" s="176"/>
      <c r="AX115" s="176"/>
      <c r="AY115" s="176"/>
      <c r="AZ115" s="176"/>
      <c r="CJ115"/>
      <c r="CK115"/>
      <c r="CL115"/>
      <c r="CM115"/>
      <c r="CN115"/>
      <c r="CO115" s="187" t="str">
        <f t="shared" si="9"/>
        <v/>
      </c>
    </row>
    <row r="116" spans="26:93">
      <c r="AU116" s="175" t="e">
        <f t="shared" si="8"/>
        <v>#DIV/0!</v>
      </c>
      <c r="AV116" s="176"/>
      <c r="AW116" s="176"/>
      <c r="AX116" s="176"/>
      <c r="AY116" s="176"/>
      <c r="AZ116" s="176"/>
      <c r="CJ116"/>
      <c r="CK116"/>
      <c r="CL116"/>
      <c r="CM116"/>
      <c r="CN116"/>
      <c r="CO116" s="187" t="str">
        <f t="shared" si="9"/>
        <v/>
      </c>
    </row>
    <row r="117" spans="26:93">
      <c r="AU117" s="175" t="e">
        <f t="shared" si="8"/>
        <v>#DIV/0!</v>
      </c>
      <c r="AV117" s="176"/>
      <c r="AW117" s="176"/>
      <c r="AX117" s="176"/>
      <c r="AY117" s="176"/>
      <c r="AZ117" s="176"/>
      <c r="CJ117"/>
      <c r="CK117"/>
      <c r="CL117"/>
      <c r="CM117"/>
      <c r="CN117"/>
      <c r="CO117" s="187" t="str">
        <f t="shared" si="9"/>
        <v/>
      </c>
    </row>
    <row r="118" spans="26:93">
      <c r="AU118" s="175" t="e">
        <f t="shared" si="8"/>
        <v>#DIV/0!</v>
      </c>
      <c r="AV118" s="176"/>
      <c r="AW118" s="176"/>
      <c r="AX118" s="176"/>
      <c r="AY118" s="176"/>
      <c r="AZ118" s="176"/>
      <c r="CJ118"/>
      <c r="CK118"/>
      <c r="CL118"/>
      <c r="CM118"/>
      <c r="CN118"/>
      <c r="CO118" s="187" t="str">
        <f t="shared" si="9"/>
        <v/>
      </c>
    </row>
    <row r="119" spans="26:93">
      <c r="AU119" s="175" t="e">
        <f t="shared" si="8"/>
        <v>#DIV/0!</v>
      </c>
      <c r="AV119" s="176"/>
      <c r="AW119" s="176"/>
      <c r="AX119" s="176"/>
      <c r="AY119" s="176"/>
      <c r="AZ119" s="176"/>
      <c r="CJ119"/>
      <c r="CK119"/>
      <c r="CL119"/>
      <c r="CM119"/>
      <c r="CN119"/>
      <c r="CO119" s="187" t="str">
        <f t="shared" si="9"/>
        <v/>
      </c>
    </row>
    <row r="120" spans="26:93">
      <c r="AU120" s="175" t="e">
        <f t="shared" si="8"/>
        <v>#DIV/0!</v>
      </c>
      <c r="AV120" s="176"/>
      <c r="AW120" s="176"/>
      <c r="AX120" s="176"/>
      <c r="AY120" s="176"/>
      <c r="AZ120" s="176"/>
      <c r="CJ120"/>
      <c r="CK120"/>
      <c r="CL120"/>
      <c r="CM120"/>
      <c r="CN120"/>
      <c r="CO120" s="187" t="str">
        <f t="shared" si="9"/>
        <v/>
      </c>
    </row>
    <row r="121" spans="26:93">
      <c r="AU121" s="175" t="e">
        <f t="shared" si="8"/>
        <v>#DIV/0!</v>
      </c>
      <c r="AV121" s="176"/>
      <c r="AW121" s="176"/>
      <c r="AX121" s="176"/>
      <c r="AY121" s="176"/>
      <c r="AZ121" s="176"/>
      <c r="CJ121"/>
      <c r="CK121"/>
      <c r="CL121"/>
      <c r="CM121"/>
      <c r="CN121"/>
      <c r="CO121" s="187" t="str">
        <f t="shared" si="9"/>
        <v/>
      </c>
    </row>
    <row r="122" spans="26:93">
      <c r="AU122" s="175" t="e">
        <f t="shared" si="8"/>
        <v>#DIV/0!</v>
      </c>
      <c r="AV122" s="176"/>
      <c r="AW122" s="176"/>
      <c r="AX122" s="176"/>
      <c r="AY122" s="176"/>
      <c r="AZ122" s="176"/>
      <c r="CJ122"/>
      <c r="CK122"/>
      <c r="CL122"/>
      <c r="CM122"/>
      <c r="CN122"/>
      <c r="CO122" s="187" t="str">
        <f t="shared" si="9"/>
        <v/>
      </c>
    </row>
    <row r="123" spans="26:93">
      <c r="AU123" s="175" t="e">
        <f t="shared" si="8"/>
        <v>#DIV/0!</v>
      </c>
      <c r="AV123" s="176"/>
      <c r="AW123" s="176"/>
      <c r="AX123" s="176"/>
      <c r="AY123" s="176"/>
      <c r="AZ123" s="176"/>
      <c r="CJ123"/>
      <c r="CK123"/>
      <c r="CL123"/>
      <c r="CM123"/>
      <c r="CN123"/>
      <c r="CO123" s="187" t="str">
        <f t="shared" si="9"/>
        <v/>
      </c>
    </row>
    <row r="124" spans="26:93">
      <c r="AU124" s="175" t="e">
        <f t="shared" si="8"/>
        <v>#DIV/0!</v>
      </c>
      <c r="AV124" s="176"/>
      <c r="AW124" s="176"/>
      <c r="AX124" s="176"/>
      <c r="AY124" s="176"/>
      <c r="AZ124" s="176"/>
      <c r="CJ124"/>
      <c r="CK124"/>
      <c r="CL124"/>
      <c r="CM124"/>
      <c r="CN124"/>
      <c r="CO124" s="187" t="str">
        <f t="shared" si="9"/>
        <v/>
      </c>
    </row>
    <row r="125" spans="26:93">
      <c r="AU125" s="175" t="e">
        <f t="shared" si="8"/>
        <v>#DIV/0!</v>
      </c>
      <c r="AV125" s="176"/>
      <c r="AW125" s="176"/>
      <c r="AX125" s="176"/>
      <c r="AY125" s="176"/>
      <c r="AZ125" s="176"/>
      <c r="CJ125"/>
      <c r="CK125"/>
      <c r="CL125"/>
      <c r="CM125"/>
      <c r="CN125"/>
      <c r="CO125" s="187" t="str">
        <f t="shared" si="9"/>
        <v/>
      </c>
    </row>
    <row r="126" spans="26:93">
      <c r="AU126" s="175" t="e">
        <f t="shared" si="8"/>
        <v>#DIV/0!</v>
      </c>
      <c r="AV126" s="176"/>
      <c r="AW126" s="176"/>
      <c r="AX126" s="176"/>
      <c r="AY126" s="176"/>
      <c r="AZ126" s="176"/>
      <c r="CJ126"/>
      <c r="CK126"/>
      <c r="CL126"/>
      <c r="CM126"/>
      <c r="CN126"/>
      <c r="CO126" s="187" t="str">
        <f t="shared" si="9"/>
        <v/>
      </c>
    </row>
    <row r="127" spans="26:93">
      <c r="AU127" s="175" t="e">
        <f t="shared" si="8"/>
        <v>#DIV/0!</v>
      </c>
      <c r="AV127" s="176"/>
      <c r="AW127" s="176"/>
      <c r="AX127" s="176"/>
      <c r="AY127" s="176"/>
      <c r="AZ127" s="176"/>
      <c r="CJ127"/>
      <c r="CK127"/>
      <c r="CL127"/>
      <c r="CM127"/>
      <c r="CN127"/>
      <c r="CO127" s="187" t="str">
        <f t="shared" si="9"/>
        <v/>
      </c>
    </row>
    <row r="128" spans="26:93">
      <c r="AU128" s="175" t="e">
        <f t="shared" si="8"/>
        <v>#DIV/0!</v>
      </c>
      <c r="AV128" s="176"/>
      <c r="AW128" s="176"/>
      <c r="AX128" s="176"/>
      <c r="AY128" s="176"/>
      <c r="AZ128" s="176"/>
      <c r="CJ128"/>
      <c r="CK128"/>
      <c r="CL128"/>
      <c r="CM128"/>
      <c r="CN128"/>
      <c r="CO128" s="187" t="str">
        <f t="shared" si="9"/>
        <v/>
      </c>
    </row>
    <row r="129" spans="47:93">
      <c r="AU129" s="175" t="e">
        <f t="shared" si="8"/>
        <v>#DIV/0!</v>
      </c>
      <c r="AV129" s="176"/>
      <c r="AW129" s="176"/>
      <c r="AX129" s="176"/>
      <c r="AY129" s="176"/>
      <c r="AZ129" s="176"/>
      <c r="CJ129"/>
      <c r="CK129"/>
      <c r="CL129"/>
      <c r="CM129"/>
      <c r="CN129"/>
      <c r="CO129" s="187" t="str">
        <f t="shared" si="9"/>
        <v/>
      </c>
    </row>
    <row r="130" spans="47:93">
      <c r="CJ130"/>
      <c r="CK130"/>
      <c r="CL130"/>
      <c r="CM130"/>
      <c r="CN130"/>
      <c r="CO130" s="187" t="str">
        <f t="shared" si="9"/>
        <v/>
      </c>
    </row>
    <row r="131" spans="47:93">
      <c r="CJ131"/>
      <c r="CK131"/>
      <c r="CL131"/>
      <c r="CM131"/>
      <c r="CN131"/>
      <c r="CO131" s="187" t="str">
        <f t="shared" si="9"/>
        <v/>
      </c>
    </row>
    <row r="132" spans="47:93">
      <c r="CJ132"/>
      <c r="CK132"/>
      <c r="CL132"/>
      <c r="CM132"/>
      <c r="CN132"/>
      <c r="CO132" s="187" t="str">
        <f t="shared" si="9"/>
        <v/>
      </c>
    </row>
    <row r="133" spans="47:93">
      <c r="CJ133"/>
      <c r="CK133"/>
      <c r="CL133"/>
      <c r="CM133"/>
      <c r="CN133"/>
      <c r="CO133" s="187" t="str">
        <f t="shared" si="9"/>
        <v/>
      </c>
    </row>
    <row r="134" spans="47:93">
      <c r="CJ134"/>
      <c r="CK134"/>
      <c r="CL134"/>
      <c r="CM134"/>
      <c r="CN134"/>
      <c r="CO134" s="187" t="str">
        <f t="shared" si="9"/>
        <v/>
      </c>
    </row>
    <row r="135" spans="47:93">
      <c r="CJ135"/>
      <c r="CK135"/>
      <c r="CL135"/>
      <c r="CM135"/>
      <c r="CN135"/>
      <c r="CO135" s="187" t="str">
        <f t="shared" si="9"/>
        <v/>
      </c>
    </row>
    <row r="136" spans="47:93">
      <c r="CJ136"/>
      <c r="CK136"/>
      <c r="CL136"/>
      <c r="CM136"/>
      <c r="CN136"/>
      <c r="CO136" s="187" t="str">
        <f t="shared" si="9"/>
        <v/>
      </c>
    </row>
    <row r="137" spans="47:93">
      <c r="CJ137"/>
      <c r="CK137"/>
      <c r="CL137"/>
      <c r="CM137"/>
      <c r="CN137"/>
      <c r="CO137" s="187" t="str">
        <f t="shared" si="9"/>
        <v/>
      </c>
    </row>
    <row r="138" spans="47:93">
      <c r="CJ138"/>
      <c r="CK138"/>
      <c r="CL138"/>
      <c r="CM138"/>
      <c r="CN138"/>
      <c r="CO138" s="187" t="str">
        <f t="shared" ref="CO138:CO158" si="10">IF(CK138-CM138&gt;0,CK138-CM138,"")</f>
        <v/>
      </c>
    </row>
    <row r="139" spans="47:93">
      <c r="CJ139"/>
      <c r="CK139"/>
      <c r="CL139"/>
      <c r="CM139"/>
      <c r="CN139"/>
      <c r="CO139" s="187" t="str">
        <f t="shared" si="10"/>
        <v/>
      </c>
    </row>
    <row r="140" spans="47:93">
      <c r="CJ140"/>
      <c r="CK140"/>
      <c r="CL140"/>
      <c r="CM140"/>
      <c r="CN140"/>
      <c r="CO140" s="187" t="str">
        <f t="shared" si="10"/>
        <v/>
      </c>
    </row>
    <row r="141" spans="47:93">
      <c r="CJ141"/>
      <c r="CK141"/>
      <c r="CL141"/>
      <c r="CM141"/>
      <c r="CN141"/>
      <c r="CO141" s="187" t="str">
        <f t="shared" si="10"/>
        <v/>
      </c>
    </row>
    <row r="142" spans="47:93">
      <c r="CJ142"/>
      <c r="CK142"/>
      <c r="CL142"/>
      <c r="CM142"/>
      <c r="CN142"/>
      <c r="CO142" s="187" t="str">
        <f t="shared" si="10"/>
        <v/>
      </c>
    </row>
    <row r="143" spans="47:93">
      <c r="CJ143"/>
      <c r="CK143"/>
      <c r="CL143"/>
      <c r="CM143"/>
      <c r="CN143"/>
      <c r="CO143" s="187" t="str">
        <f t="shared" si="10"/>
        <v/>
      </c>
    </row>
    <row r="144" spans="47:93">
      <c r="CJ144"/>
      <c r="CK144"/>
      <c r="CL144"/>
      <c r="CM144"/>
      <c r="CN144"/>
      <c r="CO144" s="187" t="str">
        <f t="shared" si="10"/>
        <v/>
      </c>
    </row>
    <row r="145" spans="88:93">
      <c r="CJ145"/>
      <c r="CK145"/>
      <c r="CL145"/>
      <c r="CM145"/>
      <c r="CN145"/>
      <c r="CO145" s="187" t="str">
        <f t="shared" si="10"/>
        <v/>
      </c>
    </row>
    <row r="146" spans="88:93">
      <c r="CJ146"/>
      <c r="CK146"/>
      <c r="CL146"/>
      <c r="CM146"/>
      <c r="CN146"/>
      <c r="CO146" s="187" t="str">
        <f t="shared" si="10"/>
        <v/>
      </c>
    </row>
    <row r="147" spans="88:93">
      <c r="CJ147"/>
      <c r="CK147"/>
      <c r="CL147"/>
      <c r="CM147"/>
      <c r="CN147"/>
      <c r="CO147" s="187" t="str">
        <f t="shared" si="10"/>
        <v/>
      </c>
    </row>
    <row r="148" spans="88:93">
      <c r="CJ148"/>
      <c r="CK148"/>
      <c r="CL148"/>
      <c r="CM148"/>
      <c r="CN148"/>
      <c r="CO148" s="187" t="str">
        <f t="shared" si="10"/>
        <v/>
      </c>
    </row>
    <row r="149" spans="88:93">
      <c r="CJ149"/>
      <c r="CK149"/>
      <c r="CL149"/>
      <c r="CM149"/>
      <c r="CN149"/>
      <c r="CO149" s="187" t="str">
        <f t="shared" si="10"/>
        <v/>
      </c>
    </row>
    <row r="150" spans="88:93">
      <c r="CJ150"/>
      <c r="CK150"/>
      <c r="CL150"/>
      <c r="CM150"/>
      <c r="CN150"/>
      <c r="CO150" s="187" t="str">
        <f t="shared" si="10"/>
        <v/>
      </c>
    </row>
    <row r="151" spans="88:93">
      <c r="CJ151"/>
      <c r="CK151"/>
      <c r="CL151"/>
      <c r="CM151"/>
      <c r="CN151"/>
      <c r="CO151" s="187" t="str">
        <f t="shared" si="10"/>
        <v/>
      </c>
    </row>
    <row r="152" spans="88:93">
      <c r="CJ152"/>
      <c r="CK152"/>
      <c r="CL152"/>
      <c r="CM152"/>
      <c r="CN152"/>
      <c r="CO152" s="187" t="str">
        <f t="shared" si="10"/>
        <v/>
      </c>
    </row>
    <row r="153" spans="88:93">
      <c r="CJ153"/>
      <c r="CK153"/>
      <c r="CL153"/>
      <c r="CM153"/>
      <c r="CN153"/>
      <c r="CO153" s="187" t="str">
        <f t="shared" si="10"/>
        <v/>
      </c>
    </row>
    <row r="154" spans="88:93">
      <c r="CJ154"/>
      <c r="CK154"/>
      <c r="CL154"/>
      <c r="CM154"/>
      <c r="CN154"/>
      <c r="CO154" s="187" t="str">
        <f t="shared" si="10"/>
        <v/>
      </c>
    </row>
    <row r="155" spans="88:93">
      <c r="CJ155"/>
      <c r="CK155"/>
      <c r="CL155"/>
      <c r="CM155"/>
      <c r="CN155"/>
      <c r="CO155" s="187" t="str">
        <f t="shared" si="10"/>
        <v/>
      </c>
    </row>
    <row r="156" spans="88:93">
      <c r="CJ156"/>
      <c r="CK156"/>
      <c r="CL156"/>
      <c r="CM156"/>
      <c r="CN156"/>
      <c r="CO156" s="187" t="str">
        <f t="shared" si="10"/>
        <v/>
      </c>
    </row>
    <row r="157" spans="88:93">
      <c r="CJ157"/>
      <c r="CK157"/>
      <c r="CL157"/>
      <c r="CM157"/>
      <c r="CN157"/>
      <c r="CO157" s="187" t="str">
        <f t="shared" si="10"/>
        <v/>
      </c>
    </row>
    <row r="158" spans="88:93">
      <c r="CJ158"/>
      <c r="CK158"/>
      <c r="CL158"/>
      <c r="CM158"/>
      <c r="CN158"/>
      <c r="CO158" s="187" t="str">
        <f t="shared" si="10"/>
        <v/>
      </c>
    </row>
    <row r="159" spans="88:93">
      <c r="CO159" s="234"/>
    </row>
  </sheetData>
  <autoFilter ref="BV8:BV12" xr:uid="{AAAFD22F-D600-4183-A5DC-DE03AD32FB06}"/>
  <mergeCells count="3">
    <mergeCell ref="DH26:DH30"/>
    <mergeCell ref="DH7:DH11"/>
    <mergeCell ref="DH13:DH17"/>
  </mergeCells>
  <conditionalFormatting sqref="Y7:Z51">
    <cfRule type="duplicateValues" dxfId="103" priority="1"/>
  </conditionalFormatting>
  <pageMargins left="0.7" right="0.7" top="0.75" bottom="0.75" header="0.3" footer="0.3"/>
  <pageSetup orientation="portrait" r:id="rId10"/>
  <tableParts count="2">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4DD45-3B92-4DEB-BDB5-863C7736B562}">
  <sheetPr codeName="Sheet31"/>
  <dimension ref="A1:Z3166"/>
  <sheetViews>
    <sheetView showGridLines="0" rightToLeft="1" zoomScaleNormal="100" workbookViewId="0">
      <selection activeCell="D3172" sqref="D3172"/>
    </sheetView>
  </sheetViews>
  <sheetFormatPr defaultColWidth="10.69921875" defaultRowHeight="21.75" customHeight="1"/>
  <cols>
    <col min="1" max="1" width="13.5" bestFit="1" customWidth="1"/>
    <col min="2" max="2" width="29.5" bestFit="1" customWidth="1"/>
    <col min="3" max="3" width="14.69921875" bestFit="1" customWidth="1"/>
    <col min="4" max="4" width="14.3984375" bestFit="1" customWidth="1"/>
    <col min="5" max="5" width="7.8984375" bestFit="1" customWidth="1"/>
    <col min="6" max="6" width="7.59765625" bestFit="1" customWidth="1"/>
    <col min="7" max="7" width="7.5" bestFit="1" customWidth="1"/>
    <col min="8" max="8" width="12.69921875" bestFit="1" customWidth="1"/>
    <col min="9" max="9" width="9.59765625" bestFit="1" customWidth="1"/>
    <col min="10" max="10" width="12.09765625" bestFit="1" customWidth="1"/>
    <col min="11" max="11" width="11.59765625" bestFit="1" customWidth="1"/>
    <col min="13" max="13" width="21.3984375" customWidth="1"/>
    <col min="15" max="15" width="10.3984375" customWidth="1"/>
    <col min="27" max="16384" width="10.69921875" style="1"/>
  </cols>
  <sheetData>
    <row r="1" spans="1:26" ht="18.600000000000001">
      <c r="A1" s="121" t="s">
        <v>234</v>
      </c>
      <c r="B1" s="121" t="s">
        <v>0</v>
      </c>
      <c r="C1" s="122" t="s">
        <v>127</v>
      </c>
      <c r="D1" s="122" t="s">
        <v>235</v>
      </c>
      <c r="E1" s="121" t="s">
        <v>2</v>
      </c>
      <c r="F1" s="121" t="s">
        <v>237</v>
      </c>
      <c r="G1" s="121" t="s">
        <v>236</v>
      </c>
      <c r="H1" s="121" t="s">
        <v>509</v>
      </c>
      <c r="I1" s="121" t="s">
        <v>513</v>
      </c>
      <c r="J1" s="121" t="s">
        <v>288</v>
      </c>
      <c r="K1" s="121" t="s">
        <v>1032</v>
      </c>
      <c r="L1" s="1"/>
      <c r="M1" s="118" t="s">
        <v>496</v>
      </c>
      <c r="N1" s="1"/>
      <c r="O1" s="1"/>
      <c r="P1" s="1"/>
      <c r="Q1" s="1"/>
      <c r="R1" s="1"/>
      <c r="S1" s="1"/>
      <c r="T1" s="1"/>
      <c r="U1" s="1"/>
      <c r="V1" s="1"/>
      <c r="W1" s="1"/>
      <c r="X1" s="1"/>
      <c r="Y1" s="1"/>
      <c r="Z1" s="1"/>
    </row>
    <row r="2" spans="1:26" ht="18.600000000000001">
      <c r="A2" s="359" t="s">
        <v>1219</v>
      </c>
      <c r="B2" s="359" t="s">
        <v>114</v>
      </c>
      <c r="C2" s="361" t="s">
        <v>1010</v>
      </c>
      <c r="D2" s="122">
        <v>20120</v>
      </c>
      <c r="E2" s="143">
        <v>130000</v>
      </c>
      <c r="F2" s="3">
        <v>1405</v>
      </c>
      <c r="G2" s="359" t="s">
        <v>301</v>
      </c>
      <c r="H2" s="145">
        <f>bargiri[[#This Row],[میزان بارگیری شده]]*bargiri[[#This Row],[فی]]</f>
        <v>2615600000</v>
      </c>
      <c r="I2" s="359">
        <f>IF(year=bargiri[[#This Row],[سال]],1,0)</f>
        <v>1</v>
      </c>
      <c r="J2" s="359" t="str">
        <f>VLOOKUP(bargiri[[#This Row],[شماره پیش فاکتور]],invoice[],16,0)</f>
        <v>عادی</v>
      </c>
      <c r="K2" s="251">
        <f>bargiri[[#This Row],[فی]]*bargiri[[#This Row],[میزان بارگیری شده]]</f>
        <v>2615600000</v>
      </c>
      <c r="L2" s="1"/>
      <c r="M2" s="119" t="s">
        <v>1124</v>
      </c>
      <c r="N2" s="1"/>
      <c r="O2" s="1"/>
      <c r="P2" s="1"/>
      <c r="Q2" s="1"/>
      <c r="R2" s="1"/>
      <c r="S2" s="1"/>
      <c r="T2" s="1"/>
      <c r="U2" s="1"/>
      <c r="V2" s="1"/>
      <c r="W2" s="1"/>
      <c r="X2" s="1"/>
      <c r="Y2" s="1"/>
      <c r="Z2" s="1"/>
    </row>
    <row r="3" spans="1:26" ht="18.600000000000001">
      <c r="A3" s="359" t="s">
        <v>1219</v>
      </c>
      <c r="B3" s="359" t="s">
        <v>106</v>
      </c>
      <c r="C3" s="361" t="s">
        <v>958</v>
      </c>
      <c r="D3" s="122">
        <v>20140</v>
      </c>
      <c r="E3" s="143">
        <v>125000</v>
      </c>
      <c r="F3" s="3">
        <v>1405</v>
      </c>
      <c r="G3" s="359" t="s">
        <v>301</v>
      </c>
      <c r="H3" s="145">
        <f>bargiri[[#This Row],[میزان بارگیری شده]]*bargiri[[#This Row],[فی]]</f>
        <v>2517500000</v>
      </c>
      <c r="I3" s="359">
        <f>IF(year=bargiri[[#This Row],[سال]],1,0)</f>
        <v>1</v>
      </c>
      <c r="J3" s="359" t="str">
        <f>VLOOKUP(bargiri[[#This Row],[شماره پیش فاکتور]],invoice[],16,0)</f>
        <v>عادی</v>
      </c>
      <c r="K3" s="251">
        <f>bargiri[[#This Row],[فی]]*bargiri[[#This Row],[میزان بارگیری شده]]</f>
        <v>2517500000</v>
      </c>
      <c r="L3" s="1"/>
      <c r="M3" s="119"/>
      <c r="N3" s="1"/>
      <c r="O3" s="1"/>
      <c r="P3" s="1"/>
      <c r="Q3" s="1"/>
      <c r="R3" s="1"/>
      <c r="S3" s="1"/>
      <c r="T3" s="1"/>
      <c r="U3" s="1"/>
      <c r="V3" s="1"/>
      <c r="W3" s="1"/>
      <c r="X3" s="1"/>
      <c r="Y3" s="1"/>
      <c r="Z3" s="1"/>
    </row>
    <row r="4" spans="1:26" ht="18.600000000000001">
      <c r="A4" s="359" t="s">
        <v>1219</v>
      </c>
      <c r="B4" s="359" t="s">
        <v>124</v>
      </c>
      <c r="C4" s="361" t="s">
        <v>1115</v>
      </c>
      <c r="D4" s="122">
        <v>20190</v>
      </c>
      <c r="E4" s="143">
        <v>240000</v>
      </c>
      <c r="F4" s="3">
        <v>1405</v>
      </c>
      <c r="G4" s="359" t="s">
        <v>301</v>
      </c>
      <c r="H4" s="145">
        <f>bargiri[[#This Row],[میزان بارگیری شده]]*bargiri[[#This Row],[فی]]</f>
        <v>4845600000</v>
      </c>
      <c r="I4" s="359">
        <f>IF(year=bargiri[[#This Row],[سال]],1,0)</f>
        <v>1</v>
      </c>
      <c r="J4" s="359" t="str">
        <f>VLOOKUP(bargiri[[#This Row],[شماره پیش فاکتور]],invoice[],16,0)</f>
        <v>انجمن</v>
      </c>
      <c r="K4" s="251">
        <f>bargiri[[#This Row],[فی]]*bargiri[[#This Row],[میزان بارگیری شده]]</f>
        <v>4845600000</v>
      </c>
      <c r="L4" s="1"/>
      <c r="M4" s="119"/>
      <c r="N4" s="1"/>
      <c r="O4" s="1"/>
      <c r="P4" s="1"/>
      <c r="Q4" s="1"/>
      <c r="R4" s="1"/>
      <c r="S4" s="1"/>
      <c r="T4" s="1"/>
      <c r="U4" s="1"/>
      <c r="V4" s="1"/>
      <c r="W4" s="1"/>
      <c r="X4" s="1"/>
      <c r="Y4" s="1"/>
      <c r="Z4" s="1"/>
    </row>
    <row r="5" spans="1:26" ht="18.600000000000001">
      <c r="A5" s="359" t="s">
        <v>1219</v>
      </c>
      <c r="B5" s="359" t="s">
        <v>118</v>
      </c>
      <c r="C5" s="361" t="s">
        <v>1197</v>
      </c>
      <c r="D5" s="122">
        <v>20110</v>
      </c>
      <c r="E5" s="143">
        <v>170323</v>
      </c>
      <c r="F5" s="3">
        <v>1405</v>
      </c>
      <c r="G5" s="359" t="s">
        <v>301</v>
      </c>
      <c r="H5" s="145">
        <f>bargiri[[#This Row],[میزان بارگیری شده]]*bargiri[[#This Row],[فی]]</f>
        <v>3425195530</v>
      </c>
      <c r="I5" s="359">
        <f>IF(year=bargiri[[#This Row],[سال]],1,0)</f>
        <v>1</v>
      </c>
      <c r="J5" s="359" t="str">
        <f>VLOOKUP(bargiri[[#This Row],[شماره پیش فاکتور]],invoice[],16,0)</f>
        <v>عادی</v>
      </c>
      <c r="K5" s="251">
        <f>bargiri[[#This Row],[فی]]*bargiri[[#This Row],[میزان بارگیری شده]]</f>
        <v>3425195530</v>
      </c>
      <c r="L5" s="1"/>
      <c r="M5" s="1"/>
      <c r="N5" s="1"/>
      <c r="O5" s="1"/>
      <c r="P5" s="1"/>
      <c r="Q5" s="1"/>
      <c r="R5" s="1"/>
      <c r="S5" s="1"/>
      <c r="T5" s="1"/>
      <c r="U5" s="1"/>
      <c r="V5" s="1"/>
      <c r="W5" s="1"/>
      <c r="X5" s="1"/>
      <c r="Y5" s="1"/>
      <c r="Z5" s="1"/>
    </row>
    <row r="6" spans="1:26" ht="18.600000000000001">
      <c r="A6" s="359" t="s">
        <v>1219</v>
      </c>
      <c r="B6" s="359" t="s">
        <v>118</v>
      </c>
      <c r="C6" s="361" t="s">
        <v>1197</v>
      </c>
      <c r="D6" s="122">
        <v>20020</v>
      </c>
      <c r="E6" s="143">
        <v>170323</v>
      </c>
      <c r="F6" s="3">
        <v>1405</v>
      </c>
      <c r="G6" s="359" t="s">
        <v>301</v>
      </c>
      <c r="H6" s="145">
        <f>bargiri[[#This Row],[میزان بارگیری شده]]*bargiri[[#This Row],[فی]]</f>
        <v>3409866460</v>
      </c>
      <c r="I6" s="359">
        <f>IF(year=bargiri[[#This Row],[سال]],1,0)</f>
        <v>1</v>
      </c>
      <c r="J6" s="359" t="str">
        <f>VLOOKUP(bargiri[[#This Row],[شماره پیش فاکتور]],invoice[],16,0)</f>
        <v>عادی</v>
      </c>
      <c r="K6" s="251">
        <f>bargiri[[#This Row],[فی]]*bargiri[[#This Row],[میزان بارگیری شده]]</f>
        <v>3409866460</v>
      </c>
      <c r="L6" s="1"/>
      <c r="M6" s="1"/>
      <c r="N6" s="1"/>
      <c r="O6" s="1"/>
      <c r="P6" s="1"/>
      <c r="Q6" s="1"/>
      <c r="R6" s="1"/>
      <c r="S6" s="1"/>
      <c r="T6" s="1"/>
      <c r="U6" s="1"/>
      <c r="V6" s="1"/>
      <c r="W6" s="1"/>
      <c r="X6" s="1"/>
      <c r="Y6" s="1"/>
      <c r="Z6" s="1"/>
    </row>
    <row r="7" spans="1:26" ht="18.600000000000001">
      <c r="A7" s="359" t="s">
        <v>1219</v>
      </c>
      <c r="B7" s="359" t="s">
        <v>118</v>
      </c>
      <c r="C7" s="361" t="s">
        <v>1197</v>
      </c>
      <c r="D7" s="122">
        <v>20230</v>
      </c>
      <c r="E7" s="143">
        <v>170323</v>
      </c>
      <c r="F7" s="3">
        <v>1405</v>
      </c>
      <c r="G7" s="359" t="s">
        <v>301</v>
      </c>
      <c r="H7" s="145">
        <f>bargiri[[#This Row],[میزان بارگیری شده]]*bargiri[[#This Row],[فی]]</f>
        <v>3445634290</v>
      </c>
      <c r="I7" s="359">
        <f>IF(year=bargiri[[#This Row],[سال]],1,0)</f>
        <v>1</v>
      </c>
      <c r="J7" s="359" t="str">
        <f>VLOOKUP(bargiri[[#This Row],[شماره پیش فاکتور]],invoice[],16,0)</f>
        <v>عادی</v>
      </c>
      <c r="K7" s="251">
        <f>bargiri[[#This Row],[فی]]*bargiri[[#This Row],[میزان بارگیری شده]]</f>
        <v>3445634290</v>
      </c>
      <c r="L7" s="1"/>
      <c r="M7" s="1"/>
      <c r="N7" s="1"/>
      <c r="O7" s="1"/>
      <c r="P7" s="1"/>
      <c r="Q7" s="1"/>
      <c r="R7" s="1"/>
      <c r="S7" s="1"/>
      <c r="T7" s="1"/>
      <c r="U7" s="1"/>
      <c r="V7" s="1"/>
      <c r="W7" s="1"/>
      <c r="X7" s="1"/>
      <c r="Y7" s="1"/>
      <c r="Z7" s="1"/>
    </row>
    <row r="8" spans="1:26" ht="18.600000000000001">
      <c r="A8" s="359" t="s">
        <v>1219</v>
      </c>
      <c r="B8" s="359" t="s">
        <v>118</v>
      </c>
      <c r="C8" s="355" t="s">
        <v>1197</v>
      </c>
      <c r="D8" s="122">
        <v>20170</v>
      </c>
      <c r="E8" s="143">
        <v>170323</v>
      </c>
      <c r="F8" s="3">
        <v>1405</v>
      </c>
      <c r="G8" s="359" t="s">
        <v>301</v>
      </c>
      <c r="H8" s="145">
        <f>bargiri[[#This Row],[میزان بارگیری شده]]*bargiri[[#This Row],[فی]]</f>
        <v>3435414910</v>
      </c>
      <c r="I8" s="359">
        <f>IF(year=bargiri[[#This Row],[سال]],1,0)</f>
        <v>1</v>
      </c>
      <c r="J8" s="359" t="str">
        <f>VLOOKUP(bargiri[[#This Row],[شماره پیش فاکتور]],invoice[],16,0)</f>
        <v>عادی</v>
      </c>
      <c r="K8" s="251">
        <f>bargiri[[#This Row],[فی]]*bargiri[[#This Row],[میزان بارگیری شده]]</f>
        <v>3435414910</v>
      </c>
      <c r="L8" s="1"/>
      <c r="M8" s="1"/>
      <c r="N8" s="1"/>
      <c r="O8" s="1"/>
      <c r="P8" s="1"/>
      <c r="Q8" s="1"/>
      <c r="R8" s="1"/>
      <c r="S8" s="1"/>
      <c r="T8" s="1"/>
      <c r="U8" s="1"/>
      <c r="V8" s="1"/>
      <c r="W8" s="1"/>
      <c r="X8" s="1"/>
      <c r="Y8" s="1"/>
      <c r="Z8" s="1"/>
    </row>
    <row r="9" spans="1:26" ht="18.600000000000001">
      <c r="A9" s="359" t="s">
        <v>1218</v>
      </c>
      <c r="B9" s="359" t="s">
        <v>114</v>
      </c>
      <c r="C9" s="355" t="s">
        <v>1010</v>
      </c>
      <c r="D9" s="122">
        <v>22430</v>
      </c>
      <c r="E9" s="143">
        <v>130000</v>
      </c>
      <c r="F9" s="3">
        <v>1405</v>
      </c>
      <c r="G9" s="359" t="s">
        <v>301</v>
      </c>
      <c r="H9" s="145">
        <f>bargiri[[#This Row],[میزان بارگیری شده]]*bargiri[[#This Row],[فی]]</f>
        <v>2915900000</v>
      </c>
      <c r="I9" s="359">
        <f>IF(year=bargiri[[#This Row],[سال]],1,0)</f>
        <v>1</v>
      </c>
      <c r="J9" s="359" t="str">
        <f>VLOOKUP(bargiri[[#This Row],[شماره پیش فاکتور]],invoice[],16,0)</f>
        <v>عادی</v>
      </c>
      <c r="K9" s="251">
        <f>bargiri[[#This Row],[فی]]*bargiri[[#This Row],[میزان بارگیری شده]]</f>
        <v>2915900000</v>
      </c>
      <c r="L9" s="1" t="s">
        <v>692</v>
      </c>
      <c r="M9" s="1"/>
      <c r="N9" s="1"/>
      <c r="O9" s="1"/>
      <c r="P9" s="1"/>
      <c r="Q9" s="1"/>
      <c r="R9" s="1"/>
      <c r="S9" s="1"/>
      <c r="T9" s="1"/>
      <c r="U9" s="1"/>
      <c r="V9" s="1"/>
      <c r="W9" s="1"/>
      <c r="X9" s="1"/>
      <c r="Y9" s="1"/>
      <c r="Z9" s="1"/>
    </row>
    <row r="10" spans="1:26" ht="18.600000000000001">
      <c r="A10" s="359" t="s">
        <v>1218</v>
      </c>
      <c r="B10" s="359" t="s">
        <v>109</v>
      </c>
      <c r="C10" s="361" t="s">
        <v>1036</v>
      </c>
      <c r="D10" s="122">
        <v>7480</v>
      </c>
      <c r="E10" s="143">
        <v>240000</v>
      </c>
      <c r="F10" s="3">
        <v>1405</v>
      </c>
      <c r="G10" s="359" t="s">
        <v>301</v>
      </c>
      <c r="H10" s="145">
        <f>bargiri[[#This Row],[میزان بارگیری شده]]*bargiri[[#This Row],[فی]]</f>
        <v>1795200000</v>
      </c>
      <c r="I10" s="359">
        <f>IF(year=bargiri[[#This Row],[سال]],1,0)</f>
        <v>1</v>
      </c>
      <c r="J10" s="359" t="str">
        <f>VLOOKUP(bargiri[[#This Row],[شماره پیش فاکتور]],invoice[],16,0)</f>
        <v>انجمن</v>
      </c>
      <c r="K10" s="251">
        <f>bargiri[[#This Row],[فی]]*bargiri[[#This Row],[میزان بارگیری شده]]</f>
        <v>1795200000</v>
      </c>
      <c r="L10" s="1"/>
      <c r="M10" s="1"/>
      <c r="N10" s="1"/>
      <c r="O10" s="1"/>
      <c r="P10" s="1"/>
      <c r="Q10" s="1"/>
      <c r="R10" s="1"/>
      <c r="S10" s="1"/>
      <c r="T10" s="1"/>
      <c r="U10" s="1"/>
      <c r="V10" s="1"/>
      <c r="W10" s="1"/>
      <c r="X10" s="1"/>
      <c r="Y10" s="1"/>
      <c r="Z10" s="1"/>
    </row>
    <row r="11" spans="1:26" ht="18.600000000000001">
      <c r="A11" s="359" t="s">
        <v>1218</v>
      </c>
      <c r="B11" s="359" t="s">
        <v>117</v>
      </c>
      <c r="C11" s="361" t="s">
        <v>798</v>
      </c>
      <c r="D11" s="122">
        <v>10100</v>
      </c>
      <c r="E11" s="143">
        <v>116500</v>
      </c>
      <c r="F11" s="3">
        <v>1405</v>
      </c>
      <c r="G11" s="359" t="s">
        <v>301</v>
      </c>
      <c r="H11" s="145">
        <f>bargiri[[#This Row],[میزان بارگیری شده]]*bargiri[[#This Row],[فی]]</f>
        <v>1176650000</v>
      </c>
      <c r="I11" s="359">
        <f>IF(year=bargiri[[#This Row],[سال]],1,0)</f>
        <v>1</v>
      </c>
      <c r="J11" s="359" t="str">
        <f>VLOOKUP(bargiri[[#This Row],[شماره پیش فاکتور]],invoice[],16,0)</f>
        <v>تعادلی</v>
      </c>
      <c r="K11" s="251">
        <f>bargiri[[#This Row],[فی]]*bargiri[[#This Row],[میزان بارگیری شده]]</f>
        <v>1176650000</v>
      </c>
      <c r="L11" s="4"/>
      <c r="M11" s="4"/>
      <c r="N11" s="4"/>
      <c r="O11" s="4"/>
      <c r="P11" s="4"/>
      <c r="Q11" s="4"/>
      <c r="R11" s="4"/>
      <c r="S11" s="4"/>
      <c r="T11" s="4"/>
      <c r="U11" s="4"/>
      <c r="V11" s="4"/>
      <c r="W11" s="4"/>
      <c r="X11" s="1"/>
      <c r="Y11" s="1"/>
      <c r="Z11" s="1"/>
    </row>
    <row r="12" spans="1:26" ht="18.600000000000001">
      <c r="A12" s="359" t="s">
        <v>1218</v>
      </c>
      <c r="B12" s="359" t="s">
        <v>117</v>
      </c>
      <c r="C12" s="361" t="s">
        <v>1007</v>
      </c>
      <c r="D12" s="122">
        <v>9950</v>
      </c>
      <c r="E12" s="143">
        <v>116500</v>
      </c>
      <c r="F12" s="3">
        <v>1405</v>
      </c>
      <c r="G12" s="359" t="s">
        <v>301</v>
      </c>
      <c r="H12" s="145">
        <f>bargiri[[#This Row],[میزان بارگیری شده]]*bargiri[[#This Row],[فی]]</f>
        <v>1159175000</v>
      </c>
      <c r="I12" s="359">
        <f>IF(year=bargiri[[#This Row],[سال]],1,0)</f>
        <v>1</v>
      </c>
      <c r="J12" s="359" t="str">
        <f>VLOOKUP(bargiri[[#This Row],[شماره پیش فاکتور]],invoice[],16,0)</f>
        <v>تعادلی</v>
      </c>
      <c r="K12" s="251">
        <f>bargiri[[#This Row],[فی]]*bargiri[[#This Row],[میزان بارگیری شده]]</f>
        <v>1159175000</v>
      </c>
      <c r="L12" s="4"/>
      <c r="M12" s="4"/>
      <c r="N12" s="4"/>
      <c r="O12" s="4"/>
      <c r="P12" s="4"/>
      <c r="Q12" s="4"/>
      <c r="R12" s="4"/>
      <c r="S12" s="4"/>
      <c r="T12" s="4"/>
      <c r="U12" s="4"/>
      <c r="V12" s="4"/>
      <c r="W12" s="4"/>
      <c r="X12" s="1"/>
      <c r="Y12" s="1"/>
      <c r="Z12" s="1"/>
    </row>
    <row r="13" spans="1:26" ht="18.600000000000001">
      <c r="A13" s="359" t="s">
        <v>1216</v>
      </c>
      <c r="B13" s="359" t="s">
        <v>118</v>
      </c>
      <c r="C13" s="355" t="s">
        <v>1197</v>
      </c>
      <c r="D13">
        <v>20080</v>
      </c>
      <c r="E13" s="143">
        <v>170323</v>
      </c>
      <c r="F13" s="117">
        <v>1405</v>
      </c>
      <c r="G13" s="360" t="s">
        <v>301</v>
      </c>
      <c r="H13" s="145">
        <f>bargiri[[#This Row],[میزان بارگیری شده]]*bargiri[[#This Row],[فی]]</f>
        <v>3420085840</v>
      </c>
      <c r="I13" s="359">
        <f>IF(year=bargiri[[#This Row],[سال]],1,0)</f>
        <v>1</v>
      </c>
      <c r="J13" s="359" t="str">
        <f>VLOOKUP(bargiri[[#This Row],[شماره پیش فاکتور]],invoice[],16,0)</f>
        <v>عادی</v>
      </c>
      <c r="K13" s="251">
        <f>bargiri[[#This Row],[فی]]*bargiri[[#This Row],[میزان بارگیری شده]]</f>
        <v>3420085840</v>
      </c>
      <c r="X13" s="1"/>
      <c r="Y13" s="1"/>
      <c r="Z13" s="1"/>
    </row>
    <row r="14" spans="1:26" ht="18.600000000000001">
      <c r="A14" s="359" t="s">
        <v>1216</v>
      </c>
      <c r="B14" s="359" t="s">
        <v>118</v>
      </c>
      <c r="C14" s="355" t="s">
        <v>1197</v>
      </c>
      <c r="D14">
        <v>20020</v>
      </c>
      <c r="E14" s="143">
        <v>170323</v>
      </c>
      <c r="F14" s="117">
        <v>1405</v>
      </c>
      <c r="G14" s="360" t="s">
        <v>301</v>
      </c>
      <c r="H14" s="145">
        <f>bargiri[[#This Row],[میزان بارگیری شده]]*bargiri[[#This Row],[فی]]</f>
        <v>3409866460</v>
      </c>
      <c r="I14" s="359">
        <f>IF(year=bargiri[[#This Row],[سال]],1,0)</f>
        <v>1</v>
      </c>
      <c r="J14" s="359" t="str">
        <f>VLOOKUP(bargiri[[#This Row],[شماره پیش فاکتور]],invoice[],16,0)</f>
        <v>عادی</v>
      </c>
      <c r="K14" s="251">
        <f>bargiri[[#This Row],[فی]]*bargiri[[#This Row],[میزان بارگیری شده]]</f>
        <v>3409866460</v>
      </c>
      <c r="X14" s="1"/>
      <c r="Y14" s="1"/>
      <c r="Z14" s="1"/>
    </row>
    <row r="15" spans="1:26" ht="18.600000000000001">
      <c r="A15" s="359" t="s">
        <v>1216</v>
      </c>
      <c r="B15" s="359" t="s">
        <v>118</v>
      </c>
      <c r="C15" s="355" t="s">
        <v>1197</v>
      </c>
      <c r="D15">
        <v>20040</v>
      </c>
      <c r="E15" s="143">
        <v>170323</v>
      </c>
      <c r="F15" s="117">
        <v>1405</v>
      </c>
      <c r="G15" s="360" t="s">
        <v>301</v>
      </c>
      <c r="H15" s="145">
        <f>bargiri[[#This Row],[میزان بارگیری شده]]*bargiri[[#This Row],[فی]]</f>
        <v>3413272920</v>
      </c>
      <c r="I15" s="359">
        <f>IF(year=bargiri[[#This Row],[سال]],1,0)</f>
        <v>1</v>
      </c>
      <c r="J15" s="359" t="str">
        <f>VLOOKUP(bargiri[[#This Row],[شماره پیش فاکتور]],invoice[],16,0)</f>
        <v>عادی</v>
      </c>
      <c r="K15" s="251">
        <f>bargiri[[#This Row],[فی]]*bargiri[[#This Row],[میزان بارگیری شده]]</f>
        <v>3413272920</v>
      </c>
      <c r="X15" s="1"/>
      <c r="Y15" s="1"/>
      <c r="Z15" s="1"/>
    </row>
    <row r="16" spans="1:26" ht="18.600000000000001">
      <c r="A16" s="359" t="s">
        <v>1216</v>
      </c>
      <c r="B16" s="359" t="s">
        <v>118</v>
      </c>
      <c r="C16" s="355" t="s">
        <v>1197</v>
      </c>
      <c r="D16">
        <v>20010</v>
      </c>
      <c r="E16" s="143">
        <v>170323</v>
      </c>
      <c r="F16" s="117">
        <v>1405</v>
      </c>
      <c r="G16" s="360" t="s">
        <v>301</v>
      </c>
      <c r="H16" s="145">
        <f>bargiri[[#This Row],[میزان بارگیری شده]]*bargiri[[#This Row],[فی]]</f>
        <v>3408163230</v>
      </c>
      <c r="I16" s="359">
        <f>IF(year=bargiri[[#This Row],[سال]],1,0)</f>
        <v>1</v>
      </c>
      <c r="J16" s="359" t="str">
        <f>VLOOKUP(bargiri[[#This Row],[شماره پیش فاکتور]],invoice[],16,0)</f>
        <v>عادی</v>
      </c>
      <c r="K16" s="251">
        <f>bargiri[[#This Row],[فی]]*bargiri[[#This Row],[میزان بارگیری شده]]</f>
        <v>3408163230</v>
      </c>
      <c r="X16" s="1"/>
      <c r="Y16" s="1"/>
      <c r="Z16" s="1"/>
    </row>
    <row r="17" spans="1:26" ht="18.600000000000001">
      <c r="A17" s="359" t="s">
        <v>1208</v>
      </c>
      <c r="B17" s="359" t="s">
        <v>118</v>
      </c>
      <c r="C17" s="355" t="s">
        <v>1197</v>
      </c>
      <c r="D17">
        <v>20170</v>
      </c>
      <c r="E17" s="143">
        <v>170323</v>
      </c>
      <c r="F17" s="117">
        <v>1405</v>
      </c>
      <c r="G17" s="360" t="s">
        <v>301</v>
      </c>
      <c r="H17" s="145">
        <f>bargiri[[#This Row],[میزان بارگیری شده]]*bargiri[[#This Row],[فی]]</f>
        <v>3435414910</v>
      </c>
      <c r="I17" s="359">
        <f>IF(year=bargiri[[#This Row],[سال]],1,0)</f>
        <v>1</v>
      </c>
      <c r="J17" s="359" t="str">
        <f>VLOOKUP(bargiri[[#This Row],[شماره پیش فاکتور]],invoice[],16,0)</f>
        <v>عادی</v>
      </c>
      <c r="K17" s="251">
        <f>bargiri[[#This Row],[فی]]*bargiri[[#This Row],[میزان بارگیری شده]]</f>
        <v>3435414910</v>
      </c>
      <c r="X17" s="1"/>
      <c r="Y17" s="1"/>
      <c r="Z17" s="1"/>
    </row>
    <row r="18" spans="1:26" ht="18.600000000000001">
      <c r="A18" s="359" t="s">
        <v>1208</v>
      </c>
      <c r="B18" s="359" t="s">
        <v>118</v>
      </c>
      <c r="C18" s="355" t="s">
        <v>1197</v>
      </c>
      <c r="D18">
        <v>20160</v>
      </c>
      <c r="E18" s="143">
        <v>170323</v>
      </c>
      <c r="F18" s="117">
        <v>1405</v>
      </c>
      <c r="G18" s="360" t="s">
        <v>301</v>
      </c>
      <c r="H18" s="145">
        <f>bargiri[[#This Row],[میزان بارگیری شده]]*bargiri[[#This Row],[فی]]</f>
        <v>3433711680</v>
      </c>
      <c r="I18" s="359">
        <f>IF(year=bargiri[[#This Row],[سال]],1,0)</f>
        <v>1</v>
      </c>
      <c r="J18" s="359" t="str">
        <f>VLOOKUP(bargiri[[#This Row],[شماره پیش فاکتور]],invoice[],16,0)</f>
        <v>عادی</v>
      </c>
      <c r="K18" s="251">
        <f>bargiri[[#This Row],[فی]]*bargiri[[#This Row],[میزان بارگیری شده]]</f>
        <v>3433711680</v>
      </c>
      <c r="X18" s="1"/>
      <c r="Y18" s="1"/>
      <c r="Z18" s="1"/>
    </row>
    <row r="19" spans="1:26" ht="18.600000000000001">
      <c r="A19" s="359" t="s">
        <v>1208</v>
      </c>
      <c r="B19" s="359" t="s">
        <v>118</v>
      </c>
      <c r="C19" s="355" t="s">
        <v>1197</v>
      </c>
      <c r="D19">
        <v>20180</v>
      </c>
      <c r="E19" s="143">
        <v>170323</v>
      </c>
      <c r="F19" s="117">
        <v>1405</v>
      </c>
      <c r="G19" s="360" t="s">
        <v>301</v>
      </c>
      <c r="H19" s="145">
        <f>bargiri[[#This Row],[میزان بارگیری شده]]*bargiri[[#This Row],[فی]]</f>
        <v>3437118140</v>
      </c>
      <c r="I19" s="359">
        <f>IF(year=bargiri[[#This Row],[سال]],1,0)</f>
        <v>1</v>
      </c>
      <c r="J19" s="359" t="str">
        <f>VLOOKUP(bargiri[[#This Row],[شماره پیش فاکتور]],invoice[],16,0)</f>
        <v>عادی</v>
      </c>
      <c r="K19" s="251">
        <f>bargiri[[#This Row],[فی]]*bargiri[[#This Row],[میزان بارگیری شده]]</f>
        <v>3437118140</v>
      </c>
      <c r="X19" s="1"/>
      <c r="Y19" s="1"/>
      <c r="Z19" s="1"/>
    </row>
    <row r="20" spans="1:26" ht="18.600000000000001">
      <c r="A20" s="359" t="s">
        <v>1208</v>
      </c>
      <c r="B20" s="359" t="s">
        <v>118</v>
      </c>
      <c r="C20" s="355" t="s">
        <v>1197</v>
      </c>
      <c r="D20">
        <v>20060</v>
      </c>
      <c r="E20" s="143">
        <v>170323</v>
      </c>
      <c r="F20" s="117">
        <v>1405</v>
      </c>
      <c r="G20" s="360" t="s">
        <v>301</v>
      </c>
      <c r="H20" s="145">
        <f>bargiri[[#This Row],[میزان بارگیری شده]]*bargiri[[#This Row],[فی]]</f>
        <v>3416679380</v>
      </c>
      <c r="I20" s="359">
        <f>IF(year=bargiri[[#This Row],[سال]],1,0)</f>
        <v>1</v>
      </c>
      <c r="J20" s="359" t="str">
        <f>VLOOKUP(bargiri[[#This Row],[شماره پیش فاکتور]],invoice[],16,0)</f>
        <v>عادی</v>
      </c>
      <c r="K20" s="251">
        <f>bargiri[[#This Row],[فی]]*bargiri[[#This Row],[میزان بارگیری شده]]</f>
        <v>3416679380</v>
      </c>
      <c r="X20" s="1"/>
      <c r="Y20" s="1"/>
      <c r="Z20" s="1"/>
    </row>
    <row r="21" spans="1:26" ht="18.600000000000001">
      <c r="A21" s="359" t="s">
        <v>1208</v>
      </c>
      <c r="B21" s="359" t="s">
        <v>118</v>
      </c>
      <c r="C21" s="355" t="s">
        <v>1197</v>
      </c>
      <c r="D21">
        <v>20070</v>
      </c>
      <c r="E21" s="143">
        <v>170323</v>
      </c>
      <c r="F21" s="117">
        <v>1405</v>
      </c>
      <c r="G21" s="360" t="s">
        <v>301</v>
      </c>
      <c r="H21" s="145">
        <f>bargiri[[#This Row],[میزان بارگیری شده]]*bargiri[[#This Row],[فی]]</f>
        <v>3418382610</v>
      </c>
      <c r="I21" s="359">
        <f>IF(year=bargiri[[#This Row],[سال]],1,0)</f>
        <v>1</v>
      </c>
      <c r="J21" s="359" t="str">
        <f>VLOOKUP(bargiri[[#This Row],[شماره پیش فاکتور]],invoice[],16,0)</f>
        <v>عادی</v>
      </c>
      <c r="K21" s="251">
        <f>bargiri[[#This Row],[فی]]*bargiri[[#This Row],[میزان بارگیری شده]]</f>
        <v>3418382610</v>
      </c>
      <c r="X21" s="1"/>
      <c r="Y21" s="1"/>
      <c r="Z21" s="1"/>
    </row>
    <row r="22" spans="1:26" ht="18.600000000000001">
      <c r="A22" s="360" t="s">
        <v>1208</v>
      </c>
      <c r="B22" s="360" t="s">
        <v>118</v>
      </c>
      <c r="C22" s="355" t="s">
        <v>1197</v>
      </c>
      <c r="D22">
        <v>19880</v>
      </c>
      <c r="E22" s="143">
        <v>170323</v>
      </c>
      <c r="F22" s="117">
        <v>1405</v>
      </c>
      <c r="G22" s="360" t="s">
        <v>301</v>
      </c>
      <c r="H22" s="144">
        <f>bargiri[[#This Row],[میزان بارگیری شده]]*bargiri[[#This Row],[فی]]</f>
        <v>3386021240</v>
      </c>
      <c r="I22" s="360">
        <f>IF(year=bargiri[[#This Row],[سال]],1,0)</f>
        <v>1</v>
      </c>
      <c r="J22" s="360" t="str">
        <f>VLOOKUP(bargiri[[#This Row],[شماره پیش فاکتور]],invoice[],16,0)</f>
        <v>عادی</v>
      </c>
      <c r="K22" s="252">
        <f>bargiri[[#This Row],[فی]]*bargiri[[#This Row],[میزان بارگیری شده]]</f>
        <v>3386021240</v>
      </c>
      <c r="X22" s="1"/>
      <c r="Y22" s="1"/>
      <c r="Z22" s="1"/>
    </row>
    <row r="23" spans="1:26" ht="18.600000000000001">
      <c r="A23" s="360" t="s">
        <v>1140</v>
      </c>
      <c r="B23" s="360" t="s">
        <v>118</v>
      </c>
      <c r="C23" s="355" t="s">
        <v>1197</v>
      </c>
      <c r="D23">
        <v>19890</v>
      </c>
      <c r="E23" s="143">
        <v>170323</v>
      </c>
      <c r="F23" s="117">
        <v>1405</v>
      </c>
      <c r="G23" s="360" t="s">
        <v>301</v>
      </c>
      <c r="H23" s="144">
        <f>bargiri[[#This Row],[میزان بارگیری شده]]*bargiri[[#This Row],[فی]]</f>
        <v>3387724470</v>
      </c>
      <c r="I23" s="360">
        <f>IF(year=bargiri[[#This Row],[سال]],1,0)</f>
        <v>1</v>
      </c>
      <c r="J23" s="360" t="str">
        <f>VLOOKUP(bargiri[[#This Row],[شماره پیش فاکتور]],invoice[],16,0)</f>
        <v>عادی</v>
      </c>
      <c r="K23" s="251">
        <f>bargiri[[#This Row],[فی]]*bargiri[[#This Row],[میزان بارگیری شده]]</f>
        <v>3387724470</v>
      </c>
      <c r="X23" s="1"/>
      <c r="Y23" s="1"/>
      <c r="Z23" s="1"/>
    </row>
    <row r="24" spans="1:26" ht="18.600000000000001">
      <c r="A24" s="360" t="s">
        <v>1140</v>
      </c>
      <c r="B24" s="360" t="s">
        <v>118</v>
      </c>
      <c r="C24" s="355" t="s">
        <v>1193</v>
      </c>
      <c r="D24">
        <v>19650</v>
      </c>
      <c r="E24" s="143">
        <v>154345</v>
      </c>
      <c r="F24" s="117">
        <v>1405</v>
      </c>
      <c r="G24" s="360" t="s">
        <v>301</v>
      </c>
      <c r="H24" s="144">
        <f>bargiri[[#This Row],[میزان بارگیری شده]]*bargiri[[#This Row],[فی]]</f>
        <v>3032879250</v>
      </c>
      <c r="I24" s="360">
        <f>IF(year=bargiri[[#This Row],[سال]],1,0)</f>
        <v>1</v>
      </c>
      <c r="J24" s="360" t="str">
        <f>VLOOKUP(bargiri[[#This Row],[شماره پیش فاکتور]],invoice[],16,0)</f>
        <v>عادی</v>
      </c>
      <c r="K24" s="252">
        <f>bargiri[[#This Row],[فی]]*bargiri[[#This Row],[میزان بارگیری شده]]</f>
        <v>3032879250</v>
      </c>
      <c r="X24" s="1"/>
      <c r="Y24" s="1"/>
      <c r="Z24" s="1"/>
    </row>
    <row r="25" spans="1:26" ht="18.600000000000001">
      <c r="A25" s="360" t="s">
        <v>1140</v>
      </c>
      <c r="B25" s="360" t="s">
        <v>118</v>
      </c>
      <c r="C25" s="355" t="s">
        <v>1197</v>
      </c>
      <c r="D25">
        <v>110</v>
      </c>
      <c r="E25" s="143">
        <v>170323</v>
      </c>
      <c r="F25" s="117">
        <v>1405</v>
      </c>
      <c r="G25" s="360" t="s">
        <v>301</v>
      </c>
      <c r="H25" s="144">
        <f>bargiri[[#This Row],[میزان بارگیری شده]]*bargiri[[#This Row],[فی]]</f>
        <v>18735530</v>
      </c>
      <c r="I25" s="360">
        <f>IF(year=bargiri[[#This Row],[سال]],1,0)</f>
        <v>1</v>
      </c>
      <c r="J25" s="360" t="str">
        <f>VLOOKUP(bargiri[[#This Row],[شماره پیش فاکتور]],invoice[],16,0)</f>
        <v>عادی</v>
      </c>
      <c r="K25" s="251">
        <f>bargiri[[#This Row],[فی]]*bargiri[[#This Row],[میزان بارگیری شده]]</f>
        <v>18735530</v>
      </c>
      <c r="X25" s="1"/>
      <c r="Y25" s="1"/>
      <c r="Z25" s="1"/>
    </row>
    <row r="26" spans="1:26" ht="18.600000000000001">
      <c r="A26" s="360" t="s">
        <v>1217</v>
      </c>
      <c r="B26" s="360" t="s">
        <v>114</v>
      </c>
      <c r="C26" s="355" t="s">
        <v>1010</v>
      </c>
      <c r="D26">
        <v>22440</v>
      </c>
      <c r="E26" s="143">
        <v>130000</v>
      </c>
      <c r="F26" s="117">
        <v>1405</v>
      </c>
      <c r="G26" s="360" t="s">
        <v>301</v>
      </c>
      <c r="H26" s="144">
        <f>bargiri[[#This Row],[میزان بارگیری شده]]*bargiri[[#This Row],[فی]]</f>
        <v>2917200000</v>
      </c>
      <c r="I26" s="360">
        <f>IF(year=bargiri[[#This Row],[سال]],1,0)</f>
        <v>1</v>
      </c>
      <c r="J26" s="360" t="str">
        <f>VLOOKUP(bargiri[[#This Row],[شماره پیش فاکتور]],invoice[],16,0)</f>
        <v>عادی</v>
      </c>
      <c r="K26" s="252">
        <f>bargiri[[#This Row],[فی]]*bargiri[[#This Row],[میزان بارگیری شده]]</f>
        <v>2917200000</v>
      </c>
      <c r="X26" s="1"/>
      <c r="Y26" s="1"/>
      <c r="Z26" s="1"/>
    </row>
    <row r="27" spans="1:26" ht="18.600000000000001">
      <c r="A27" s="360" t="s">
        <v>1216</v>
      </c>
      <c r="B27" s="360" t="s">
        <v>113</v>
      </c>
      <c r="C27" s="355" t="s">
        <v>822</v>
      </c>
      <c r="D27">
        <v>20010</v>
      </c>
      <c r="E27" s="143">
        <v>105000</v>
      </c>
      <c r="F27" s="117">
        <v>1405</v>
      </c>
      <c r="G27" s="360" t="s">
        <v>301</v>
      </c>
      <c r="H27" s="144">
        <f>bargiri[[#This Row],[میزان بارگیری شده]]*bargiri[[#This Row],[فی]]</f>
        <v>2101050000</v>
      </c>
      <c r="I27" s="360">
        <f>IF(year=bargiri[[#This Row],[سال]],1,0)</f>
        <v>1</v>
      </c>
      <c r="J27" s="360" t="str">
        <f>VLOOKUP(bargiri[[#This Row],[شماره پیش فاکتور]],invoice[],16,0)</f>
        <v>عادی</v>
      </c>
      <c r="K27" s="252">
        <f>bargiri[[#This Row],[فی]]*bargiri[[#This Row],[میزان بارگیری شده]]</f>
        <v>2101050000</v>
      </c>
      <c r="X27" s="1"/>
      <c r="Y27" s="1"/>
      <c r="Z27" s="1"/>
    </row>
    <row r="28" spans="1:26" ht="18.600000000000001">
      <c r="A28" s="360" t="s">
        <v>1216</v>
      </c>
      <c r="B28" s="360" t="s">
        <v>123</v>
      </c>
      <c r="C28" s="355" t="s">
        <v>1035</v>
      </c>
      <c r="D28">
        <v>7130</v>
      </c>
      <c r="E28" s="143">
        <v>240000</v>
      </c>
      <c r="F28" s="117">
        <v>1405</v>
      </c>
      <c r="G28" s="360" t="s">
        <v>301</v>
      </c>
      <c r="H28" s="144">
        <f>bargiri[[#This Row],[میزان بارگیری شده]]*bargiri[[#This Row],[فی]]</f>
        <v>1711200000</v>
      </c>
      <c r="I28" s="360">
        <f>IF(year=bargiri[[#This Row],[سال]],1,0)</f>
        <v>1</v>
      </c>
      <c r="J28" s="360" t="str">
        <f>VLOOKUP(bargiri[[#This Row],[شماره پیش فاکتور]],invoice[],16,0)</f>
        <v>انجمن</v>
      </c>
      <c r="K28" s="252">
        <f>bargiri[[#This Row],[فی]]*bargiri[[#This Row],[میزان بارگیری شده]]</f>
        <v>1711200000</v>
      </c>
      <c r="X28" s="1"/>
      <c r="Y28" s="1"/>
      <c r="Z28" s="1"/>
    </row>
    <row r="29" spans="1:26" ht="18.600000000000001">
      <c r="A29" s="360" t="s">
        <v>1215</v>
      </c>
      <c r="B29" s="360" t="s">
        <v>102</v>
      </c>
      <c r="C29" s="355" t="s">
        <v>1050</v>
      </c>
      <c r="D29">
        <v>10340</v>
      </c>
      <c r="E29" s="143">
        <v>240000</v>
      </c>
      <c r="F29" s="117">
        <v>1405</v>
      </c>
      <c r="G29" s="360" t="s">
        <v>301</v>
      </c>
      <c r="H29" s="144">
        <f>bargiri[[#This Row],[میزان بارگیری شده]]*bargiri[[#This Row],[فی]]</f>
        <v>2481600000</v>
      </c>
      <c r="I29" s="360">
        <f>IF(year=bargiri[[#This Row],[سال]],1,0)</f>
        <v>1</v>
      </c>
      <c r="J29" s="360" t="str">
        <f>VLOOKUP(bargiri[[#This Row],[شماره پیش فاکتور]],invoice[],16,0)</f>
        <v>انجمن</v>
      </c>
      <c r="K29" s="252">
        <f>bargiri[[#This Row],[فی]]*bargiri[[#This Row],[میزان بارگیری شده]]</f>
        <v>2481600000</v>
      </c>
      <c r="X29" s="1"/>
      <c r="Y29" s="1"/>
      <c r="Z29" s="1"/>
    </row>
    <row r="30" spans="1:26" ht="18.600000000000001">
      <c r="A30" s="360" t="s">
        <v>1215</v>
      </c>
      <c r="B30" s="360" t="s">
        <v>109</v>
      </c>
      <c r="C30" s="355" t="s">
        <v>1036</v>
      </c>
      <c r="D30">
        <v>7170</v>
      </c>
      <c r="E30" s="143">
        <v>240000</v>
      </c>
      <c r="F30" s="117">
        <v>1405</v>
      </c>
      <c r="G30" s="360" t="s">
        <v>301</v>
      </c>
      <c r="H30" s="144">
        <f>bargiri[[#This Row],[میزان بارگیری شده]]*bargiri[[#This Row],[فی]]</f>
        <v>1720800000</v>
      </c>
      <c r="I30" s="360">
        <f>IF(year=bargiri[[#This Row],[سال]],1,0)</f>
        <v>1</v>
      </c>
      <c r="J30" s="360" t="str">
        <f>VLOOKUP(bargiri[[#This Row],[شماره پیش فاکتور]],invoice[],16,0)</f>
        <v>انجمن</v>
      </c>
      <c r="K30" s="252">
        <f>bargiri[[#This Row],[فی]]*bargiri[[#This Row],[میزان بارگیری شده]]</f>
        <v>1720800000</v>
      </c>
      <c r="X30" s="1"/>
      <c r="Y30" s="1"/>
      <c r="Z30" s="1"/>
    </row>
    <row r="31" spans="1:26" ht="18.600000000000001">
      <c r="A31" s="360" t="s">
        <v>1211</v>
      </c>
      <c r="B31" s="360" t="s">
        <v>113</v>
      </c>
      <c r="C31" s="355" t="s">
        <v>822</v>
      </c>
      <c r="D31">
        <v>18550</v>
      </c>
      <c r="E31" s="143">
        <v>105000</v>
      </c>
      <c r="F31" s="117">
        <v>1405</v>
      </c>
      <c r="G31" s="360" t="s">
        <v>301</v>
      </c>
      <c r="H31" s="144">
        <f>bargiri[[#This Row],[میزان بارگیری شده]]*bargiri[[#This Row],[فی]]</f>
        <v>1947750000</v>
      </c>
      <c r="I31" s="360">
        <f>IF(year=bargiri[[#This Row],[سال]],1,0)</f>
        <v>1</v>
      </c>
      <c r="J31" s="360" t="str">
        <f>VLOOKUP(bargiri[[#This Row],[شماره پیش فاکتور]],invoice[],16,0)</f>
        <v>عادی</v>
      </c>
      <c r="K31" s="252">
        <f>bargiri[[#This Row],[فی]]*bargiri[[#This Row],[میزان بارگیری شده]]</f>
        <v>1947750000</v>
      </c>
      <c r="X31" s="1"/>
      <c r="Y31" s="1"/>
      <c r="Z31" s="1"/>
    </row>
    <row r="32" spans="1:26" ht="18.600000000000001">
      <c r="A32" s="360" t="s">
        <v>1212</v>
      </c>
      <c r="B32" s="360" t="s">
        <v>102</v>
      </c>
      <c r="C32" s="355" t="s">
        <v>1011</v>
      </c>
      <c r="D32">
        <v>11050</v>
      </c>
      <c r="E32" s="143">
        <v>120000</v>
      </c>
      <c r="F32" s="117">
        <v>1405</v>
      </c>
      <c r="G32" s="360" t="s">
        <v>301</v>
      </c>
      <c r="H32" s="144">
        <f>bargiri[[#This Row],[میزان بارگیری شده]]*bargiri[[#This Row],[فی]]</f>
        <v>1326000000</v>
      </c>
      <c r="I32" s="360">
        <f>IF(year=bargiri[[#This Row],[سال]],1,0)</f>
        <v>1</v>
      </c>
      <c r="J32" s="360" t="str">
        <f>VLOOKUP(bargiri[[#This Row],[شماره پیش فاکتور]],invoice[],16,0)</f>
        <v>عادی</v>
      </c>
      <c r="K32" s="252">
        <f>bargiri[[#This Row],[فی]]*bargiri[[#This Row],[میزان بارگیری شده]]</f>
        <v>1326000000</v>
      </c>
      <c r="X32" s="1"/>
      <c r="Y32" s="1"/>
      <c r="Z32" s="1"/>
    </row>
    <row r="33" spans="1:26" ht="18.600000000000001">
      <c r="A33" s="360" t="s">
        <v>1212</v>
      </c>
      <c r="B33" s="360" t="s">
        <v>113</v>
      </c>
      <c r="C33" s="355" t="s">
        <v>822</v>
      </c>
      <c r="D33">
        <v>19950</v>
      </c>
      <c r="E33" s="143">
        <v>105000</v>
      </c>
      <c r="F33" s="117">
        <v>1405</v>
      </c>
      <c r="G33" s="360" t="s">
        <v>301</v>
      </c>
      <c r="H33" s="144">
        <f>bargiri[[#This Row],[میزان بارگیری شده]]*bargiri[[#This Row],[فی]]</f>
        <v>2094750000</v>
      </c>
      <c r="I33" s="360">
        <f>IF(year=bargiri[[#This Row],[سال]],1,0)</f>
        <v>1</v>
      </c>
      <c r="J33" s="360" t="str">
        <f>VLOOKUP(bargiri[[#This Row],[شماره پیش فاکتور]],invoice[],16,0)</f>
        <v>عادی</v>
      </c>
      <c r="K33" s="252">
        <f>bargiri[[#This Row],[فی]]*bargiri[[#This Row],[میزان بارگیری شده]]</f>
        <v>2094750000</v>
      </c>
      <c r="X33" s="1"/>
      <c r="Y33" s="1"/>
      <c r="Z33" s="1"/>
    </row>
    <row r="34" spans="1:26" ht="18.600000000000001">
      <c r="A34" s="360" t="s">
        <v>1210</v>
      </c>
      <c r="B34" s="360" t="s">
        <v>114</v>
      </c>
      <c r="C34" s="355" t="s">
        <v>905</v>
      </c>
      <c r="D34">
        <v>1470</v>
      </c>
      <c r="E34" s="143">
        <v>135000</v>
      </c>
      <c r="F34" s="117">
        <v>1405</v>
      </c>
      <c r="G34" s="360" t="s">
        <v>301</v>
      </c>
      <c r="H34" s="144">
        <f>bargiri[[#This Row],[میزان بارگیری شده]]*bargiri[[#This Row],[فی]]</f>
        <v>198450000</v>
      </c>
      <c r="I34" s="360">
        <f>IF(year=bargiri[[#This Row],[سال]],1,0)</f>
        <v>1</v>
      </c>
      <c r="J34" s="360" t="str">
        <f>VLOOKUP(bargiri[[#This Row],[شماره پیش فاکتور]],invoice[],16,0)</f>
        <v>عادی</v>
      </c>
      <c r="K34" s="252">
        <f>bargiri[[#This Row],[فی]]*bargiri[[#This Row],[میزان بارگیری شده]]</f>
        <v>198450000</v>
      </c>
      <c r="X34" s="1"/>
      <c r="Y34" s="1"/>
      <c r="Z34" s="1"/>
    </row>
    <row r="35" spans="1:26" ht="18.600000000000001">
      <c r="A35" s="360" t="s">
        <v>1210</v>
      </c>
      <c r="B35" s="360" t="s">
        <v>114</v>
      </c>
      <c r="C35" s="355" t="s">
        <v>1010</v>
      </c>
      <c r="D35">
        <v>18540</v>
      </c>
      <c r="E35" s="143">
        <v>130000</v>
      </c>
      <c r="F35" s="117">
        <v>1405</v>
      </c>
      <c r="G35" s="360" t="s">
        <v>301</v>
      </c>
      <c r="H35" s="144">
        <f>bargiri[[#This Row],[میزان بارگیری شده]]*bargiri[[#This Row],[فی]]</f>
        <v>2410200000</v>
      </c>
      <c r="I35" s="360">
        <f>IF(year=bargiri[[#This Row],[سال]],1,0)</f>
        <v>1</v>
      </c>
      <c r="J35" s="360" t="str">
        <f>VLOOKUP(bargiri[[#This Row],[شماره پیش فاکتور]],invoice[],16,0)</f>
        <v>عادی</v>
      </c>
      <c r="K35" s="252">
        <f>bargiri[[#This Row],[فی]]*bargiri[[#This Row],[میزان بارگیری شده]]</f>
        <v>2410200000</v>
      </c>
      <c r="X35" s="1"/>
      <c r="Y35" s="1"/>
      <c r="Z35" s="1"/>
    </row>
    <row r="36" spans="1:26" ht="18.600000000000001">
      <c r="A36" s="360" t="s">
        <v>1210</v>
      </c>
      <c r="B36" s="360" t="s">
        <v>109</v>
      </c>
      <c r="C36" s="355" t="s">
        <v>1036</v>
      </c>
      <c r="D36">
        <v>7520</v>
      </c>
      <c r="E36" s="143">
        <v>240000</v>
      </c>
      <c r="F36" s="117">
        <v>1405</v>
      </c>
      <c r="G36" s="360" t="s">
        <v>301</v>
      </c>
      <c r="H36" s="144">
        <f>bargiri[[#This Row],[میزان بارگیری شده]]*bargiri[[#This Row],[فی]]</f>
        <v>1804800000</v>
      </c>
      <c r="I36" s="360">
        <f>IF(year=bargiri[[#This Row],[سال]],1,0)</f>
        <v>1</v>
      </c>
      <c r="J36" s="360" t="str">
        <f>VLOOKUP(bargiri[[#This Row],[شماره پیش فاکتور]],invoice[],16,0)</f>
        <v>انجمن</v>
      </c>
      <c r="K36" s="252">
        <f>bargiri[[#This Row],[فی]]*bargiri[[#This Row],[میزان بارگیری شده]]</f>
        <v>1804800000</v>
      </c>
      <c r="X36" s="1"/>
      <c r="Y36" s="1"/>
      <c r="Z36" s="1"/>
    </row>
    <row r="37" spans="1:26" ht="18.600000000000001">
      <c r="A37" s="360" t="s">
        <v>1209</v>
      </c>
      <c r="B37" s="360" t="s">
        <v>102</v>
      </c>
      <c r="C37" s="355" t="s">
        <v>832</v>
      </c>
      <c r="D37">
        <v>11190</v>
      </c>
      <c r="E37" s="143">
        <v>108000</v>
      </c>
      <c r="F37" s="117">
        <v>1405</v>
      </c>
      <c r="G37" s="360" t="s">
        <v>301</v>
      </c>
      <c r="H37" s="144">
        <f>bargiri[[#This Row],[میزان بارگیری شده]]*bargiri[[#This Row],[فی]]</f>
        <v>1208520000</v>
      </c>
      <c r="I37" s="360">
        <f>IF(year=bargiri[[#This Row],[سال]],1,0)</f>
        <v>1</v>
      </c>
      <c r="J37" s="360" t="str">
        <f>VLOOKUP(bargiri[[#This Row],[شماره پیش فاکتور]],invoice[],16,0)</f>
        <v>عادی</v>
      </c>
      <c r="K37" s="252">
        <f>bargiri[[#This Row],[فی]]*bargiri[[#This Row],[میزان بارگیری شده]]</f>
        <v>1208520000</v>
      </c>
      <c r="X37" s="1"/>
      <c r="Y37" s="1"/>
      <c r="Z37" s="1"/>
    </row>
    <row r="38" spans="1:26" ht="18.600000000000001">
      <c r="A38" s="360" t="s">
        <v>1209</v>
      </c>
      <c r="B38" s="360" t="s">
        <v>101</v>
      </c>
      <c r="C38" s="355" t="s">
        <v>1103</v>
      </c>
      <c r="D38">
        <v>20050</v>
      </c>
      <c r="E38" s="143">
        <v>240000</v>
      </c>
      <c r="F38" s="117">
        <v>1405</v>
      </c>
      <c r="G38" s="360" t="s">
        <v>301</v>
      </c>
      <c r="H38" s="144">
        <f>bargiri[[#This Row],[میزان بارگیری شده]]*bargiri[[#This Row],[فی]]</f>
        <v>4812000000</v>
      </c>
      <c r="I38" s="360">
        <f>IF(year=bargiri[[#This Row],[سال]],1,0)</f>
        <v>1</v>
      </c>
      <c r="J38" s="360" t="str">
        <f>VLOOKUP(bargiri[[#This Row],[شماره پیش فاکتور]],invoice[],16,0)</f>
        <v>انجمن</v>
      </c>
      <c r="K38" s="252">
        <f>bargiri[[#This Row],[فی]]*bargiri[[#This Row],[میزان بارگیری شده]]</f>
        <v>4812000000</v>
      </c>
      <c r="X38" s="1"/>
      <c r="Y38" s="1"/>
      <c r="Z38" s="1"/>
    </row>
    <row r="39" spans="1:26" ht="18.600000000000001">
      <c r="A39" s="360" t="s">
        <v>1209</v>
      </c>
      <c r="B39" s="360" t="s">
        <v>108</v>
      </c>
      <c r="C39" s="355" t="s">
        <v>1176</v>
      </c>
      <c r="D39">
        <v>9620</v>
      </c>
      <c r="E39" s="143">
        <v>250000</v>
      </c>
      <c r="F39" s="117">
        <v>1405</v>
      </c>
      <c r="G39" s="360" t="s">
        <v>301</v>
      </c>
      <c r="H39" s="144">
        <f>bargiri[[#This Row],[میزان بارگیری شده]]*bargiri[[#This Row],[فی]]</f>
        <v>2405000000</v>
      </c>
      <c r="I39" s="360">
        <f>IF(year=bargiri[[#This Row],[سال]],1,0)</f>
        <v>1</v>
      </c>
      <c r="J39" s="360" t="str">
        <f>VLOOKUP(bargiri[[#This Row],[شماره پیش فاکتور]],invoice[],16,0)</f>
        <v>بورس</v>
      </c>
      <c r="K39" s="252">
        <f>bargiri[[#This Row],[فی]]*bargiri[[#This Row],[میزان بارگیری شده]]</f>
        <v>2405000000</v>
      </c>
      <c r="X39" s="1"/>
      <c r="Y39" s="1"/>
      <c r="Z39" s="1"/>
    </row>
    <row r="40" spans="1:26" ht="18.600000000000001">
      <c r="A40" s="360" t="s">
        <v>1209</v>
      </c>
      <c r="B40" s="360" t="s">
        <v>113</v>
      </c>
      <c r="C40" s="355" t="s">
        <v>822</v>
      </c>
      <c r="D40">
        <v>18100</v>
      </c>
      <c r="E40" s="143">
        <v>105000</v>
      </c>
      <c r="F40" s="117">
        <v>1405</v>
      </c>
      <c r="G40" s="360" t="s">
        <v>301</v>
      </c>
      <c r="H40" s="144">
        <f>bargiri[[#This Row],[میزان بارگیری شده]]*bargiri[[#This Row],[فی]]</f>
        <v>1900500000</v>
      </c>
      <c r="I40" s="360">
        <f>IF(year=bargiri[[#This Row],[سال]],1,0)</f>
        <v>1</v>
      </c>
      <c r="J40" s="360" t="str">
        <f>VLOOKUP(bargiri[[#This Row],[شماره پیش فاکتور]],invoice[],16,0)</f>
        <v>عادی</v>
      </c>
      <c r="K40" s="252">
        <f>bargiri[[#This Row],[فی]]*bargiri[[#This Row],[میزان بارگیری شده]]</f>
        <v>1900500000</v>
      </c>
      <c r="X40" s="1"/>
      <c r="Y40" s="1"/>
      <c r="Z40" s="1"/>
    </row>
    <row r="41" spans="1:26" ht="18.600000000000001">
      <c r="A41" s="360" t="s">
        <v>1207</v>
      </c>
      <c r="B41" s="360" t="s">
        <v>100</v>
      </c>
      <c r="C41" s="355" t="s">
        <v>1108</v>
      </c>
      <c r="D41">
        <v>17010</v>
      </c>
      <c r="E41" s="143">
        <v>240000</v>
      </c>
      <c r="F41" s="117">
        <v>1405</v>
      </c>
      <c r="G41" s="360" t="s">
        <v>301</v>
      </c>
      <c r="H41" s="144">
        <f>bargiri[[#This Row],[میزان بارگیری شده]]*bargiri[[#This Row],[فی]]</f>
        <v>4082400000</v>
      </c>
      <c r="I41" s="360">
        <f>IF(year=bargiri[[#This Row],[سال]],1,0)</f>
        <v>1</v>
      </c>
      <c r="J41" s="360" t="str">
        <f>VLOOKUP(bargiri[[#This Row],[شماره پیش فاکتور]],invoice[],16,0)</f>
        <v>انجمن</v>
      </c>
      <c r="K41" s="252">
        <f>bargiri[[#This Row],[فی]]*bargiri[[#This Row],[میزان بارگیری شده]]</f>
        <v>4082400000</v>
      </c>
      <c r="X41" s="1"/>
      <c r="Y41" s="1"/>
      <c r="Z41" s="1"/>
    </row>
    <row r="42" spans="1:26" ht="18.600000000000001">
      <c r="A42" s="360" t="s">
        <v>1207</v>
      </c>
      <c r="B42" s="360" t="s">
        <v>113</v>
      </c>
      <c r="C42" s="355" t="s">
        <v>822</v>
      </c>
      <c r="D42">
        <v>19000</v>
      </c>
      <c r="E42" s="143">
        <v>105000</v>
      </c>
      <c r="F42" s="117">
        <v>1405</v>
      </c>
      <c r="G42" s="360" t="s">
        <v>301</v>
      </c>
      <c r="H42" s="144">
        <f>bargiri[[#This Row],[میزان بارگیری شده]]*bargiri[[#This Row],[فی]]</f>
        <v>1995000000</v>
      </c>
      <c r="I42" s="360">
        <f>IF(year=bargiri[[#This Row],[سال]],1,0)</f>
        <v>1</v>
      </c>
      <c r="J42" s="360" t="str">
        <f>VLOOKUP(bargiri[[#This Row],[شماره پیش فاکتور]],invoice[],16,0)</f>
        <v>عادی</v>
      </c>
      <c r="K42" s="252">
        <f>bargiri[[#This Row],[فی]]*bargiri[[#This Row],[میزان بارگیری شده]]</f>
        <v>1995000000</v>
      </c>
      <c r="X42" s="1"/>
      <c r="Y42" s="1"/>
      <c r="Z42" s="1"/>
    </row>
    <row r="43" spans="1:26" ht="18.600000000000001">
      <c r="A43" s="360" t="s">
        <v>1207</v>
      </c>
      <c r="B43" s="360" t="s">
        <v>125</v>
      </c>
      <c r="C43" s="355" t="s">
        <v>1009</v>
      </c>
      <c r="D43">
        <v>14070</v>
      </c>
      <c r="E43" s="143">
        <v>120000</v>
      </c>
      <c r="F43" s="117">
        <v>1405</v>
      </c>
      <c r="G43" s="360" t="s">
        <v>301</v>
      </c>
      <c r="H43" s="144">
        <f>bargiri[[#This Row],[میزان بارگیری شده]]*bargiri[[#This Row],[فی]]</f>
        <v>1688400000</v>
      </c>
      <c r="I43" s="360">
        <f>IF(year=bargiri[[#This Row],[سال]],1,0)</f>
        <v>1</v>
      </c>
      <c r="J43" s="360" t="str">
        <f>VLOOKUP(bargiri[[#This Row],[شماره پیش فاکتور]],invoice[],16,0)</f>
        <v>عادی</v>
      </c>
      <c r="K43" s="252">
        <f>bargiri[[#This Row],[فی]]*bargiri[[#This Row],[میزان بارگیری شده]]</f>
        <v>1688400000</v>
      </c>
      <c r="X43" s="1"/>
      <c r="Y43" s="1"/>
      <c r="Z43" s="1"/>
    </row>
    <row r="44" spans="1:26" ht="18.600000000000001">
      <c r="A44" s="360" t="s">
        <v>1207</v>
      </c>
      <c r="B44" s="360" t="s">
        <v>116</v>
      </c>
      <c r="C44" s="355" t="s">
        <v>1008</v>
      </c>
      <c r="D44">
        <v>17260</v>
      </c>
      <c r="E44" s="143">
        <v>116500</v>
      </c>
      <c r="F44" s="117">
        <v>1405</v>
      </c>
      <c r="G44" s="360" t="s">
        <v>301</v>
      </c>
      <c r="H44" s="144">
        <f>bargiri[[#This Row],[میزان بارگیری شده]]*bargiri[[#This Row],[فی]]</f>
        <v>2010790000</v>
      </c>
      <c r="I44" s="360">
        <f>IF(year=bargiri[[#This Row],[سال]],1,0)</f>
        <v>1</v>
      </c>
      <c r="J44" s="360" t="str">
        <f>VLOOKUP(bargiri[[#This Row],[شماره پیش فاکتور]],invoice[],16,0)</f>
        <v>تعادلی</v>
      </c>
      <c r="K44" s="252">
        <f>bargiri[[#This Row],[فی]]*bargiri[[#This Row],[میزان بارگیری شده]]</f>
        <v>2010790000</v>
      </c>
      <c r="X44" s="1"/>
      <c r="Y44" s="1"/>
      <c r="Z44" s="1"/>
    </row>
    <row r="45" spans="1:26" ht="18.600000000000001">
      <c r="A45" s="360" t="s">
        <v>1207</v>
      </c>
      <c r="B45" s="360" t="s">
        <v>116</v>
      </c>
      <c r="C45" s="355" t="s">
        <v>1119</v>
      </c>
      <c r="D45">
        <v>2740</v>
      </c>
      <c r="E45" s="143">
        <v>240000</v>
      </c>
      <c r="F45" s="117">
        <v>1405</v>
      </c>
      <c r="G45" s="360" t="s">
        <v>301</v>
      </c>
      <c r="H45" s="144">
        <f>bargiri[[#This Row],[میزان بارگیری شده]]*bargiri[[#This Row],[فی]]</f>
        <v>657600000</v>
      </c>
      <c r="I45" s="360">
        <f>IF(year=bargiri[[#This Row],[سال]],1,0)</f>
        <v>1</v>
      </c>
      <c r="J45" s="360" t="str">
        <f>VLOOKUP(bargiri[[#This Row],[شماره پیش فاکتور]],invoice[],16,0)</f>
        <v>بورس</v>
      </c>
      <c r="K45" s="252">
        <f>bargiri[[#This Row],[فی]]*bargiri[[#This Row],[میزان بارگیری شده]]</f>
        <v>657600000</v>
      </c>
      <c r="X45" s="1"/>
      <c r="Y45" s="1"/>
      <c r="Z45" s="1"/>
    </row>
    <row r="46" spans="1:26" ht="18.600000000000001">
      <c r="A46" s="360" t="s">
        <v>1208</v>
      </c>
      <c r="B46" s="360" t="s">
        <v>104</v>
      </c>
      <c r="C46" s="355" t="s">
        <v>903</v>
      </c>
      <c r="D46">
        <v>3450</v>
      </c>
      <c r="E46" s="143">
        <v>116500</v>
      </c>
      <c r="F46" s="117">
        <v>1405</v>
      </c>
      <c r="G46" s="360" t="s">
        <v>301</v>
      </c>
      <c r="H46" s="144">
        <f>bargiri[[#This Row],[میزان بارگیری شده]]*bargiri[[#This Row],[فی]]</f>
        <v>401925000</v>
      </c>
      <c r="I46" s="360">
        <f>IF(year=bargiri[[#This Row],[سال]],1,0)</f>
        <v>1</v>
      </c>
      <c r="J46" s="360" t="str">
        <f>VLOOKUP(bargiri[[#This Row],[شماره پیش فاکتور]],invoice[],16,0)</f>
        <v>تعادلی</v>
      </c>
      <c r="K46" s="252">
        <f>bargiri[[#This Row],[فی]]*bargiri[[#This Row],[میزان بارگیری شده]]</f>
        <v>401925000</v>
      </c>
      <c r="X46" s="1"/>
      <c r="Y46" s="1"/>
      <c r="Z46" s="1"/>
    </row>
    <row r="47" spans="1:26" ht="18.600000000000001">
      <c r="A47" s="360" t="s">
        <v>1208</v>
      </c>
      <c r="B47" s="360" t="s">
        <v>104</v>
      </c>
      <c r="C47" s="355" t="s">
        <v>1105</v>
      </c>
      <c r="D47">
        <v>16640</v>
      </c>
      <c r="E47" s="143">
        <v>240000</v>
      </c>
      <c r="F47" s="117">
        <v>1405</v>
      </c>
      <c r="G47" s="360" t="s">
        <v>301</v>
      </c>
      <c r="H47" s="144">
        <f>bargiri[[#This Row],[میزان بارگیری شده]]*bargiri[[#This Row],[فی]]</f>
        <v>3993600000</v>
      </c>
      <c r="I47" s="360">
        <f>IF(year=bargiri[[#This Row],[سال]],1,0)</f>
        <v>1</v>
      </c>
      <c r="J47" s="360" t="str">
        <f>VLOOKUP(bargiri[[#This Row],[شماره پیش فاکتور]],invoice[],16,0)</f>
        <v>انجمن</v>
      </c>
      <c r="K47" s="252">
        <f>bargiri[[#This Row],[فی]]*bargiri[[#This Row],[میزان بارگیری شده]]</f>
        <v>3993600000</v>
      </c>
      <c r="X47" s="1"/>
      <c r="Y47" s="1"/>
      <c r="Z47" s="1"/>
    </row>
    <row r="48" spans="1:26" ht="18.600000000000001">
      <c r="A48" s="360" t="s">
        <v>1208</v>
      </c>
      <c r="B48" s="360" t="s">
        <v>122</v>
      </c>
      <c r="C48" s="355" t="s">
        <v>1109</v>
      </c>
      <c r="D48">
        <v>20150</v>
      </c>
      <c r="E48" s="143">
        <v>240000</v>
      </c>
      <c r="F48" s="117">
        <v>1405</v>
      </c>
      <c r="G48" s="360" t="s">
        <v>301</v>
      </c>
      <c r="H48" s="144">
        <f>bargiri[[#This Row],[میزان بارگیری شده]]*bargiri[[#This Row],[فی]]</f>
        <v>4836000000</v>
      </c>
      <c r="I48" s="360">
        <f>IF(year=bargiri[[#This Row],[سال]],1,0)</f>
        <v>1</v>
      </c>
      <c r="J48" s="360" t="str">
        <f>VLOOKUP(bargiri[[#This Row],[شماره پیش فاکتور]],invoice[],16,0)</f>
        <v>انجمن</v>
      </c>
      <c r="K48" s="252">
        <f>bargiri[[#This Row],[فی]]*bargiri[[#This Row],[میزان بارگیری شده]]</f>
        <v>4836000000</v>
      </c>
      <c r="X48" s="1"/>
      <c r="Y48" s="1"/>
      <c r="Z48" s="1"/>
    </row>
    <row r="49" spans="1:26" ht="18.600000000000001">
      <c r="A49" s="360" t="s">
        <v>1208</v>
      </c>
      <c r="B49" s="360" t="s">
        <v>123</v>
      </c>
      <c r="C49" s="355" t="s">
        <v>1035</v>
      </c>
      <c r="D49">
        <v>7350</v>
      </c>
      <c r="E49" s="143">
        <v>240000</v>
      </c>
      <c r="F49" s="117">
        <v>1405</v>
      </c>
      <c r="G49" s="360" t="s">
        <v>301</v>
      </c>
      <c r="H49" s="144">
        <f>bargiri[[#This Row],[میزان بارگیری شده]]*bargiri[[#This Row],[فی]]</f>
        <v>1764000000</v>
      </c>
      <c r="I49" s="360">
        <f>IF(year=bargiri[[#This Row],[سال]],1,0)</f>
        <v>1</v>
      </c>
      <c r="J49" s="360" t="str">
        <f>VLOOKUP(bargiri[[#This Row],[شماره پیش فاکتور]],invoice[],16,0)</f>
        <v>انجمن</v>
      </c>
      <c r="K49" s="252">
        <f>bargiri[[#This Row],[فی]]*bargiri[[#This Row],[میزان بارگیری شده]]</f>
        <v>1764000000</v>
      </c>
      <c r="X49" s="1"/>
      <c r="Y49" s="1"/>
      <c r="Z49" s="1"/>
    </row>
    <row r="50" spans="1:26" ht="18.600000000000001">
      <c r="A50" s="360" t="s">
        <v>1205</v>
      </c>
      <c r="B50" s="360" t="s">
        <v>102</v>
      </c>
      <c r="C50" s="355" t="s">
        <v>1050</v>
      </c>
      <c r="D50">
        <v>7650</v>
      </c>
      <c r="E50" s="143">
        <v>240000</v>
      </c>
      <c r="F50" s="117">
        <v>1405</v>
      </c>
      <c r="G50" s="360" t="s">
        <v>301</v>
      </c>
      <c r="H50" s="144">
        <f>bargiri[[#This Row],[میزان بارگیری شده]]*bargiri[[#This Row],[فی]]</f>
        <v>1836000000</v>
      </c>
      <c r="I50" s="360">
        <f>IF(year=bargiri[[#This Row],[سال]],1,0)</f>
        <v>1</v>
      </c>
      <c r="J50" s="360" t="str">
        <f>VLOOKUP(bargiri[[#This Row],[شماره پیش فاکتور]],invoice[],16,0)</f>
        <v>انجمن</v>
      </c>
      <c r="K50" s="252">
        <f>bargiri[[#This Row],[فی]]*bargiri[[#This Row],[میزان بارگیری شده]]</f>
        <v>1836000000</v>
      </c>
      <c r="X50" s="1"/>
      <c r="Y50" s="1"/>
      <c r="Z50" s="1"/>
    </row>
    <row r="51" spans="1:26" ht="18.600000000000001">
      <c r="A51" s="360" t="s">
        <v>1205</v>
      </c>
      <c r="B51" s="360" t="s">
        <v>113</v>
      </c>
      <c r="C51" s="355" t="s">
        <v>822</v>
      </c>
      <c r="D51">
        <v>20040</v>
      </c>
      <c r="E51" s="143">
        <v>105000</v>
      </c>
      <c r="F51" s="117">
        <v>1405</v>
      </c>
      <c r="G51" s="360" t="s">
        <v>301</v>
      </c>
      <c r="H51" s="144">
        <f>bargiri[[#This Row],[میزان بارگیری شده]]*bargiri[[#This Row],[فی]]</f>
        <v>2104200000</v>
      </c>
      <c r="I51" s="360">
        <f>IF(year=bargiri[[#This Row],[سال]],1,0)</f>
        <v>1</v>
      </c>
      <c r="J51" s="360" t="str">
        <f>VLOOKUP(bargiri[[#This Row],[شماره پیش فاکتور]],invoice[],16,0)</f>
        <v>عادی</v>
      </c>
      <c r="K51" s="252">
        <f>bargiri[[#This Row],[فی]]*bargiri[[#This Row],[میزان بارگیری شده]]</f>
        <v>2104200000</v>
      </c>
      <c r="X51" s="1"/>
      <c r="Y51" s="1"/>
      <c r="Z51" s="1"/>
    </row>
    <row r="52" spans="1:26" ht="18.600000000000001">
      <c r="A52" s="360" t="s">
        <v>1204</v>
      </c>
      <c r="B52" s="360" t="s">
        <v>102</v>
      </c>
      <c r="C52" s="355" t="s">
        <v>1011</v>
      </c>
      <c r="D52">
        <v>11050</v>
      </c>
      <c r="E52" s="143">
        <v>120000</v>
      </c>
      <c r="F52" s="117">
        <v>1405</v>
      </c>
      <c r="G52" s="360" t="s">
        <v>301</v>
      </c>
      <c r="H52" s="144">
        <f>bargiri[[#This Row],[میزان بارگیری شده]]*bargiri[[#This Row],[فی]]</f>
        <v>1326000000</v>
      </c>
      <c r="I52" s="360">
        <f>IF(year=bargiri[[#This Row],[سال]],1,0)</f>
        <v>1</v>
      </c>
      <c r="J52" s="360" t="str">
        <f>VLOOKUP(bargiri[[#This Row],[شماره پیش فاکتور]],invoice[],16,0)</f>
        <v>عادی</v>
      </c>
      <c r="K52" s="252">
        <f>bargiri[[#This Row],[فی]]*bargiri[[#This Row],[میزان بارگیری شده]]</f>
        <v>1326000000</v>
      </c>
      <c r="X52" s="1"/>
      <c r="Y52" s="1"/>
      <c r="Z52" s="1"/>
    </row>
    <row r="53" spans="1:26" ht="18.600000000000001">
      <c r="A53" s="360" t="s">
        <v>1206</v>
      </c>
      <c r="B53" s="360" t="s">
        <v>106</v>
      </c>
      <c r="C53" s="355" t="s">
        <v>958</v>
      </c>
      <c r="D53">
        <v>20620</v>
      </c>
      <c r="E53" s="143">
        <v>125000</v>
      </c>
      <c r="F53" s="117">
        <v>1405</v>
      </c>
      <c r="G53" s="360" t="s">
        <v>301</v>
      </c>
      <c r="H53" s="144">
        <f>bargiri[[#This Row],[میزان بارگیری شده]]*bargiri[[#This Row],[فی]]</f>
        <v>2577500000</v>
      </c>
      <c r="I53" s="360">
        <f>IF(year=bargiri[[#This Row],[سال]],1,0)</f>
        <v>1</v>
      </c>
      <c r="J53" s="360" t="str">
        <f>VLOOKUP(bargiri[[#This Row],[شماره پیش فاکتور]],invoice[],16,0)</f>
        <v>عادی</v>
      </c>
      <c r="K53" s="252">
        <f>bargiri[[#This Row],[فی]]*bargiri[[#This Row],[میزان بارگیری شده]]</f>
        <v>2577500000</v>
      </c>
      <c r="X53" s="1"/>
      <c r="Y53" s="1"/>
      <c r="Z53" s="1"/>
    </row>
    <row r="54" spans="1:26" ht="18.600000000000001">
      <c r="A54" s="360" t="s">
        <v>1140</v>
      </c>
      <c r="B54" s="360" t="s">
        <v>118</v>
      </c>
      <c r="C54" s="355" t="s">
        <v>1193</v>
      </c>
      <c r="D54">
        <v>19990</v>
      </c>
      <c r="E54" s="143">
        <v>154345</v>
      </c>
      <c r="F54" s="117">
        <v>1405</v>
      </c>
      <c r="G54" s="360" t="s">
        <v>301</v>
      </c>
      <c r="H54" s="144">
        <f>bargiri[[#This Row],[میزان بارگیری شده]]*bargiri[[#This Row],[فی]]</f>
        <v>3085356550</v>
      </c>
      <c r="I54" s="360">
        <f>IF(year=bargiri[[#This Row],[سال]],1,0)</f>
        <v>1</v>
      </c>
      <c r="J54" s="360" t="str">
        <f>VLOOKUP(bargiri[[#This Row],[شماره پیش فاکتور]],invoice[],16,0)</f>
        <v>عادی</v>
      </c>
      <c r="K54" s="252">
        <f>bargiri[[#This Row],[فی]]*bargiri[[#This Row],[میزان بارگیری شده]]</f>
        <v>3085356550</v>
      </c>
      <c r="X54" s="1"/>
      <c r="Y54" s="1"/>
      <c r="Z54" s="1"/>
    </row>
    <row r="55" spans="1:26" ht="18.600000000000001">
      <c r="A55" s="360" t="s">
        <v>1140</v>
      </c>
      <c r="B55" s="360" t="s">
        <v>109</v>
      </c>
      <c r="C55" s="355" t="s">
        <v>1036</v>
      </c>
      <c r="D55">
        <v>7130</v>
      </c>
      <c r="E55" s="143">
        <v>240000</v>
      </c>
      <c r="F55" s="117">
        <v>1405</v>
      </c>
      <c r="G55" s="360" t="s">
        <v>301</v>
      </c>
      <c r="H55" s="144">
        <f>bargiri[[#This Row],[میزان بارگیری شده]]*bargiri[[#This Row],[فی]]</f>
        <v>1711200000</v>
      </c>
      <c r="I55" s="360">
        <f>IF(year=bargiri[[#This Row],[سال]],1,0)</f>
        <v>1</v>
      </c>
      <c r="J55" s="360" t="str">
        <f>VLOOKUP(bargiri[[#This Row],[شماره پیش فاکتور]],invoice[],16,0)</f>
        <v>انجمن</v>
      </c>
      <c r="K55" s="252">
        <f>bargiri[[#This Row],[فی]]*bargiri[[#This Row],[میزان بارگیری شده]]</f>
        <v>1711200000</v>
      </c>
      <c r="X55" s="1"/>
      <c r="Y55" s="1"/>
      <c r="Z55" s="1"/>
    </row>
    <row r="56" spans="1:26" ht="18.600000000000001">
      <c r="A56" s="360" t="s">
        <v>1140</v>
      </c>
      <c r="B56" s="360" t="s">
        <v>109</v>
      </c>
      <c r="C56" s="355" t="s">
        <v>1036</v>
      </c>
      <c r="D56">
        <v>7410</v>
      </c>
      <c r="E56" s="143">
        <v>240000</v>
      </c>
      <c r="F56" s="117">
        <v>1405</v>
      </c>
      <c r="G56" s="360" t="s">
        <v>301</v>
      </c>
      <c r="H56" s="144">
        <f>bargiri[[#This Row],[میزان بارگیری شده]]*bargiri[[#This Row],[فی]]</f>
        <v>1778400000</v>
      </c>
      <c r="I56" s="360">
        <f>IF(year=bargiri[[#This Row],[سال]],1,0)</f>
        <v>1</v>
      </c>
      <c r="J56" s="360" t="str">
        <f>VLOOKUP(bargiri[[#This Row],[شماره پیش فاکتور]],invoice[],16,0)</f>
        <v>انجمن</v>
      </c>
      <c r="K56" s="252">
        <f>bargiri[[#This Row],[فی]]*bargiri[[#This Row],[میزان بارگیری شده]]</f>
        <v>1778400000</v>
      </c>
      <c r="X56" s="1"/>
      <c r="Y56" s="1"/>
      <c r="Z56" s="1"/>
    </row>
    <row r="57" spans="1:26" ht="18.600000000000001">
      <c r="A57" s="360" t="s">
        <v>1140</v>
      </c>
      <c r="B57" s="360" t="s">
        <v>113</v>
      </c>
      <c r="C57" s="355" t="s">
        <v>822</v>
      </c>
      <c r="D57">
        <v>20120</v>
      </c>
      <c r="E57" s="143">
        <v>105000</v>
      </c>
      <c r="F57" s="117">
        <v>1405</v>
      </c>
      <c r="G57" s="360" t="s">
        <v>301</v>
      </c>
      <c r="H57" s="144">
        <f>bargiri[[#This Row],[میزان بارگیری شده]]*bargiri[[#This Row],[فی]]</f>
        <v>2112600000</v>
      </c>
      <c r="I57" s="360">
        <f>IF(year=bargiri[[#This Row],[سال]],1,0)</f>
        <v>1</v>
      </c>
      <c r="J57" s="360" t="str">
        <f>VLOOKUP(bargiri[[#This Row],[شماره پیش فاکتور]],invoice[],16,0)</f>
        <v>عادی</v>
      </c>
      <c r="K57" s="252">
        <f>bargiri[[#This Row],[فی]]*bargiri[[#This Row],[میزان بارگیری شده]]</f>
        <v>2112600000</v>
      </c>
      <c r="X57" s="1"/>
      <c r="Y57" s="1"/>
      <c r="Z57" s="1"/>
    </row>
    <row r="58" spans="1:26" ht="18.600000000000001">
      <c r="A58" s="360" t="s">
        <v>1140</v>
      </c>
      <c r="B58" s="360" t="s">
        <v>118</v>
      </c>
      <c r="C58" s="355" t="s">
        <v>1193</v>
      </c>
      <c r="D58">
        <v>19930</v>
      </c>
      <c r="E58" s="143">
        <v>154345</v>
      </c>
      <c r="F58" s="117">
        <v>1405</v>
      </c>
      <c r="G58" s="360" t="s">
        <v>301</v>
      </c>
      <c r="H58" s="144">
        <f>bargiri[[#This Row],[میزان بارگیری شده]]*bargiri[[#This Row],[فی]]</f>
        <v>3076095850</v>
      </c>
      <c r="I58" s="360">
        <f>IF(year=bargiri[[#This Row],[سال]],1,0)</f>
        <v>1</v>
      </c>
      <c r="J58" s="360" t="str">
        <f>VLOOKUP(bargiri[[#This Row],[شماره پیش فاکتور]],invoice[],16,0)</f>
        <v>عادی</v>
      </c>
      <c r="K58" s="252">
        <f>bargiri[[#This Row],[فی]]*bargiri[[#This Row],[میزان بارگیری شده]]</f>
        <v>3076095850</v>
      </c>
      <c r="X58" s="1"/>
      <c r="Y58" s="1"/>
      <c r="Z58" s="1"/>
    </row>
    <row r="59" spans="1:26" ht="18.600000000000001">
      <c r="A59" s="360" t="s">
        <v>1140</v>
      </c>
      <c r="B59" s="360" t="s">
        <v>118</v>
      </c>
      <c r="C59" s="355" t="s">
        <v>1193</v>
      </c>
      <c r="D59">
        <v>20070</v>
      </c>
      <c r="E59" s="143">
        <v>154345</v>
      </c>
      <c r="F59" s="117">
        <v>1405</v>
      </c>
      <c r="G59" s="360" t="s">
        <v>301</v>
      </c>
      <c r="H59" s="144">
        <f>bargiri[[#This Row],[میزان بارگیری شده]]*bargiri[[#This Row],[فی]]</f>
        <v>3097704150</v>
      </c>
      <c r="I59" s="360">
        <f>IF(year=bargiri[[#This Row],[سال]],1,0)</f>
        <v>1</v>
      </c>
      <c r="J59" s="360" t="str">
        <f>VLOOKUP(bargiri[[#This Row],[شماره پیش فاکتور]],invoice[],16,0)</f>
        <v>عادی</v>
      </c>
      <c r="K59" s="252">
        <f>bargiri[[#This Row],[فی]]*bargiri[[#This Row],[میزان بارگیری شده]]</f>
        <v>3097704150</v>
      </c>
      <c r="X59" s="1"/>
      <c r="Y59" s="1"/>
      <c r="Z59" s="1"/>
    </row>
    <row r="60" spans="1:26" ht="18.600000000000001">
      <c r="A60" s="360" t="s">
        <v>1140</v>
      </c>
      <c r="B60" s="360" t="s">
        <v>118</v>
      </c>
      <c r="C60" s="355" t="s">
        <v>1193</v>
      </c>
      <c r="D60">
        <v>19980</v>
      </c>
      <c r="E60" s="143">
        <v>154345</v>
      </c>
      <c r="F60" s="117">
        <v>1405</v>
      </c>
      <c r="G60" s="360" t="s">
        <v>301</v>
      </c>
      <c r="H60" s="144">
        <f>bargiri[[#This Row],[میزان بارگیری شده]]*bargiri[[#This Row],[فی]]</f>
        <v>3083813100</v>
      </c>
      <c r="I60" s="360">
        <f>IF(year=bargiri[[#This Row],[سال]],1,0)</f>
        <v>1</v>
      </c>
      <c r="J60" s="360" t="str">
        <f>VLOOKUP(bargiri[[#This Row],[شماره پیش فاکتور]],invoice[],16,0)</f>
        <v>عادی</v>
      </c>
      <c r="K60" s="252">
        <f>bargiri[[#This Row],[فی]]*bargiri[[#This Row],[میزان بارگیری شده]]</f>
        <v>3083813100</v>
      </c>
      <c r="X60" s="1"/>
      <c r="Y60" s="1"/>
      <c r="Z60" s="1"/>
    </row>
    <row r="61" spans="1:26" ht="18.600000000000001">
      <c r="A61" s="360" t="s">
        <v>1203</v>
      </c>
      <c r="B61" s="360" t="s">
        <v>124</v>
      </c>
      <c r="C61" s="355" t="s">
        <v>1115</v>
      </c>
      <c r="D61">
        <v>19850</v>
      </c>
      <c r="E61" s="143">
        <v>240000</v>
      </c>
      <c r="F61" s="117">
        <v>1405</v>
      </c>
      <c r="G61" s="360" t="s">
        <v>302</v>
      </c>
      <c r="H61" s="144">
        <f>bargiri[[#This Row],[میزان بارگیری شده]]*bargiri[[#This Row],[فی]]</f>
        <v>4764000000</v>
      </c>
      <c r="I61" s="360">
        <f>IF(year=bargiri[[#This Row],[سال]],1,0)</f>
        <v>1</v>
      </c>
      <c r="J61" s="360" t="str">
        <f>VLOOKUP(bargiri[[#This Row],[شماره پیش فاکتور]],invoice[],16,0)</f>
        <v>انجمن</v>
      </c>
      <c r="K61" s="252">
        <f>bargiri[[#This Row],[فی]]*bargiri[[#This Row],[میزان بارگیری شده]]</f>
        <v>4764000000</v>
      </c>
      <c r="X61" s="1"/>
      <c r="Y61" s="1"/>
      <c r="Z61" s="1"/>
    </row>
    <row r="62" spans="1:26" ht="18.600000000000001">
      <c r="A62" s="360" t="s">
        <v>1203</v>
      </c>
      <c r="B62" s="360" t="s">
        <v>114</v>
      </c>
      <c r="C62" s="355" t="s">
        <v>905</v>
      </c>
      <c r="D62">
        <v>20020</v>
      </c>
      <c r="E62" s="143">
        <v>135000</v>
      </c>
      <c r="F62" s="117">
        <v>1405</v>
      </c>
      <c r="G62" s="360" t="s">
        <v>302</v>
      </c>
      <c r="H62" s="144">
        <f>bargiri[[#This Row],[میزان بارگیری شده]]*bargiri[[#This Row],[فی]]</f>
        <v>2702700000</v>
      </c>
      <c r="I62" s="360">
        <f>IF(year=bargiri[[#This Row],[سال]],1,0)</f>
        <v>1</v>
      </c>
      <c r="J62" s="360" t="str">
        <f>VLOOKUP(bargiri[[#This Row],[شماره پیش فاکتور]],invoice[],16,0)</f>
        <v>عادی</v>
      </c>
      <c r="K62" s="252">
        <f>bargiri[[#This Row],[فی]]*bargiri[[#This Row],[میزان بارگیری شده]]</f>
        <v>2702700000</v>
      </c>
      <c r="X62" s="1"/>
      <c r="Y62" s="1"/>
      <c r="Z62" s="1"/>
    </row>
    <row r="63" spans="1:26" ht="18.600000000000001">
      <c r="A63" s="360" t="s">
        <v>1203</v>
      </c>
      <c r="B63" s="360" t="s">
        <v>99</v>
      </c>
      <c r="C63" s="355" t="s">
        <v>821</v>
      </c>
      <c r="D63">
        <v>20070</v>
      </c>
      <c r="E63" s="143">
        <v>105000</v>
      </c>
      <c r="F63" s="117">
        <v>1405</v>
      </c>
      <c r="G63" s="360" t="s">
        <v>302</v>
      </c>
      <c r="H63" s="144">
        <f>bargiri[[#This Row],[میزان بارگیری شده]]*bargiri[[#This Row],[فی]]</f>
        <v>2107350000</v>
      </c>
      <c r="I63" s="360">
        <f>IF(year=bargiri[[#This Row],[سال]],1,0)</f>
        <v>1</v>
      </c>
      <c r="J63" s="360" t="str">
        <f>VLOOKUP(bargiri[[#This Row],[شماره پیش فاکتور]],invoice[],16,0)</f>
        <v>عادی</v>
      </c>
      <c r="K63" s="252">
        <f>bargiri[[#This Row],[فی]]*bargiri[[#This Row],[میزان بارگیری شده]]</f>
        <v>2107350000</v>
      </c>
      <c r="X63" s="1"/>
      <c r="Y63" s="1"/>
      <c r="Z63" s="1"/>
    </row>
    <row r="64" spans="1:26" ht="18.600000000000001">
      <c r="A64" s="360" t="s">
        <v>1203</v>
      </c>
      <c r="B64" s="360" t="s">
        <v>118</v>
      </c>
      <c r="C64" s="355" t="s">
        <v>1193</v>
      </c>
      <c r="D64">
        <v>20060</v>
      </c>
      <c r="E64" s="143">
        <v>154345</v>
      </c>
      <c r="F64" s="117">
        <v>1405</v>
      </c>
      <c r="G64" s="360" t="s">
        <v>302</v>
      </c>
      <c r="H64" s="144">
        <f>bargiri[[#This Row],[میزان بارگیری شده]]*bargiri[[#This Row],[فی]]</f>
        <v>3096160700</v>
      </c>
      <c r="I64" s="360">
        <f>IF(year=bargiri[[#This Row],[سال]],1,0)</f>
        <v>1</v>
      </c>
      <c r="J64" s="360" t="str">
        <f>VLOOKUP(bargiri[[#This Row],[شماره پیش فاکتور]],invoice[],16,0)</f>
        <v>عادی</v>
      </c>
      <c r="K64" s="252">
        <f>bargiri[[#This Row],[فی]]*bargiri[[#This Row],[میزان بارگیری شده]]</f>
        <v>3096160700</v>
      </c>
      <c r="X64" s="1"/>
      <c r="Y64" s="1"/>
      <c r="Z64" s="1"/>
    </row>
    <row r="65" spans="1:26" ht="18.600000000000001">
      <c r="A65" s="360" t="s">
        <v>1203</v>
      </c>
      <c r="B65" s="360" t="s">
        <v>118</v>
      </c>
      <c r="C65" s="355" t="s">
        <v>1193</v>
      </c>
      <c r="D65">
        <v>20050</v>
      </c>
      <c r="E65" s="143">
        <v>154345</v>
      </c>
      <c r="F65" s="117">
        <v>1405</v>
      </c>
      <c r="G65" s="360" t="s">
        <v>302</v>
      </c>
      <c r="H65" s="144">
        <f>bargiri[[#This Row],[میزان بارگیری شده]]*bargiri[[#This Row],[فی]]</f>
        <v>3094617250</v>
      </c>
      <c r="I65" s="360">
        <f>IF(year=bargiri[[#This Row],[سال]],1,0)</f>
        <v>1</v>
      </c>
      <c r="J65" s="360" t="str">
        <f>VLOOKUP(bargiri[[#This Row],[شماره پیش فاکتور]],invoice[],16,0)</f>
        <v>عادی</v>
      </c>
      <c r="K65" s="252">
        <f>bargiri[[#This Row],[فی]]*bargiri[[#This Row],[میزان بارگیری شده]]</f>
        <v>3094617250</v>
      </c>
      <c r="X65" s="1"/>
      <c r="Y65" s="1"/>
      <c r="Z65" s="1"/>
    </row>
    <row r="66" spans="1:26" ht="18.600000000000001">
      <c r="A66" s="360" t="s">
        <v>1203</v>
      </c>
      <c r="B66" s="360" t="s">
        <v>118</v>
      </c>
      <c r="C66" s="355" t="s">
        <v>1193</v>
      </c>
      <c r="D66">
        <v>20170</v>
      </c>
      <c r="E66" s="143">
        <v>154345</v>
      </c>
      <c r="F66" s="117">
        <v>1405</v>
      </c>
      <c r="G66" s="360" t="s">
        <v>302</v>
      </c>
      <c r="H66" s="144">
        <f>bargiri[[#This Row],[میزان بارگیری شده]]*bargiri[[#This Row],[فی]]</f>
        <v>3113138650</v>
      </c>
      <c r="I66" s="360">
        <f>IF(year=bargiri[[#This Row],[سال]],1,0)</f>
        <v>1</v>
      </c>
      <c r="J66" s="360" t="str">
        <f>VLOOKUP(bargiri[[#This Row],[شماره پیش فاکتور]],invoice[],16,0)</f>
        <v>عادی</v>
      </c>
      <c r="K66" s="252">
        <f>bargiri[[#This Row],[فی]]*bargiri[[#This Row],[میزان بارگیری شده]]</f>
        <v>3113138650</v>
      </c>
      <c r="X66" s="1"/>
      <c r="Y66" s="1"/>
      <c r="Z66" s="1"/>
    </row>
    <row r="67" spans="1:26" ht="18.600000000000001">
      <c r="A67" s="360" t="s">
        <v>1203</v>
      </c>
      <c r="B67" s="360" t="s">
        <v>118</v>
      </c>
      <c r="C67" s="355" t="s">
        <v>1193</v>
      </c>
      <c r="D67">
        <v>19980</v>
      </c>
      <c r="E67" s="143">
        <v>154345</v>
      </c>
      <c r="F67" s="117">
        <v>1405</v>
      </c>
      <c r="G67" s="360" t="s">
        <v>302</v>
      </c>
      <c r="H67" s="144">
        <f>bargiri[[#This Row],[میزان بارگیری شده]]*bargiri[[#This Row],[فی]]</f>
        <v>3083813100</v>
      </c>
      <c r="I67" s="360">
        <f>IF(year=bargiri[[#This Row],[سال]],1,0)</f>
        <v>1</v>
      </c>
      <c r="J67" s="360" t="str">
        <f>VLOOKUP(bargiri[[#This Row],[شماره پیش فاکتور]],invoice[],16,0)</f>
        <v>عادی</v>
      </c>
      <c r="K67" s="252">
        <f>bargiri[[#This Row],[فی]]*bargiri[[#This Row],[میزان بارگیری شده]]</f>
        <v>3083813100</v>
      </c>
      <c r="X67" s="1"/>
      <c r="Y67" s="1"/>
      <c r="Z67" s="1"/>
    </row>
    <row r="68" spans="1:26" ht="18.600000000000001">
      <c r="A68" s="360" t="s">
        <v>1202</v>
      </c>
      <c r="B68" s="360" t="s">
        <v>124</v>
      </c>
      <c r="C68" s="355" t="s">
        <v>1115</v>
      </c>
      <c r="D68">
        <v>20050</v>
      </c>
      <c r="E68" s="143">
        <v>240000</v>
      </c>
      <c r="F68" s="117">
        <v>1405</v>
      </c>
      <c r="G68" s="360" t="s">
        <v>302</v>
      </c>
      <c r="H68" s="144">
        <f>bargiri[[#This Row],[میزان بارگیری شده]]*bargiri[[#This Row],[فی]]</f>
        <v>4812000000</v>
      </c>
      <c r="I68" s="360">
        <f>IF(year=bargiri[[#This Row],[سال]],1,0)</f>
        <v>1</v>
      </c>
      <c r="J68" s="360" t="str">
        <f>VLOOKUP(bargiri[[#This Row],[شماره پیش فاکتور]],invoice[],16,0)</f>
        <v>انجمن</v>
      </c>
      <c r="K68" s="252">
        <f>bargiri[[#This Row],[فی]]*bargiri[[#This Row],[میزان بارگیری شده]]</f>
        <v>4812000000</v>
      </c>
      <c r="X68" s="1"/>
      <c r="Y68" s="1"/>
      <c r="Z68" s="1"/>
    </row>
    <row r="69" spans="1:26" ht="18.600000000000001">
      <c r="A69" s="360" t="s">
        <v>1202</v>
      </c>
      <c r="B69" s="360" t="s">
        <v>102</v>
      </c>
      <c r="C69" s="355" t="s">
        <v>832</v>
      </c>
      <c r="D69">
        <v>11060</v>
      </c>
      <c r="E69" s="143">
        <v>108000</v>
      </c>
      <c r="F69" s="117">
        <v>1405</v>
      </c>
      <c r="G69" s="360" t="s">
        <v>302</v>
      </c>
      <c r="H69" s="144">
        <f>bargiri[[#This Row],[میزان بارگیری شده]]*bargiri[[#This Row],[فی]]</f>
        <v>1194480000</v>
      </c>
      <c r="I69" s="360">
        <f>IF(year=bargiri[[#This Row],[سال]],1,0)</f>
        <v>1</v>
      </c>
      <c r="J69" s="360" t="str">
        <f>VLOOKUP(bargiri[[#This Row],[شماره پیش فاکتور]],invoice[],16,0)</f>
        <v>عادی</v>
      </c>
      <c r="K69" s="252">
        <f>bargiri[[#This Row],[فی]]*bargiri[[#This Row],[میزان بارگیری شده]]</f>
        <v>1194480000</v>
      </c>
      <c r="X69" s="1"/>
      <c r="Y69" s="1"/>
      <c r="Z69" s="1"/>
    </row>
    <row r="70" spans="1:26" ht="18.600000000000001">
      <c r="A70" s="360" t="s">
        <v>1202</v>
      </c>
      <c r="B70" s="360" t="s">
        <v>1100</v>
      </c>
      <c r="C70" s="355" t="s">
        <v>1099</v>
      </c>
      <c r="D70">
        <v>10140</v>
      </c>
      <c r="E70" s="143">
        <v>240000</v>
      </c>
      <c r="F70" s="117">
        <v>1405</v>
      </c>
      <c r="G70" s="360" t="s">
        <v>302</v>
      </c>
      <c r="H70" s="144">
        <f>bargiri[[#This Row],[میزان بارگیری شده]]*bargiri[[#This Row],[فی]]</f>
        <v>2433600000</v>
      </c>
      <c r="I70" s="360">
        <f>IF(year=bargiri[[#This Row],[سال]],1,0)</f>
        <v>1</v>
      </c>
      <c r="J70" s="360" t="str">
        <f>VLOOKUP(bargiri[[#This Row],[شماره پیش فاکتور]],invoice[],16,0)</f>
        <v>انجمن</v>
      </c>
      <c r="K70" s="252">
        <f>bargiri[[#This Row],[فی]]*bargiri[[#This Row],[میزان بارگیری شده]]</f>
        <v>2433600000</v>
      </c>
      <c r="X70" s="1"/>
      <c r="Y70" s="1"/>
      <c r="Z70" s="1"/>
    </row>
    <row r="71" spans="1:26" ht="18.600000000000001">
      <c r="A71" s="360" t="s">
        <v>1202</v>
      </c>
      <c r="B71" s="360" t="s">
        <v>125</v>
      </c>
      <c r="C71" s="355" t="s">
        <v>1009</v>
      </c>
      <c r="D71">
        <v>14330</v>
      </c>
      <c r="E71" s="143">
        <v>120000</v>
      </c>
      <c r="F71" s="117">
        <v>1405</v>
      </c>
      <c r="G71" s="360" t="s">
        <v>302</v>
      </c>
      <c r="H71" s="144">
        <f>bargiri[[#This Row],[میزان بارگیری شده]]*bargiri[[#This Row],[فی]]</f>
        <v>1719600000</v>
      </c>
      <c r="I71" s="360">
        <f>IF(year=bargiri[[#This Row],[سال]],1,0)</f>
        <v>1</v>
      </c>
      <c r="J71" s="360" t="str">
        <f>VLOOKUP(bargiri[[#This Row],[شماره پیش فاکتور]],invoice[],16,0)</f>
        <v>عادی</v>
      </c>
      <c r="K71" s="252">
        <f>bargiri[[#This Row],[فی]]*bargiri[[#This Row],[میزان بارگیری شده]]</f>
        <v>1719600000</v>
      </c>
      <c r="X71" s="1"/>
      <c r="Y71" s="1"/>
      <c r="Z71" s="1"/>
    </row>
    <row r="72" spans="1:26" ht="18.600000000000001">
      <c r="A72" s="360" t="s">
        <v>1201</v>
      </c>
      <c r="B72" s="360" t="s">
        <v>113</v>
      </c>
      <c r="C72" s="355" t="s">
        <v>822</v>
      </c>
      <c r="D72">
        <v>20090</v>
      </c>
      <c r="E72" s="143">
        <v>105000</v>
      </c>
      <c r="F72" s="117">
        <v>1405</v>
      </c>
      <c r="G72" s="360" t="s">
        <v>302</v>
      </c>
      <c r="H72" s="144">
        <f>bargiri[[#This Row],[میزان بارگیری شده]]*bargiri[[#This Row],[فی]]</f>
        <v>2109450000</v>
      </c>
      <c r="I72" s="360">
        <f>IF(year=bargiri[[#This Row],[سال]],1,0)</f>
        <v>1</v>
      </c>
      <c r="J72" s="360" t="str">
        <f>VLOOKUP(bargiri[[#This Row],[شماره پیش فاکتور]],invoice[],16,0)</f>
        <v>عادی</v>
      </c>
      <c r="K72" s="252">
        <f>bargiri[[#This Row],[فی]]*bargiri[[#This Row],[میزان بارگیری شده]]</f>
        <v>2109450000</v>
      </c>
      <c r="X72" s="1"/>
      <c r="Y72" s="1"/>
      <c r="Z72" s="1"/>
    </row>
    <row r="73" spans="1:26" ht="18.600000000000001">
      <c r="A73" s="360" t="s">
        <v>1201</v>
      </c>
      <c r="B73" s="360" t="s">
        <v>124</v>
      </c>
      <c r="C73" s="355" t="s">
        <v>1115</v>
      </c>
      <c r="D73">
        <v>20120</v>
      </c>
      <c r="E73" s="143">
        <v>240000</v>
      </c>
      <c r="F73" s="117">
        <v>1405</v>
      </c>
      <c r="G73" s="360" t="s">
        <v>302</v>
      </c>
      <c r="H73" s="144">
        <f>bargiri[[#This Row],[میزان بارگیری شده]]*bargiri[[#This Row],[فی]]</f>
        <v>4828800000</v>
      </c>
      <c r="I73" s="360">
        <f>IF(year=bargiri[[#This Row],[سال]],1,0)</f>
        <v>1</v>
      </c>
      <c r="J73" s="360" t="str">
        <f>VLOOKUP(bargiri[[#This Row],[شماره پیش فاکتور]],invoice[],16,0)</f>
        <v>انجمن</v>
      </c>
      <c r="K73" s="252">
        <f>bargiri[[#This Row],[فی]]*bargiri[[#This Row],[میزان بارگیری شده]]</f>
        <v>4828800000</v>
      </c>
      <c r="X73" s="1"/>
      <c r="Y73" s="1"/>
      <c r="Z73" s="1"/>
    </row>
    <row r="74" spans="1:26" ht="18.600000000000001">
      <c r="A74" s="360" t="s">
        <v>1201</v>
      </c>
      <c r="B74" s="360" t="s">
        <v>114</v>
      </c>
      <c r="C74" s="355" t="s">
        <v>905</v>
      </c>
      <c r="D74">
        <v>19960</v>
      </c>
      <c r="E74" s="143">
        <v>135000</v>
      </c>
      <c r="F74" s="117">
        <v>1405</v>
      </c>
      <c r="G74" s="360" t="s">
        <v>302</v>
      </c>
      <c r="H74" s="144">
        <f>bargiri[[#This Row],[میزان بارگیری شده]]*bargiri[[#This Row],[فی]]</f>
        <v>2694600000</v>
      </c>
      <c r="I74" s="360">
        <f>IF(year=bargiri[[#This Row],[سال]],1,0)</f>
        <v>1</v>
      </c>
      <c r="J74" s="360" t="str">
        <f>VLOOKUP(bargiri[[#This Row],[شماره پیش فاکتور]],invoice[],16,0)</f>
        <v>عادی</v>
      </c>
      <c r="K74" s="252">
        <f>bargiri[[#This Row],[فی]]*bargiri[[#This Row],[میزان بارگیری شده]]</f>
        <v>2694600000</v>
      </c>
      <c r="X74" s="1"/>
      <c r="Y74" s="1"/>
      <c r="Z74" s="1"/>
    </row>
    <row r="75" spans="1:26" ht="18.600000000000001">
      <c r="A75" s="360" t="s">
        <v>1201</v>
      </c>
      <c r="B75" s="360" t="s">
        <v>106</v>
      </c>
      <c r="C75" s="355" t="s">
        <v>958</v>
      </c>
      <c r="D75">
        <v>22490</v>
      </c>
      <c r="E75" s="143">
        <v>125000</v>
      </c>
      <c r="F75" s="117">
        <v>1405</v>
      </c>
      <c r="G75" s="360" t="s">
        <v>302</v>
      </c>
      <c r="H75" s="144">
        <f>bargiri[[#This Row],[میزان بارگیری شده]]*bargiri[[#This Row],[فی]]</f>
        <v>2811250000</v>
      </c>
      <c r="I75" s="360">
        <f>IF(year=bargiri[[#This Row],[سال]],1,0)</f>
        <v>1</v>
      </c>
      <c r="J75" s="360" t="str">
        <f>VLOOKUP(bargiri[[#This Row],[شماره پیش فاکتور]],invoice[],16,0)</f>
        <v>عادی</v>
      </c>
      <c r="K75" s="252">
        <f>bargiri[[#This Row],[فی]]*bargiri[[#This Row],[میزان بارگیری شده]]</f>
        <v>2811250000</v>
      </c>
      <c r="X75" s="1"/>
      <c r="Y75" s="1"/>
      <c r="Z75" s="1"/>
    </row>
    <row r="76" spans="1:26" ht="18.600000000000001">
      <c r="A76" s="360" t="s">
        <v>1201</v>
      </c>
      <c r="B76" s="360" t="s">
        <v>123</v>
      </c>
      <c r="C76" s="355" t="s">
        <v>1035</v>
      </c>
      <c r="D76">
        <v>7410</v>
      </c>
      <c r="E76" s="143">
        <v>240000</v>
      </c>
      <c r="F76" s="117">
        <v>1405</v>
      </c>
      <c r="G76" s="360" t="s">
        <v>302</v>
      </c>
      <c r="H76" s="144">
        <f>bargiri[[#This Row],[میزان بارگیری شده]]*bargiri[[#This Row],[فی]]</f>
        <v>1778400000</v>
      </c>
      <c r="I76" s="360">
        <f>IF(year=bargiri[[#This Row],[سال]],1,0)</f>
        <v>1</v>
      </c>
      <c r="J76" s="360" t="str">
        <f>VLOOKUP(bargiri[[#This Row],[شماره پیش فاکتور]],invoice[],16,0)</f>
        <v>انجمن</v>
      </c>
      <c r="K76" s="252">
        <f>bargiri[[#This Row],[فی]]*bargiri[[#This Row],[میزان بارگیری شده]]</f>
        <v>1778400000</v>
      </c>
      <c r="X76" s="1"/>
      <c r="Y76" s="1"/>
      <c r="Z76" s="1"/>
    </row>
    <row r="77" spans="1:26" ht="18.600000000000001">
      <c r="A77" s="360" t="s">
        <v>1199</v>
      </c>
      <c r="B77" s="360" t="s">
        <v>116</v>
      </c>
      <c r="C77" s="355" t="s">
        <v>1119</v>
      </c>
      <c r="D77">
        <v>19930</v>
      </c>
      <c r="E77" s="143">
        <v>240000</v>
      </c>
      <c r="F77" s="117">
        <v>1405</v>
      </c>
      <c r="G77" s="360" t="s">
        <v>302</v>
      </c>
      <c r="H77" s="144">
        <f>bargiri[[#This Row],[میزان بارگیری شده]]*bargiri[[#This Row],[فی]]</f>
        <v>4783200000</v>
      </c>
      <c r="I77" s="360">
        <f>IF(year=bargiri[[#This Row],[سال]],1,0)</f>
        <v>1</v>
      </c>
      <c r="J77" s="360" t="str">
        <f>VLOOKUP(bargiri[[#This Row],[شماره پیش فاکتور]],invoice[],16,0)</f>
        <v>بورس</v>
      </c>
      <c r="K77" s="252">
        <f>bargiri[[#This Row],[فی]]*bargiri[[#This Row],[میزان بارگیری شده]]</f>
        <v>4783200000</v>
      </c>
      <c r="X77" s="1"/>
      <c r="Y77" s="1"/>
      <c r="Z77" s="1"/>
    </row>
    <row r="78" spans="1:26" ht="18.600000000000001">
      <c r="A78" s="360" t="s">
        <v>1199</v>
      </c>
      <c r="B78" s="360" t="s">
        <v>114</v>
      </c>
      <c r="C78" s="355" t="s">
        <v>905</v>
      </c>
      <c r="D78">
        <v>22030</v>
      </c>
      <c r="E78" s="143">
        <v>135000</v>
      </c>
      <c r="F78" s="117">
        <v>1405</v>
      </c>
      <c r="G78" s="360" t="s">
        <v>302</v>
      </c>
      <c r="H78" s="144">
        <f>bargiri[[#This Row],[میزان بارگیری شده]]*bargiri[[#This Row],[فی]]</f>
        <v>2974050000</v>
      </c>
      <c r="I78" s="360">
        <f>IF(year=bargiri[[#This Row],[سال]],1,0)</f>
        <v>1</v>
      </c>
      <c r="J78" s="360" t="str">
        <f>VLOOKUP(bargiri[[#This Row],[شماره پیش فاکتور]],invoice[],16,0)</f>
        <v>عادی</v>
      </c>
      <c r="K78" s="252">
        <f>bargiri[[#This Row],[فی]]*bargiri[[#This Row],[میزان بارگیری شده]]</f>
        <v>2974050000</v>
      </c>
      <c r="X78" s="1"/>
      <c r="Y78" s="1"/>
      <c r="Z78" s="1"/>
    </row>
    <row r="79" spans="1:26" ht="18.600000000000001">
      <c r="A79" s="360" t="s">
        <v>1200</v>
      </c>
      <c r="B79" s="360" t="s">
        <v>114</v>
      </c>
      <c r="C79" s="355" t="s">
        <v>905</v>
      </c>
      <c r="D79">
        <v>19880</v>
      </c>
      <c r="E79" s="143">
        <v>135000</v>
      </c>
      <c r="F79" s="117">
        <v>1405</v>
      </c>
      <c r="G79" s="360" t="s">
        <v>302</v>
      </c>
      <c r="H79" s="144">
        <f>bargiri[[#This Row],[میزان بارگیری شده]]*bargiri[[#This Row],[فی]]</f>
        <v>2683800000</v>
      </c>
      <c r="I79" s="360">
        <f>IF(year=bargiri[[#This Row],[سال]],1,0)</f>
        <v>1</v>
      </c>
      <c r="J79" s="360" t="str">
        <f>VLOOKUP(bargiri[[#This Row],[شماره پیش فاکتور]],invoice[],16,0)</f>
        <v>عادی</v>
      </c>
      <c r="K79" s="252">
        <f>bargiri[[#This Row],[فی]]*bargiri[[#This Row],[میزان بارگیری شده]]</f>
        <v>2683800000</v>
      </c>
      <c r="X79" s="1"/>
      <c r="Y79" s="1"/>
      <c r="Z79" s="1"/>
    </row>
    <row r="80" spans="1:26" ht="18.600000000000001">
      <c r="A80" s="360" t="s">
        <v>1200</v>
      </c>
      <c r="B80" s="360" t="s">
        <v>117</v>
      </c>
      <c r="C80" s="355" t="s">
        <v>1107</v>
      </c>
      <c r="D80">
        <v>19980</v>
      </c>
      <c r="E80" s="143">
        <v>240000</v>
      </c>
      <c r="F80" s="117">
        <v>1405</v>
      </c>
      <c r="G80" s="360" t="s">
        <v>302</v>
      </c>
      <c r="H80" s="144">
        <f>bargiri[[#This Row],[میزان بارگیری شده]]*bargiri[[#This Row],[فی]]</f>
        <v>4795200000</v>
      </c>
      <c r="I80" s="360">
        <f>IF(year=bargiri[[#This Row],[سال]],1,0)</f>
        <v>1</v>
      </c>
      <c r="J80" s="360" t="str">
        <f>VLOOKUP(bargiri[[#This Row],[شماره پیش فاکتور]],invoice[],16,0)</f>
        <v>انجمن</v>
      </c>
      <c r="K80" s="252">
        <f>bargiri[[#This Row],[فی]]*bargiri[[#This Row],[میزان بارگیری شده]]</f>
        <v>4795200000</v>
      </c>
      <c r="X80" s="1"/>
      <c r="Y80" s="1"/>
      <c r="Z80" s="1"/>
    </row>
    <row r="81" spans="1:26" ht="18.600000000000001">
      <c r="A81" s="360" t="s">
        <v>1200</v>
      </c>
      <c r="B81" s="360" t="s">
        <v>118</v>
      </c>
      <c r="C81" s="355" t="s">
        <v>1193</v>
      </c>
      <c r="D81">
        <v>20060</v>
      </c>
      <c r="E81" s="143">
        <v>154345</v>
      </c>
      <c r="F81" s="117">
        <v>1405</v>
      </c>
      <c r="G81" s="360" t="s">
        <v>302</v>
      </c>
      <c r="H81" s="144">
        <f>bargiri[[#This Row],[میزان بارگیری شده]]*bargiri[[#This Row],[فی]]</f>
        <v>3096160700</v>
      </c>
      <c r="I81" s="360">
        <f>IF(year=bargiri[[#This Row],[سال]],1,0)</f>
        <v>1</v>
      </c>
      <c r="J81" s="360" t="str">
        <f>VLOOKUP(bargiri[[#This Row],[شماره پیش فاکتور]],invoice[],16,0)</f>
        <v>عادی</v>
      </c>
      <c r="K81" s="252">
        <f>bargiri[[#This Row],[فی]]*bargiri[[#This Row],[میزان بارگیری شده]]</f>
        <v>3096160700</v>
      </c>
      <c r="X81" s="1"/>
      <c r="Y81" s="1"/>
      <c r="Z81" s="1"/>
    </row>
    <row r="82" spans="1:26" ht="18.600000000000001">
      <c r="A82" s="360" t="s">
        <v>1200</v>
      </c>
      <c r="B82" s="360" t="s">
        <v>118</v>
      </c>
      <c r="C82" s="355" t="s">
        <v>1193</v>
      </c>
      <c r="D82">
        <v>20090</v>
      </c>
      <c r="E82" s="143">
        <v>154345</v>
      </c>
      <c r="F82" s="117">
        <v>1405</v>
      </c>
      <c r="G82" s="360" t="s">
        <v>302</v>
      </c>
      <c r="H82" s="144">
        <f>bargiri[[#This Row],[میزان بارگیری شده]]*bargiri[[#This Row],[فی]]</f>
        <v>3100791050</v>
      </c>
      <c r="I82" s="360">
        <f>IF(year=bargiri[[#This Row],[سال]],1,0)</f>
        <v>1</v>
      </c>
      <c r="J82" s="360" t="str">
        <f>VLOOKUP(bargiri[[#This Row],[شماره پیش فاکتور]],invoice[],16,0)</f>
        <v>عادی</v>
      </c>
      <c r="K82" s="252">
        <f>bargiri[[#This Row],[فی]]*bargiri[[#This Row],[میزان بارگیری شده]]</f>
        <v>3100791050</v>
      </c>
      <c r="X82" s="1"/>
      <c r="Y82" s="1"/>
      <c r="Z82" s="1"/>
    </row>
    <row r="83" spans="1:26" ht="18.600000000000001">
      <c r="A83" s="360" t="s">
        <v>1200</v>
      </c>
      <c r="B83" s="360" t="s">
        <v>118</v>
      </c>
      <c r="C83" s="355" t="s">
        <v>1193</v>
      </c>
      <c r="D83">
        <v>19910</v>
      </c>
      <c r="E83" s="143">
        <v>154345</v>
      </c>
      <c r="F83" s="117">
        <v>1405</v>
      </c>
      <c r="G83" s="360" t="s">
        <v>302</v>
      </c>
      <c r="H83" s="144">
        <f>bargiri[[#This Row],[میزان بارگیری شده]]*bargiri[[#This Row],[فی]]</f>
        <v>3073008950</v>
      </c>
      <c r="I83" s="360">
        <f>IF(year=bargiri[[#This Row],[سال]],1,0)</f>
        <v>1</v>
      </c>
      <c r="J83" s="360" t="str">
        <f>VLOOKUP(bargiri[[#This Row],[شماره پیش فاکتور]],invoice[],16,0)</f>
        <v>عادی</v>
      </c>
      <c r="K83" s="252">
        <f>bargiri[[#This Row],[فی]]*bargiri[[#This Row],[میزان بارگیری شده]]</f>
        <v>3073008950</v>
      </c>
      <c r="X83" s="1"/>
      <c r="Y83" s="1"/>
      <c r="Z83" s="1"/>
    </row>
    <row r="84" spans="1:26" ht="18.600000000000001">
      <c r="A84" s="360" t="s">
        <v>1200</v>
      </c>
      <c r="B84" s="360" t="s">
        <v>118</v>
      </c>
      <c r="C84" s="355" t="s">
        <v>1193</v>
      </c>
      <c r="D84">
        <v>20030</v>
      </c>
      <c r="E84" s="143">
        <v>154345</v>
      </c>
      <c r="F84" s="117">
        <v>1405</v>
      </c>
      <c r="G84" s="360" t="s">
        <v>302</v>
      </c>
      <c r="H84" s="144">
        <f>bargiri[[#This Row],[میزان بارگیری شده]]*bargiri[[#This Row],[فی]]</f>
        <v>3091530350</v>
      </c>
      <c r="I84" s="360">
        <f>IF(year=bargiri[[#This Row],[سال]],1,0)</f>
        <v>1</v>
      </c>
      <c r="J84" s="360" t="str">
        <f>VLOOKUP(bargiri[[#This Row],[شماره پیش فاکتور]],invoice[],16,0)</f>
        <v>عادی</v>
      </c>
      <c r="K84" s="252">
        <f>bargiri[[#This Row],[فی]]*bargiri[[#This Row],[میزان بارگیری شده]]</f>
        <v>3091530350</v>
      </c>
      <c r="X84" s="1"/>
      <c r="Y84" s="1"/>
      <c r="Z84" s="1"/>
    </row>
    <row r="85" spans="1:26" ht="18.600000000000001">
      <c r="A85" s="360" t="s">
        <v>1200</v>
      </c>
      <c r="B85" s="360" t="s">
        <v>118</v>
      </c>
      <c r="C85" s="355" t="s">
        <v>1193</v>
      </c>
      <c r="D85">
        <v>20250</v>
      </c>
      <c r="E85" s="143">
        <v>154345</v>
      </c>
      <c r="F85" s="117">
        <v>1405</v>
      </c>
      <c r="G85" s="360" t="s">
        <v>302</v>
      </c>
      <c r="H85" s="144">
        <f>bargiri[[#This Row],[میزان بارگیری شده]]*bargiri[[#This Row],[فی]]</f>
        <v>3125486250</v>
      </c>
      <c r="I85" s="360">
        <f>IF(year=bargiri[[#This Row],[سال]],1,0)</f>
        <v>1</v>
      </c>
      <c r="J85" s="360" t="str">
        <f>VLOOKUP(bargiri[[#This Row],[شماره پیش فاکتور]],invoice[],16,0)</f>
        <v>عادی</v>
      </c>
      <c r="K85" s="252">
        <f>bargiri[[#This Row],[فی]]*bargiri[[#This Row],[میزان بارگیری شده]]</f>
        <v>3125486250</v>
      </c>
      <c r="X85" s="1"/>
      <c r="Y85" s="1"/>
      <c r="Z85" s="1"/>
    </row>
    <row r="86" spans="1:26" ht="18.600000000000001">
      <c r="A86" s="360" t="s">
        <v>1200</v>
      </c>
      <c r="B86" s="360" t="s">
        <v>118</v>
      </c>
      <c r="C86" s="355" t="s">
        <v>1193</v>
      </c>
      <c r="D86">
        <v>20310</v>
      </c>
      <c r="E86" s="143">
        <v>154345</v>
      </c>
      <c r="F86" s="117">
        <v>1405</v>
      </c>
      <c r="G86" s="360" t="s">
        <v>302</v>
      </c>
      <c r="H86" s="144">
        <f>bargiri[[#This Row],[میزان بارگیری شده]]*bargiri[[#This Row],[فی]]</f>
        <v>3134746950</v>
      </c>
      <c r="I86" s="360">
        <f>IF(year=bargiri[[#This Row],[سال]],1,0)</f>
        <v>1</v>
      </c>
      <c r="J86" s="360" t="str">
        <f>VLOOKUP(bargiri[[#This Row],[شماره پیش فاکتور]],invoice[],16,0)</f>
        <v>عادی</v>
      </c>
      <c r="K86" s="252">
        <f>bargiri[[#This Row],[فی]]*bargiri[[#This Row],[میزان بارگیری شده]]</f>
        <v>3134746950</v>
      </c>
      <c r="X86" s="1"/>
      <c r="Y86" s="1"/>
      <c r="Z86" s="1"/>
    </row>
    <row r="87" spans="1:26" ht="18.600000000000001">
      <c r="A87" s="360" t="s">
        <v>1195</v>
      </c>
      <c r="B87" s="360" t="s">
        <v>118</v>
      </c>
      <c r="C87" s="355" t="s">
        <v>1193</v>
      </c>
      <c r="D87">
        <v>20260</v>
      </c>
      <c r="E87" s="143">
        <v>154345</v>
      </c>
      <c r="F87" s="117">
        <v>1405</v>
      </c>
      <c r="G87" s="360" t="s">
        <v>302</v>
      </c>
      <c r="H87" s="144">
        <f>bargiri[[#This Row],[میزان بارگیری شده]]*bargiri[[#This Row],[فی]]</f>
        <v>3127029700</v>
      </c>
      <c r="I87" s="360">
        <f>IF(year=bargiri[[#This Row],[سال]],1,0)</f>
        <v>1</v>
      </c>
      <c r="J87" s="360" t="str">
        <f>VLOOKUP(bargiri[[#This Row],[شماره پیش فاکتور]],invoice[],16,0)</f>
        <v>عادی</v>
      </c>
      <c r="K87" s="252">
        <f>bargiri[[#This Row],[فی]]*bargiri[[#This Row],[میزان بارگیری شده]]</f>
        <v>3127029700</v>
      </c>
      <c r="X87" s="1"/>
      <c r="Y87" s="1"/>
      <c r="Z87" s="1"/>
    </row>
    <row r="88" spans="1:26" ht="18.600000000000001">
      <c r="A88" s="360" t="s">
        <v>1195</v>
      </c>
      <c r="B88" s="360" t="s">
        <v>118</v>
      </c>
      <c r="C88" s="355" t="s">
        <v>1193</v>
      </c>
      <c r="D88">
        <v>19900</v>
      </c>
      <c r="E88" s="143">
        <v>154345</v>
      </c>
      <c r="F88" s="117">
        <v>1405</v>
      </c>
      <c r="G88" s="360" t="s">
        <v>302</v>
      </c>
      <c r="H88" s="144">
        <f>bargiri[[#This Row],[میزان بارگیری شده]]*bargiri[[#This Row],[فی]]</f>
        <v>3071465500</v>
      </c>
      <c r="I88" s="360">
        <f>IF(year=bargiri[[#This Row],[سال]],1,0)</f>
        <v>1</v>
      </c>
      <c r="J88" s="360" t="str">
        <f>VLOOKUP(bargiri[[#This Row],[شماره پیش فاکتور]],invoice[],16,0)</f>
        <v>عادی</v>
      </c>
      <c r="K88" s="252">
        <f>bargiri[[#This Row],[فی]]*bargiri[[#This Row],[میزان بارگیری شده]]</f>
        <v>3071465500</v>
      </c>
      <c r="X88" s="1"/>
      <c r="Y88" s="1"/>
      <c r="Z88" s="1"/>
    </row>
    <row r="89" spans="1:26" ht="18.600000000000001">
      <c r="A89" s="360" t="s">
        <v>1195</v>
      </c>
      <c r="B89" s="360" t="s">
        <v>118</v>
      </c>
      <c r="C89" s="355" t="s">
        <v>1193</v>
      </c>
      <c r="D89">
        <v>20100</v>
      </c>
      <c r="E89" s="143">
        <v>154345</v>
      </c>
      <c r="F89" s="117">
        <v>1405</v>
      </c>
      <c r="G89" s="360" t="s">
        <v>302</v>
      </c>
      <c r="H89" s="144">
        <f>bargiri[[#This Row],[میزان بارگیری شده]]*bargiri[[#This Row],[فی]]</f>
        <v>3102334500</v>
      </c>
      <c r="I89" s="360">
        <f>IF(year=bargiri[[#This Row],[سال]],1,0)</f>
        <v>1</v>
      </c>
      <c r="J89" s="360" t="str">
        <f>VLOOKUP(bargiri[[#This Row],[شماره پیش فاکتور]],invoice[],16,0)</f>
        <v>عادی</v>
      </c>
      <c r="K89" s="252">
        <f>bargiri[[#This Row],[فی]]*bargiri[[#This Row],[میزان بارگیری شده]]</f>
        <v>3102334500</v>
      </c>
      <c r="X89" s="1"/>
      <c r="Y89" s="1"/>
      <c r="Z89" s="1"/>
    </row>
    <row r="90" spans="1:26" ht="18.600000000000001">
      <c r="A90" s="360" t="s">
        <v>1195</v>
      </c>
      <c r="B90" s="360" t="s">
        <v>118</v>
      </c>
      <c r="C90" s="355" t="s">
        <v>1193</v>
      </c>
      <c r="D90">
        <v>20180</v>
      </c>
      <c r="E90" s="143">
        <v>154345</v>
      </c>
      <c r="F90" s="117">
        <v>1405</v>
      </c>
      <c r="G90" s="360" t="s">
        <v>302</v>
      </c>
      <c r="H90" s="144">
        <f>bargiri[[#This Row],[میزان بارگیری شده]]*bargiri[[#This Row],[فی]]</f>
        <v>3114682100</v>
      </c>
      <c r="I90" s="360">
        <f>IF(year=bargiri[[#This Row],[سال]],1,0)</f>
        <v>1</v>
      </c>
      <c r="J90" s="360" t="str">
        <f>VLOOKUP(bargiri[[#This Row],[شماره پیش فاکتور]],invoice[],16,0)</f>
        <v>عادی</v>
      </c>
      <c r="K90" s="252">
        <f>bargiri[[#This Row],[فی]]*bargiri[[#This Row],[میزان بارگیری شده]]</f>
        <v>3114682100</v>
      </c>
      <c r="X90" s="1"/>
      <c r="Y90" s="1"/>
      <c r="Z90" s="1"/>
    </row>
    <row r="91" spans="1:26" ht="18.600000000000001">
      <c r="A91" s="360" t="s">
        <v>1195</v>
      </c>
      <c r="B91" s="360" t="s">
        <v>118</v>
      </c>
      <c r="C91" s="355" t="s">
        <v>1193</v>
      </c>
      <c r="D91">
        <v>20210</v>
      </c>
      <c r="E91" s="143">
        <v>154345</v>
      </c>
      <c r="F91" s="117">
        <v>1405</v>
      </c>
      <c r="G91" s="360" t="s">
        <v>302</v>
      </c>
      <c r="H91" s="144">
        <f>bargiri[[#This Row],[میزان بارگیری شده]]*bargiri[[#This Row],[فی]]</f>
        <v>3119312450</v>
      </c>
      <c r="I91" s="360">
        <f>IF(year=bargiri[[#This Row],[سال]],1,0)</f>
        <v>1</v>
      </c>
      <c r="J91" s="360" t="str">
        <f>VLOOKUP(bargiri[[#This Row],[شماره پیش فاکتور]],invoice[],16,0)</f>
        <v>عادی</v>
      </c>
      <c r="K91" s="252">
        <f>bargiri[[#This Row],[فی]]*bargiri[[#This Row],[میزان بارگیری شده]]</f>
        <v>3119312450</v>
      </c>
      <c r="X91" s="1"/>
      <c r="Y91" s="1"/>
      <c r="Z91" s="1"/>
    </row>
    <row r="92" spans="1:26" ht="18.600000000000001">
      <c r="A92" s="360" t="s">
        <v>1195</v>
      </c>
      <c r="B92" s="360" t="s">
        <v>118</v>
      </c>
      <c r="C92" s="355" t="s">
        <v>1193</v>
      </c>
      <c r="D92">
        <v>19980</v>
      </c>
      <c r="E92" s="143">
        <v>154345</v>
      </c>
      <c r="F92" s="117">
        <v>1405</v>
      </c>
      <c r="G92" s="360" t="s">
        <v>302</v>
      </c>
      <c r="H92" s="144">
        <f>bargiri[[#This Row],[میزان بارگیری شده]]*bargiri[[#This Row],[فی]]</f>
        <v>3083813100</v>
      </c>
      <c r="I92" s="360">
        <f>IF(year=bargiri[[#This Row],[سال]],1,0)</f>
        <v>1</v>
      </c>
      <c r="J92" s="360" t="str">
        <f>VLOOKUP(bargiri[[#This Row],[شماره پیش فاکتور]],invoice[],16,0)</f>
        <v>عادی</v>
      </c>
      <c r="K92" s="252">
        <f>bargiri[[#This Row],[فی]]*bargiri[[#This Row],[میزان بارگیری شده]]</f>
        <v>3083813100</v>
      </c>
      <c r="X92" s="1"/>
      <c r="Y92" s="1"/>
      <c r="Z92" s="1"/>
    </row>
    <row r="93" spans="1:26" ht="18.600000000000001">
      <c r="A93" s="360" t="s">
        <v>1195</v>
      </c>
      <c r="B93" s="360" t="s">
        <v>118</v>
      </c>
      <c r="C93" s="355" t="s">
        <v>1193</v>
      </c>
      <c r="D93">
        <v>20090</v>
      </c>
      <c r="E93" s="143">
        <v>154345</v>
      </c>
      <c r="F93" s="117">
        <v>1405</v>
      </c>
      <c r="G93" s="360" t="s">
        <v>302</v>
      </c>
      <c r="H93" s="144">
        <f>bargiri[[#This Row],[میزان بارگیری شده]]*bargiri[[#This Row],[فی]]</f>
        <v>3100791050</v>
      </c>
      <c r="I93" s="360">
        <f>IF(year=bargiri[[#This Row],[سال]],1,0)</f>
        <v>1</v>
      </c>
      <c r="J93" s="360" t="str">
        <f>VLOOKUP(bargiri[[#This Row],[شماره پیش فاکتور]],invoice[],16,0)</f>
        <v>عادی</v>
      </c>
      <c r="K93" s="252">
        <f>bargiri[[#This Row],[فی]]*bargiri[[#This Row],[میزان بارگیری شده]]</f>
        <v>3100791050</v>
      </c>
      <c r="X93" s="1"/>
      <c r="Y93" s="1"/>
      <c r="Z93" s="1"/>
    </row>
    <row r="94" spans="1:26" ht="18.600000000000001">
      <c r="A94" s="360" t="s">
        <v>1194</v>
      </c>
      <c r="B94" s="360" t="s">
        <v>118</v>
      </c>
      <c r="C94" s="355" t="s">
        <v>1193</v>
      </c>
      <c r="D94">
        <v>20880</v>
      </c>
      <c r="E94" s="143">
        <v>154345</v>
      </c>
      <c r="F94" s="117">
        <v>1405</v>
      </c>
      <c r="G94" s="360" t="s">
        <v>302</v>
      </c>
      <c r="H94" s="144">
        <f>bargiri[[#This Row],[میزان بارگیری شده]]*bargiri[[#This Row],[فی]]</f>
        <v>3222723600</v>
      </c>
      <c r="I94" s="360">
        <f>IF(year=bargiri[[#This Row],[سال]],1,0)</f>
        <v>1</v>
      </c>
      <c r="J94" s="360" t="str">
        <f>VLOOKUP(bargiri[[#This Row],[شماره پیش فاکتور]],invoice[],16,0)</f>
        <v>عادی</v>
      </c>
      <c r="K94" s="252">
        <f>bargiri[[#This Row],[فی]]*bargiri[[#This Row],[میزان بارگیری شده]]</f>
        <v>3222723600</v>
      </c>
      <c r="X94" s="1"/>
      <c r="Y94" s="1"/>
      <c r="Z94" s="1"/>
    </row>
    <row r="95" spans="1:26" ht="18.600000000000001">
      <c r="A95" s="360" t="s">
        <v>1194</v>
      </c>
      <c r="B95" s="360" t="s">
        <v>118</v>
      </c>
      <c r="C95" s="355" t="s">
        <v>1193</v>
      </c>
      <c r="D95">
        <v>20620</v>
      </c>
      <c r="E95" s="143">
        <v>154345</v>
      </c>
      <c r="F95" s="117">
        <v>1405</v>
      </c>
      <c r="G95" s="360" t="s">
        <v>302</v>
      </c>
      <c r="H95" s="144">
        <f>bargiri[[#This Row],[میزان بارگیری شده]]*bargiri[[#This Row],[فی]]</f>
        <v>3182593900</v>
      </c>
      <c r="I95" s="360">
        <f>IF(year=bargiri[[#This Row],[سال]],1,0)</f>
        <v>1</v>
      </c>
      <c r="J95" s="360" t="str">
        <f>VLOOKUP(bargiri[[#This Row],[شماره پیش فاکتور]],invoice[],16,0)</f>
        <v>عادی</v>
      </c>
      <c r="K95" s="252">
        <f>bargiri[[#This Row],[فی]]*bargiri[[#This Row],[میزان بارگیری شده]]</f>
        <v>3182593900</v>
      </c>
      <c r="X95" s="1"/>
      <c r="Y95" s="1"/>
      <c r="Z95" s="1"/>
    </row>
    <row r="96" spans="1:26" ht="18.600000000000001">
      <c r="A96" s="360" t="s">
        <v>1194</v>
      </c>
      <c r="B96" s="360" t="s">
        <v>118</v>
      </c>
      <c r="C96" s="355" t="s">
        <v>1164</v>
      </c>
      <c r="D96">
        <v>3100</v>
      </c>
      <c r="E96" s="143">
        <v>140958</v>
      </c>
      <c r="F96" s="117">
        <v>1405</v>
      </c>
      <c r="G96" s="360" t="s">
        <v>302</v>
      </c>
      <c r="H96" s="144">
        <f>bargiri[[#This Row],[میزان بارگیری شده]]*bargiri[[#This Row],[فی]]</f>
        <v>436969800</v>
      </c>
      <c r="I96" s="360">
        <f>IF(year=bargiri[[#This Row],[سال]],1,0)</f>
        <v>1</v>
      </c>
      <c r="J96" s="360" t="str">
        <f>VLOOKUP(bargiri[[#This Row],[شماره پیش فاکتور]],invoice[],16,0)</f>
        <v>عادی</v>
      </c>
      <c r="K96" s="252">
        <f>bargiri[[#This Row],[فی]]*bargiri[[#This Row],[میزان بارگیری شده]]</f>
        <v>436969800</v>
      </c>
      <c r="X96" s="1"/>
      <c r="Y96" s="1"/>
      <c r="Z96" s="1"/>
    </row>
    <row r="97" spans="1:26" ht="18.600000000000001">
      <c r="A97" s="360" t="s">
        <v>1194</v>
      </c>
      <c r="B97" s="360" t="s">
        <v>118</v>
      </c>
      <c r="C97" s="355" t="s">
        <v>1193</v>
      </c>
      <c r="D97">
        <v>17250</v>
      </c>
      <c r="E97" s="143">
        <v>154345</v>
      </c>
      <c r="F97" s="117">
        <v>1405</v>
      </c>
      <c r="G97" s="360" t="s">
        <v>302</v>
      </c>
      <c r="H97" s="144">
        <f>bargiri[[#This Row],[میزان بارگیری شده]]*bargiri[[#This Row],[فی]]</f>
        <v>2662451250</v>
      </c>
      <c r="I97" s="360">
        <f>IF(year=bargiri[[#This Row],[سال]],1,0)</f>
        <v>1</v>
      </c>
      <c r="J97" s="360" t="str">
        <f>VLOOKUP(bargiri[[#This Row],[شماره پیش فاکتور]],invoice[],16,0)</f>
        <v>عادی</v>
      </c>
      <c r="K97" s="252">
        <f>bargiri[[#This Row],[فی]]*bargiri[[#This Row],[میزان بارگیری شده]]</f>
        <v>2662451250</v>
      </c>
      <c r="X97" s="1"/>
      <c r="Y97" s="1"/>
      <c r="Z97" s="1"/>
    </row>
    <row r="98" spans="1:26" ht="18.600000000000001">
      <c r="A98" s="360" t="s">
        <v>1195</v>
      </c>
      <c r="B98" s="360" t="s">
        <v>125</v>
      </c>
      <c r="C98" s="355" t="s">
        <v>1009</v>
      </c>
      <c r="D98">
        <v>14110</v>
      </c>
      <c r="E98" s="143">
        <v>120000</v>
      </c>
      <c r="F98" s="117">
        <v>1405</v>
      </c>
      <c r="G98" s="360" t="s">
        <v>302</v>
      </c>
      <c r="H98" s="144">
        <f>bargiri[[#This Row],[میزان بارگیری شده]]*bargiri[[#This Row],[فی]]</f>
        <v>1693200000</v>
      </c>
      <c r="I98" s="360">
        <f>IF(year=bargiri[[#This Row],[سال]],1,0)</f>
        <v>1</v>
      </c>
      <c r="J98" s="360" t="str">
        <f>VLOOKUP(bargiri[[#This Row],[شماره پیش فاکتور]],invoice[],16,0)</f>
        <v>عادی</v>
      </c>
      <c r="K98" s="252">
        <f>bargiri[[#This Row],[فی]]*bargiri[[#This Row],[میزان بارگیری شده]]</f>
        <v>1693200000</v>
      </c>
      <c r="X98" s="1"/>
      <c r="Y98" s="1"/>
      <c r="Z98" s="1"/>
    </row>
    <row r="99" spans="1:26" ht="18.600000000000001">
      <c r="A99" s="360" t="s">
        <v>1195</v>
      </c>
      <c r="B99" s="360" t="s">
        <v>122</v>
      </c>
      <c r="C99" s="355" t="s">
        <v>633</v>
      </c>
      <c r="D99">
        <v>15260</v>
      </c>
      <c r="E99" s="143">
        <v>120000</v>
      </c>
      <c r="F99" s="117">
        <v>1405</v>
      </c>
      <c r="G99" s="360" t="s">
        <v>302</v>
      </c>
      <c r="H99" s="144">
        <f>bargiri[[#This Row],[میزان بارگیری شده]]*bargiri[[#This Row],[فی]]</f>
        <v>1831200000</v>
      </c>
      <c r="I99" s="360">
        <f>IF(year=bargiri[[#This Row],[سال]],1,0)</f>
        <v>1</v>
      </c>
      <c r="J99" s="360" t="str">
        <f>VLOOKUP(bargiri[[#This Row],[شماره پیش فاکتور]],invoice[],16,0)</f>
        <v>عادی</v>
      </c>
      <c r="K99" s="252">
        <f>bargiri[[#This Row],[فی]]*bargiri[[#This Row],[میزان بارگیری شده]]</f>
        <v>1831200000</v>
      </c>
      <c r="X99" s="1"/>
      <c r="Y99" s="1"/>
      <c r="Z99" s="1"/>
    </row>
    <row r="100" spans="1:26" ht="18.600000000000001">
      <c r="A100" s="360" t="s">
        <v>1196</v>
      </c>
      <c r="B100" s="360" t="s">
        <v>106</v>
      </c>
      <c r="C100" s="355" t="s">
        <v>958</v>
      </c>
      <c r="D100">
        <v>8110</v>
      </c>
      <c r="E100" s="143">
        <v>125000</v>
      </c>
      <c r="F100" s="117">
        <v>1405</v>
      </c>
      <c r="G100" s="360" t="s">
        <v>302</v>
      </c>
      <c r="H100" s="144">
        <f>bargiri[[#This Row],[میزان بارگیری شده]]*bargiri[[#This Row],[فی]]</f>
        <v>1013750000</v>
      </c>
      <c r="I100" s="360">
        <f>IF(year=bargiri[[#This Row],[سال]],1,0)</f>
        <v>1</v>
      </c>
      <c r="J100" s="360" t="str">
        <f>VLOOKUP(bargiri[[#This Row],[شماره پیش فاکتور]],invoice[],16,0)</f>
        <v>عادی</v>
      </c>
      <c r="K100" s="252">
        <f>bargiri[[#This Row],[فی]]*bargiri[[#This Row],[میزان بارگیری شده]]</f>
        <v>1013750000</v>
      </c>
      <c r="X100" s="1"/>
      <c r="Y100" s="1"/>
      <c r="Z100" s="1"/>
    </row>
    <row r="101" spans="1:26" ht="18.600000000000001">
      <c r="A101" s="360" t="s">
        <v>1196</v>
      </c>
      <c r="B101" s="360" t="s">
        <v>114</v>
      </c>
      <c r="C101" s="355" t="s">
        <v>905</v>
      </c>
      <c r="D101">
        <v>20070</v>
      </c>
      <c r="E101" s="143">
        <v>135000</v>
      </c>
      <c r="F101" s="117">
        <v>1405</v>
      </c>
      <c r="G101" s="360" t="s">
        <v>302</v>
      </c>
      <c r="H101" s="144">
        <f>bargiri[[#This Row],[میزان بارگیری شده]]*bargiri[[#This Row],[فی]]</f>
        <v>2709450000</v>
      </c>
      <c r="I101" s="360">
        <f>IF(year=bargiri[[#This Row],[سال]],1,0)</f>
        <v>1</v>
      </c>
      <c r="J101" s="360" t="str">
        <f>VLOOKUP(bargiri[[#This Row],[شماره پیش فاکتور]],invoice[],16,0)</f>
        <v>عادی</v>
      </c>
      <c r="K101" s="252">
        <f>bargiri[[#This Row],[فی]]*bargiri[[#This Row],[میزان بارگیری شده]]</f>
        <v>2709450000</v>
      </c>
      <c r="X101" s="1"/>
      <c r="Y101" s="1"/>
      <c r="Z101" s="1"/>
    </row>
    <row r="102" spans="1:26" ht="18.600000000000001">
      <c r="A102" s="360" t="s">
        <v>1196</v>
      </c>
      <c r="B102" s="360" t="s">
        <v>1118</v>
      </c>
      <c r="C102" s="355" t="s">
        <v>1117</v>
      </c>
      <c r="D102">
        <v>20080</v>
      </c>
      <c r="E102" s="143">
        <v>240000</v>
      </c>
      <c r="F102" s="117">
        <v>1405</v>
      </c>
      <c r="G102" s="360" t="s">
        <v>302</v>
      </c>
      <c r="H102" s="144">
        <f>bargiri[[#This Row],[میزان بارگیری شده]]*bargiri[[#This Row],[فی]]</f>
        <v>4819200000</v>
      </c>
      <c r="I102" s="360">
        <f>IF(year=bargiri[[#This Row],[سال]],1,0)</f>
        <v>1</v>
      </c>
      <c r="J102" s="360" t="str">
        <f>VLOOKUP(bargiri[[#This Row],[شماره پیش فاکتور]],invoice[],16,0)</f>
        <v>انجمن</v>
      </c>
      <c r="K102" s="252">
        <f>bargiri[[#This Row],[فی]]*bargiri[[#This Row],[میزان بارگیری شده]]</f>
        <v>4819200000</v>
      </c>
      <c r="X102" s="1"/>
      <c r="Y102" s="1"/>
      <c r="Z102" s="1"/>
    </row>
    <row r="103" spans="1:26" ht="18.600000000000001">
      <c r="A103" s="360" t="s">
        <v>1194</v>
      </c>
      <c r="B103" s="360" t="s">
        <v>101</v>
      </c>
      <c r="C103" s="355" t="s">
        <v>1103</v>
      </c>
      <c r="D103">
        <v>20500</v>
      </c>
      <c r="E103" s="143">
        <v>240000</v>
      </c>
      <c r="F103" s="117">
        <v>1405</v>
      </c>
      <c r="G103" s="360" t="s">
        <v>302</v>
      </c>
      <c r="H103" s="144">
        <f>bargiri[[#This Row],[میزان بارگیری شده]]*bargiri[[#This Row],[فی]]</f>
        <v>4920000000</v>
      </c>
      <c r="I103" s="360">
        <f>IF(year=bargiri[[#This Row],[سال]],1,0)</f>
        <v>1</v>
      </c>
      <c r="J103" s="360" t="str">
        <f>VLOOKUP(bargiri[[#This Row],[شماره پیش فاکتور]],invoice[],16,0)</f>
        <v>انجمن</v>
      </c>
      <c r="K103" s="252">
        <f>bargiri[[#This Row],[فی]]*bargiri[[#This Row],[میزان بارگیری شده]]</f>
        <v>4920000000</v>
      </c>
      <c r="X103" s="1"/>
      <c r="Y103" s="1"/>
      <c r="Z103" s="1"/>
    </row>
    <row r="104" spans="1:26" ht="18.600000000000001">
      <c r="A104" s="360" t="s">
        <v>1194</v>
      </c>
      <c r="B104" s="360" t="s">
        <v>102</v>
      </c>
      <c r="C104" s="355" t="s">
        <v>1050</v>
      </c>
      <c r="D104">
        <v>11200</v>
      </c>
      <c r="E104" s="143">
        <v>240000</v>
      </c>
      <c r="F104" s="117">
        <v>1405</v>
      </c>
      <c r="G104" s="360" t="s">
        <v>302</v>
      </c>
      <c r="H104" s="144">
        <f>bargiri[[#This Row],[میزان بارگیری شده]]*bargiri[[#This Row],[فی]]</f>
        <v>2688000000</v>
      </c>
      <c r="I104" s="360">
        <f>IF(year=bargiri[[#This Row],[سال]],1,0)</f>
        <v>1</v>
      </c>
      <c r="J104" s="360" t="str">
        <f>VLOOKUP(bargiri[[#This Row],[شماره پیش فاکتور]],invoice[],16,0)</f>
        <v>انجمن</v>
      </c>
      <c r="K104" s="252">
        <f>bargiri[[#This Row],[فی]]*bargiri[[#This Row],[میزان بارگیری شده]]</f>
        <v>2688000000</v>
      </c>
      <c r="X104" s="1"/>
      <c r="Y104" s="1"/>
      <c r="Z104" s="1"/>
    </row>
    <row r="105" spans="1:26" ht="18.600000000000001">
      <c r="A105" s="360" t="s">
        <v>1194</v>
      </c>
      <c r="B105" s="360" t="s">
        <v>104</v>
      </c>
      <c r="C105" s="355" t="s">
        <v>903</v>
      </c>
      <c r="D105">
        <v>20030</v>
      </c>
      <c r="E105" s="143">
        <v>116500</v>
      </c>
      <c r="F105" s="117">
        <v>1405</v>
      </c>
      <c r="G105" s="360" t="s">
        <v>302</v>
      </c>
      <c r="H105" s="144">
        <f>bargiri[[#This Row],[میزان بارگیری شده]]*bargiri[[#This Row],[فی]]</f>
        <v>2333495000</v>
      </c>
      <c r="I105" s="360">
        <f>IF(year=bargiri[[#This Row],[سال]],1,0)</f>
        <v>1</v>
      </c>
      <c r="J105" s="360" t="str">
        <f>VLOOKUP(bargiri[[#This Row],[شماره پیش فاکتور]],invoice[],16,0)</f>
        <v>تعادلی</v>
      </c>
      <c r="K105" s="252">
        <f>bargiri[[#This Row],[فی]]*bargiri[[#This Row],[میزان بارگیری شده]]</f>
        <v>2333495000</v>
      </c>
      <c r="X105" s="1"/>
      <c r="Y105" s="1"/>
      <c r="Z105" s="1"/>
    </row>
    <row r="106" spans="1:26" ht="18.600000000000001">
      <c r="A106" s="360" t="s">
        <v>1194</v>
      </c>
      <c r="B106" s="360" t="s">
        <v>99</v>
      </c>
      <c r="C106" s="355" t="s">
        <v>821</v>
      </c>
      <c r="D106">
        <v>21190</v>
      </c>
      <c r="E106" s="143">
        <v>105000</v>
      </c>
      <c r="F106" s="117">
        <v>1405</v>
      </c>
      <c r="G106" s="360" t="s">
        <v>302</v>
      </c>
      <c r="H106" s="144">
        <f>bargiri[[#This Row],[میزان بارگیری شده]]*bargiri[[#This Row],[فی]]</f>
        <v>2224950000</v>
      </c>
      <c r="I106" s="360">
        <f>IF(year=bargiri[[#This Row],[سال]],1,0)</f>
        <v>1</v>
      </c>
      <c r="J106" s="360" t="str">
        <f>VLOOKUP(bargiri[[#This Row],[شماره پیش فاکتور]],invoice[],16,0)</f>
        <v>عادی</v>
      </c>
      <c r="K106" s="252">
        <f>bargiri[[#This Row],[فی]]*bargiri[[#This Row],[میزان بارگیری شده]]</f>
        <v>2224950000</v>
      </c>
      <c r="X106" s="1"/>
      <c r="Y106" s="1"/>
      <c r="Z106" s="1"/>
    </row>
    <row r="107" spans="1:26" ht="18.600000000000001">
      <c r="A107" s="360" t="s">
        <v>1194</v>
      </c>
      <c r="B107" s="360" t="s">
        <v>118</v>
      </c>
      <c r="C107" s="355" t="s">
        <v>1164</v>
      </c>
      <c r="D107">
        <v>19900</v>
      </c>
      <c r="E107" s="143">
        <v>140958</v>
      </c>
      <c r="F107" s="117">
        <v>1405</v>
      </c>
      <c r="G107" s="360" t="s">
        <v>302</v>
      </c>
      <c r="H107" s="144">
        <f>bargiri[[#This Row],[میزان بارگیری شده]]*bargiri[[#This Row],[فی]]</f>
        <v>2805064200</v>
      </c>
      <c r="I107" s="360">
        <f>IF(year=bargiri[[#This Row],[سال]],1,0)</f>
        <v>1</v>
      </c>
      <c r="J107" s="360" t="str">
        <f>VLOOKUP(bargiri[[#This Row],[شماره پیش فاکتور]],invoice[],16,0)</f>
        <v>عادی</v>
      </c>
      <c r="K107" s="252">
        <f>bargiri[[#This Row],[فی]]*bargiri[[#This Row],[میزان بارگیری شده]]</f>
        <v>2805064200</v>
      </c>
      <c r="X107" s="1"/>
      <c r="Y107" s="1"/>
      <c r="Z107" s="1"/>
    </row>
    <row r="108" spans="1:26" ht="18.600000000000001">
      <c r="A108" s="360" t="s">
        <v>1192</v>
      </c>
      <c r="B108" s="360" t="s">
        <v>109</v>
      </c>
      <c r="C108" s="355" t="s">
        <v>1036</v>
      </c>
      <c r="D108">
        <v>19620</v>
      </c>
      <c r="E108" s="143">
        <v>240000</v>
      </c>
      <c r="F108" s="117">
        <v>1405</v>
      </c>
      <c r="G108" s="360" t="s">
        <v>302</v>
      </c>
      <c r="H108" s="144">
        <f>bargiri[[#This Row],[میزان بارگیری شده]]*bargiri[[#This Row],[فی]]</f>
        <v>4708800000</v>
      </c>
      <c r="I108" s="360">
        <f>IF(year=bargiri[[#This Row],[سال]],1,0)</f>
        <v>1</v>
      </c>
      <c r="J108" s="360" t="str">
        <f>VLOOKUP(bargiri[[#This Row],[شماره پیش فاکتور]],invoice[],16,0)</f>
        <v>انجمن</v>
      </c>
      <c r="K108" s="252">
        <f>bargiri[[#This Row],[فی]]*bargiri[[#This Row],[میزان بارگیری شده]]</f>
        <v>4708800000</v>
      </c>
      <c r="X108" s="1"/>
      <c r="Y108" s="1"/>
      <c r="Z108" s="1"/>
    </row>
    <row r="109" spans="1:26" ht="18.600000000000001">
      <c r="A109" s="360" t="s">
        <v>1192</v>
      </c>
      <c r="B109" s="360" t="s">
        <v>102</v>
      </c>
      <c r="C109" s="355" t="s">
        <v>1011</v>
      </c>
      <c r="D109">
        <v>11330</v>
      </c>
      <c r="E109" s="143">
        <v>120000</v>
      </c>
      <c r="F109" s="117">
        <v>1405</v>
      </c>
      <c r="G109" s="360" t="s">
        <v>302</v>
      </c>
      <c r="H109" s="144">
        <f>bargiri[[#This Row],[میزان بارگیری شده]]*bargiri[[#This Row],[فی]]</f>
        <v>1359600000</v>
      </c>
      <c r="I109" s="360">
        <f>IF(year=bargiri[[#This Row],[سال]],1,0)</f>
        <v>1</v>
      </c>
      <c r="J109" s="360" t="str">
        <f>VLOOKUP(bargiri[[#This Row],[شماره پیش فاکتور]],invoice[],16,0)</f>
        <v>عادی</v>
      </c>
      <c r="K109" s="252">
        <f>bargiri[[#This Row],[فی]]*bargiri[[#This Row],[میزان بارگیری شده]]</f>
        <v>1359600000</v>
      </c>
      <c r="X109" s="1"/>
      <c r="Y109" s="1"/>
      <c r="Z109" s="1"/>
    </row>
    <row r="110" spans="1:26" ht="18.600000000000001">
      <c r="A110" s="360" t="s">
        <v>1192</v>
      </c>
      <c r="B110" s="360" t="s">
        <v>125</v>
      </c>
      <c r="C110" s="355" t="s">
        <v>1009</v>
      </c>
      <c r="D110">
        <v>14200</v>
      </c>
      <c r="E110" s="143">
        <v>120000</v>
      </c>
      <c r="F110" s="117">
        <v>1405</v>
      </c>
      <c r="G110" s="360" t="s">
        <v>302</v>
      </c>
      <c r="H110" s="144">
        <f>bargiri[[#This Row],[میزان بارگیری شده]]*bargiri[[#This Row],[فی]]</f>
        <v>1704000000</v>
      </c>
      <c r="I110" s="360">
        <f>IF(year=bargiri[[#This Row],[سال]],1,0)</f>
        <v>1</v>
      </c>
      <c r="J110" s="360" t="str">
        <f>VLOOKUP(bargiri[[#This Row],[شماره پیش فاکتور]],invoice[],16,0)</f>
        <v>عادی</v>
      </c>
      <c r="K110" s="252">
        <f>bargiri[[#This Row],[فی]]*bargiri[[#This Row],[میزان بارگیری شده]]</f>
        <v>1704000000</v>
      </c>
      <c r="X110" s="1"/>
      <c r="Y110" s="1"/>
      <c r="Z110" s="1"/>
    </row>
    <row r="111" spans="1:26" ht="18.600000000000001">
      <c r="A111" s="360" t="s">
        <v>1192</v>
      </c>
      <c r="B111" s="360" t="s">
        <v>106</v>
      </c>
      <c r="C111" s="355" t="s">
        <v>958</v>
      </c>
      <c r="D111">
        <v>21980</v>
      </c>
      <c r="E111" s="143">
        <v>125000</v>
      </c>
      <c r="F111" s="117">
        <v>1405</v>
      </c>
      <c r="G111" s="360" t="s">
        <v>302</v>
      </c>
      <c r="H111" s="144">
        <f>bargiri[[#This Row],[میزان بارگیری شده]]*bargiri[[#This Row],[فی]]</f>
        <v>2747500000</v>
      </c>
      <c r="I111" s="360">
        <f>IF(year=bargiri[[#This Row],[سال]],1,0)</f>
        <v>1</v>
      </c>
      <c r="J111" s="360" t="str">
        <f>VLOOKUP(bargiri[[#This Row],[شماره پیش فاکتور]],invoice[],16,0)</f>
        <v>عادی</v>
      </c>
      <c r="K111" s="252">
        <f>bargiri[[#This Row],[فی]]*bargiri[[#This Row],[میزان بارگیری شده]]</f>
        <v>2747500000</v>
      </c>
      <c r="X111" s="1"/>
      <c r="Y111" s="1"/>
      <c r="Z111" s="1"/>
    </row>
    <row r="112" spans="1:26" ht="18.600000000000001">
      <c r="A112" s="360" t="s">
        <v>1191</v>
      </c>
      <c r="B112" s="360" t="s">
        <v>122</v>
      </c>
      <c r="C112" s="355" t="s">
        <v>1109</v>
      </c>
      <c r="D112">
        <v>21850</v>
      </c>
      <c r="E112" s="143">
        <v>240000</v>
      </c>
      <c r="F112" s="117">
        <v>1405</v>
      </c>
      <c r="G112" s="360" t="s">
        <v>302</v>
      </c>
      <c r="H112" s="144">
        <f>bargiri[[#This Row],[میزان بارگیری شده]]*bargiri[[#This Row],[فی]]</f>
        <v>5244000000</v>
      </c>
      <c r="I112" s="360">
        <f>IF(year=bargiri[[#This Row],[سال]],1,0)</f>
        <v>1</v>
      </c>
      <c r="J112" s="360" t="str">
        <f>VLOOKUP(bargiri[[#This Row],[شماره پیش فاکتور]],invoice[],16,0)</f>
        <v>انجمن</v>
      </c>
      <c r="K112" s="252">
        <f>bargiri[[#This Row],[فی]]*bargiri[[#This Row],[میزان بارگیری شده]]</f>
        <v>5244000000</v>
      </c>
      <c r="X112" s="1"/>
      <c r="Y112" s="1"/>
      <c r="Z112" s="1"/>
    </row>
    <row r="113" spans="1:26" ht="18.600000000000001">
      <c r="A113" s="360" t="s">
        <v>1191</v>
      </c>
      <c r="B113" s="360" t="s">
        <v>99</v>
      </c>
      <c r="C113" s="355" t="s">
        <v>821</v>
      </c>
      <c r="D113">
        <v>18850</v>
      </c>
      <c r="E113" s="143">
        <v>105000</v>
      </c>
      <c r="F113" s="117">
        <v>1405</v>
      </c>
      <c r="G113" s="360" t="s">
        <v>302</v>
      </c>
      <c r="H113" s="144">
        <f>bargiri[[#This Row],[میزان بارگیری شده]]*bargiri[[#This Row],[فی]]</f>
        <v>1979250000</v>
      </c>
      <c r="I113" s="360">
        <f>IF(year=bargiri[[#This Row],[سال]],1,0)</f>
        <v>1</v>
      </c>
      <c r="J113" s="360" t="str">
        <f>VLOOKUP(bargiri[[#This Row],[شماره پیش فاکتور]],invoice[],16,0)</f>
        <v>عادی</v>
      </c>
      <c r="K113" s="252">
        <f>bargiri[[#This Row],[فی]]*bargiri[[#This Row],[میزان بارگیری شده]]</f>
        <v>1979250000</v>
      </c>
      <c r="X113" s="1"/>
      <c r="Y113" s="1"/>
      <c r="Z113" s="1"/>
    </row>
    <row r="114" spans="1:26" ht="18.600000000000001">
      <c r="A114" s="360" t="s">
        <v>1191</v>
      </c>
      <c r="B114" s="360" t="s">
        <v>123</v>
      </c>
      <c r="C114" s="355" t="s">
        <v>1035</v>
      </c>
      <c r="D114">
        <v>7400</v>
      </c>
      <c r="E114" s="143">
        <v>240000</v>
      </c>
      <c r="F114" s="117">
        <v>1405</v>
      </c>
      <c r="G114" s="360" t="s">
        <v>302</v>
      </c>
      <c r="H114" s="144">
        <f>bargiri[[#This Row],[میزان بارگیری شده]]*bargiri[[#This Row],[فی]]</f>
        <v>1776000000</v>
      </c>
      <c r="I114" s="360">
        <f>IF(year=bargiri[[#This Row],[سال]],1,0)</f>
        <v>1</v>
      </c>
      <c r="J114" s="360" t="str">
        <f>VLOOKUP(bargiri[[#This Row],[شماره پیش فاکتور]],invoice[],16,0)</f>
        <v>انجمن</v>
      </c>
      <c r="K114" s="252">
        <f>bargiri[[#This Row],[فی]]*bargiri[[#This Row],[میزان بارگیری شده]]</f>
        <v>1776000000</v>
      </c>
      <c r="X114" s="1"/>
      <c r="Y114" s="1"/>
      <c r="Z114" s="1"/>
    </row>
    <row r="115" spans="1:26" ht="18.600000000000001">
      <c r="A115" s="360" t="s">
        <v>1189</v>
      </c>
      <c r="B115" s="360" t="s">
        <v>113</v>
      </c>
      <c r="C115" s="355" t="s">
        <v>822</v>
      </c>
      <c r="D115">
        <v>18800</v>
      </c>
      <c r="E115" s="143">
        <v>105000</v>
      </c>
      <c r="F115" s="117">
        <v>1405</v>
      </c>
      <c r="G115" s="360" t="s">
        <v>302</v>
      </c>
      <c r="H115" s="144">
        <f>bargiri[[#This Row],[میزان بارگیری شده]]*bargiri[[#This Row],[فی]]</f>
        <v>1974000000</v>
      </c>
      <c r="I115" s="360">
        <f>IF(year=bargiri[[#This Row],[سال]],1,0)</f>
        <v>1</v>
      </c>
      <c r="J115" s="360" t="str">
        <f>VLOOKUP(bargiri[[#This Row],[شماره پیش فاکتور]],invoice[],16,0)</f>
        <v>عادی</v>
      </c>
      <c r="K115" s="252">
        <f>bargiri[[#This Row],[فی]]*bargiri[[#This Row],[میزان بارگیری شده]]</f>
        <v>1974000000</v>
      </c>
      <c r="X115" s="1"/>
      <c r="Y115" s="1"/>
      <c r="Z115" s="1"/>
    </row>
    <row r="116" spans="1:26" ht="18.600000000000001">
      <c r="A116" s="360" t="s">
        <v>1189</v>
      </c>
      <c r="B116" s="360" t="s">
        <v>118</v>
      </c>
      <c r="C116" s="355" t="s">
        <v>1164</v>
      </c>
      <c r="D116">
        <v>20660</v>
      </c>
      <c r="E116" s="143">
        <v>140958</v>
      </c>
      <c r="F116" s="117">
        <v>1405</v>
      </c>
      <c r="G116" s="360" t="s">
        <v>302</v>
      </c>
      <c r="H116" s="144">
        <f>bargiri[[#This Row],[میزان بارگیری شده]]*bargiri[[#This Row],[فی]]</f>
        <v>2912192280</v>
      </c>
      <c r="I116" s="360">
        <f>IF(year=bargiri[[#This Row],[سال]],1,0)</f>
        <v>1</v>
      </c>
      <c r="J116" s="360" t="str">
        <f>VLOOKUP(bargiri[[#This Row],[شماره پیش فاکتور]],invoice[],16,0)</f>
        <v>عادی</v>
      </c>
      <c r="K116" s="252">
        <f>bargiri[[#This Row],[فی]]*bargiri[[#This Row],[میزان بارگیری شده]]</f>
        <v>2912192280</v>
      </c>
      <c r="X116" s="1"/>
      <c r="Y116" s="1"/>
      <c r="Z116" s="1"/>
    </row>
    <row r="117" spans="1:26" ht="18.600000000000001">
      <c r="A117" s="360" t="s">
        <v>1189</v>
      </c>
      <c r="B117" s="360" t="s">
        <v>118</v>
      </c>
      <c r="C117" s="355" t="s">
        <v>1164</v>
      </c>
      <c r="D117">
        <v>20940</v>
      </c>
      <c r="E117" s="143">
        <v>140958</v>
      </c>
      <c r="F117" s="117">
        <v>1405</v>
      </c>
      <c r="G117" s="360" t="s">
        <v>302</v>
      </c>
      <c r="H117" s="144">
        <f>bargiri[[#This Row],[میزان بارگیری شده]]*bargiri[[#This Row],[فی]]</f>
        <v>2951660520</v>
      </c>
      <c r="I117" s="360">
        <f>IF(year=bargiri[[#This Row],[سال]],1,0)</f>
        <v>1</v>
      </c>
      <c r="J117" s="360" t="str">
        <f>VLOOKUP(bargiri[[#This Row],[شماره پیش فاکتور]],invoice[],16,0)</f>
        <v>عادی</v>
      </c>
      <c r="K117" s="252">
        <f>bargiri[[#This Row],[فی]]*bargiri[[#This Row],[میزان بارگیری شده]]</f>
        <v>2951660520</v>
      </c>
      <c r="X117" s="1"/>
      <c r="Y117" s="1"/>
      <c r="Z117" s="1"/>
    </row>
    <row r="118" spans="1:26" ht="18.600000000000001">
      <c r="A118" s="360" t="s">
        <v>1189</v>
      </c>
      <c r="B118" s="360" t="s">
        <v>102</v>
      </c>
      <c r="C118" s="355" t="s">
        <v>832</v>
      </c>
      <c r="D118">
        <v>11190</v>
      </c>
      <c r="E118" s="143">
        <v>108000</v>
      </c>
      <c r="F118" s="117">
        <v>1405</v>
      </c>
      <c r="G118" s="360" t="s">
        <v>302</v>
      </c>
      <c r="H118" s="144">
        <f>bargiri[[#This Row],[میزان بارگیری شده]]*bargiri[[#This Row],[فی]]</f>
        <v>1208520000</v>
      </c>
      <c r="I118" s="360">
        <f>IF(year=bargiri[[#This Row],[سال]],1,0)</f>
        <v>1</v>
      </c>
      <c r="J118" s="360" t="str">
        <f>VLOOKUP(bargiri[[#This Row],[شماره پیش فاکتور]],invoice[],16,0)</f>
        <v>عادی</v>
      </c>
      <c r="K118" s="252">
        <f>bargiri[[#This Row],[فی]]*bargiri[[#This Row],[میزان بارگیری شده]]</f>
        <v>1208520000</v>
      </c>
      <c r="X118" s="1"/>
      <c r="Y118" s="1"/>
      <c r="Z118" s="1"/>
    </row>
    <row r="119" spans="1:26" ht="18.600000000000001">
      <c r="A119" s="360" t="s">
        <v>1189</v>
      </c>
      <c r="B119" s="360" t="s">
        <v>118</v>
      </c>
      <c r="C119" s="355" t="s">
        <v>1164</v>
      </c>
      <c r="D119">
        <v>20560</v>
      </c>
      <c r="E119" s="143">
        <v>140958</v>
      </c>
      <c r="F119" s="117">
        <v>1405</v>
      </c>
      <c r="G119" s="360" t="s">
        <v>302</v>
      </c>
      <c r="H119" s="144">
        <f>bargiri[[#This Row],[میزان بارگیری شده]]*bargiri[[#This Row],[فی]]</f>
        <v>2898096480</v>
      </c>
      <c r="I119" s="360">
        <f>IF(year=bargiri[[#This Row],[سال]],1,0)</f>
        <v>1</v>
      </c>
      <c r="J119" s="360" t="str">
        <f>VLOOKUP(bargiri[[#This Row],[شماره پیش فاکتور]],invoice[],16,0)</f>
        <v>عادی</v>
      </c>
      <c r="K119" s="252">
        <f>bargiri[[#This Row],[فی]]*bargiri[[#This Row],[میزان بارگیری شده]]</f>
        <v>2898096480</v>
      </c>
      <c r="X119" s="1"/>
      <c r="Y119" s="1"/>
      <c r="Z119" s="1"/>
    </row>
    <row r="120" spans="1:26" ht="18.600000000000001">
      <c r="A120" s="360" t="s">
        <v>1190</v>
      </c>
      <c r="B120" s="360" t="s">
        <v>106</v>
      </c>
      <c r="C120" s="355" t="s">
        <v>913</v>
      </c>
      <c r="D120">
        <v>19660</v>
      </c>
      <c r="E120" s="143">
        <v>125000</v>
      </c>
      <c r="F120" s="117">
        <v>1405</v>
      </c>
      <c r="G120" s="360" t="s">
        <v>302</v>
      </c>
      <c r="H120" s="144">
        <f>bargiri[[#This Row],[میزان بارگیری شده]]*bargiri[[#This Row],[فی]]</f>
        <v>2457500000</v>
      </c>
      <c r="I120" s="360">
        <f>IF(year=bargiri[[#This Row],[سال]],1,0)</f>
        <v>1</v>
      </c>
      <c r="J120" s="360" t="str">
        <f>VLOOKUP(bargiri[[#This Row],[شماره پیش فاکتور]],invoice[],16,0)</f>
        <v>عادی</v>
      </c>
      <c r="K120" s="252">
        <f>bargiri[[#This Row],[فی]]*bargiri[[#This Row],[میزان بارگیری شده]]</f>
        <v>2457500000</v>
      </c>
      <c r="X120" s="1"/>
      <c r="Y120" s="1"/>
      <c r="Z120" s="1"/>
    </row>
    <row r="121" spans="1:26" ht="18.600000000000001">
      <c r="A121" s="360" t="s">
        <v>1190</v>
      </c>
      <c r="B121" s="360" t="s">
        <v>106</v>
      </c>
      <c r="C121" s="355" t="s">
        <v>958</v>
      </c>
      <c r="D121">
        <v>2250</v>
      </c>
      <c r="E121" s="143">
        <v>125000</v>
      </c>
      <c r="F121" s="117">
        <v>1405</v>
      </c>
      <c r="G121" s="360" t="s">
        <v>302</v>
      </c>
      <c r="H121" s="144">
        <f>bargiri[[#This Row],[میزان بارگیری شده]]*bargiri[[#This Row],[فی]]</f>
        <v>281250000</v>
      </c>
      <c r="I121" s="360">
        <f>IF(year=bargiri[[#This Row],[سال]],1,0)</f>
        <v>1</v>
      </c>
      <c r="J121" s="360" t="str">
        <f>VLOOKUP(bargiri[[#This Row],[شماره پیش فاکتور]],invoice[],16,0)</f>
        <v>عادی</v>
      </c>
      <c r="K121" s="252">
        <f>bargiri[[#This Row],[فی]]*bargiri[[#This Row],[میزان بارگیری شده]]</f>
        <v>281250000</v>
      </c>
      <c r="X121" s="1"/>
      <c r="Y121" s="1"/>
      <c r="Z121" s="1"/>
    </row>
    <row r="122" spans="1:26" ht="18.600000000000001">
      <c r="A122" s="360" t="s">
        <v>1190</v>
      </c>
      <c r="B122" s="360" t="s">
        <v>114</v>
      </c>
      <c r="C122" s="355" t="s">
        <v>905</v>
      </c>
      <c r="D122">
        <v>22410</v>
      </c>
      <c r="E122" s="143">
        <v>135000</v>
      </c>
      <c r="F122" s="117">
        <v>1405</v>
      </c>
      <c r="G122" s="360" t="s">
        <v>302</v>
      </c>
      <c r="H122" s="144">
        <f>bargiri[[#This Row],[میزان بارگیری شده]]*bargiri[[#This Row],[فی]]</f>
        <v>3025350000</v>
      </c>
      <c r="I122" s="360">
        <f>IF(year=bargiri[[#This Row],[سال]],1,0)</f>
        <v>1</v>
      </c>
      <c r="J122" s="360" t="str">
        <f>VLOOKUP(bargiri[[#This Row],[شماره پیش فاکتور]],invoice[],16,0)</f>
        <v>عادی</v>
      </c>
      <c r="K122" s="252">
        <f>bargiri[[#This Row],[فی]]*bargiri[[#This Row],[میزان بارگیری شده]]</f>
        <v>3025350000</v>
      </c>
      <c r="X122" s="1"/>
      <c r="Y122" s="1"/>
      <c r="Z122" s="1"/>
    </row>
    <row r="123" spans="1:26" ht="18.600000000000001">
      <c r="A123" s="360" t="s">
        <v>1189</v>
      </c>
      <c r="B123" s="360" t="s">
        <v>118</v>
      </c>
      <c r="C123" s="355" t="s">
        <v>1164</v>
      </c>
      <c r="D123">
        <v>20940</v>
      </c>
      <c r="E123" s="143">
        <v>140958</v>
      </c>
      <c r="F123" s="117">
        <v>1405</v>
      </c>
      <c r="G123" s="360" t="s">
        <v>302</v>
      </c>
      <c r="H123" s="144">
        <f>bargiri[[#This Row],[میزان بارگیری شده]]*bargiri[[#This Row],[فی]]</f>
        <v>2951660520</v>
      </c>
      <c r="I123" s="360">
        <f>IF(year=bargiri[[#This Row],[سال]],1,0)</f>
        <v>1</v>
      </c>
      <c r="J123" s="360" t="str">
        <f>VLOOKUP(bargiri[[#This Row],[شماره پیش فاکتور]],invoice[],16,0)</f>
        <v>عادی</v>
      </c>
      <c r="K123" s="252">
        <f>bargiri[[#This Row],[فی]]*bargiri[[#This Row],[میزان بارگیری شده]]</f>
        <v>2951660520</v>
      </c>
      <c r="X123" s="1"/>
      <c r="Y123" s="1"/>
      <c r="Z123" s="1"/>
    </row>
    <row r="124" spans="1:26" ht="18.600000000000001">
      <c r="A124" s="360" t="s">
        <v>1187</v>
      </c>
      <c r="B124" s="360" t="s">
        <v>114</v>
      </c>
      <c r="C124" s="355" t="s">
        <v>905</v>
      </c>
      <c r="D124">
        <v>22020</v>
      </c>
      <c r="E124" s="143">
        <v>135000</v>
      </c>
      <c r="F124" s="117">
        <v>1405</v>
      </c>
      <c r="G124" s="360" t="s">
        <v>302</v>
      </c>
      <c r="H124" s="144">
        <f>bargiri[[#This Row],[میزان بارگیری شده]]*bargiri[[#This Row],[فی]]</f>
        <v>2972700000</v>
      </c>
      <c r="I124" s="360">
        <f>IF(year=bargiri[[#This Row],[سال]],1,0)</f>
        <v>1</v>
      </c>
      <c r="J124" s="360" t="str">
        <f>VLOOKUP(bargiri[[#This Row],[شماره پیش فاکتور]],invoice[],16,0)</f>
        <v>عادی</v>
      </c>
      <c r="K124" s="252">
        <f>bargiri[[#This Row],[فی]]*bargiri[[#This Row],[میزان بارگیری شده]]</f>
        <v>2972700000</v>
      </c>
      <c r="X124" s="1"/>
      <c r="Y124" s="1"/>
      <c r="Z124" s="1"/>
    </row>
    <row r="125" spans="1:26" ht="18.600000000000001">
      <c r="A125" s="360" t="s">
        <v>1187</v>
      </c>
      <c r="B125" s="360" t="s">
        <v>118</v>
      </c>
      <c r="C125" s="355" t="s">
        <v>1164</v>
      </c>
      <c r="D125">
        <v>19990</v>
      </c>
      <c r="E125" s="143">
        <v>140958</v>
      </c>
      <c r="F125" s="117">
        <v>1405</v>
      </c>
      <c r="G125" s="360" t="s">
        <v>302</v>
      </c>
      <c r="H125" s="144">
        <f>bargiri[[#This Row],[میزان بارگیری شده]]*bargiri[[#This Row],[فی]]</f>
        <v>2817750420</v>
      </c>
      <c r="I125" s="360">
        <f>IF(year=bargiri[[#This Row],[سال]],1,0)</f>
        <v>1</v>
      </c>
      <c r="J125" s="360" t="str">
        <f>VLOOKUP(bargiri[[#This Row],[شماره پیش فاکتور]],invoice[],16,0)</f>
        <v>عادی</v>
      </c>
      <c r="K125" s="252">
        <f>bargiri[[#This Row],[فی]]*bargiri[[#This Row],[میزان بارگیری شده]]</f>
        <v>2817750420</v>
      </c>
      <c r="X125" s="1"/>
      <c r="Y125" s="1"/>
      <c r="Z125" s="1"/>
    </row>
    <row r="126" spans="1:26" ht="18.600000000000001">
      <c r="A126" s="360" t="s">
        <v>1187</v>
      </c>
      <c r="B126" s="360" t="s">
        <v>118</v>
      </c>
      <c r="C126" s="355" t="s">
        <v>1164</v>
      </c>
      <c r="D126">
        <v>20150</v>
      </c>
      <c r="E126" s="143">
        <v>140958</v>
      </c>
      <c r="F126" s="117">
        <v>1405</v>
      </c>
      <c r="G126" s="360" t="s">
        <v>302</v>
      </c>
      <c r="H126" s="144">
        <f>bargiri[[#This Row],[میزان بارگیری شده]]*bargiri[[#This Row],[فی]]</f>
        <v>2840303700</v>
      </c>
      <c r="I126" s="360">
        <f>IF(year=bargiri[[#This Row],[سال]],1,0)</f>
        <v>1</v>
      </c>
      <c r="J126" s="360" t="str">
        <f>VLOOKUP(bargiri[[#This Row],[شماره پیش فاکتور]],invoice[],16,0)</f>
        <v>عادی</v>
      </c>
      <c r="K126" s="252">
        <f>bargiri[[#This Row],[فی]]*bargiri[[#This Row],[میزان بارگیری شده]]</f>
        <v>2840303700</v>
      </c>
      <c r="X126" s="1"/>
      <c r="Y126" s="1"/>
      <c r="Z126" s="1"/>
    </row>
    <row r="127" spans="1:26" ht="18.600000000000001">
      <c r="A127" s="360" t="s">
        <v>1187</v>
      </c>
      <c r="B127" s="360" t="s">
        <v>118</v>
      </c>
      <c r="C127" s="355" t="s">
        <v>1164</v>
      </c>
      <c r="D127">
        <v>19990</v>
      </c>
      <c r="E127" s="143">
        <v>140958</v>
      </c>
      <c r="F127" s="117">
        <v>1405</v>
      </c>
      <c r="G127" s="360" t="s">
        <v>302</v>
      </c>
      <c r="H127" s="144">
        <f>bargiri[[#This Row],[میزان بارگیری شده]]*bargiri[[#This Row],[فی]]</f>
        <v>2817750420</v>
      </c>
      <c r="I127" s="360">
        <f>IF(year=bargiri[[#This Row],[سال]],1,0)</f>
        <v>1</v>
      </c>
      <c r="J127" s="360" t="str">
        <f>VLOOKUP(bargiri[[#This Row],[شماره پیش فاکتور]],invoice[],16,0)</f>
        <v>عادی</v>
      </c>
      <c r="K127" s="252">
        <f>bargiri[[#This Row],[فی]]*bargiri[[#This Row],[میزان بارگیری شده]]</f>
        <v>2817750420</v>
      </c>
      <c r="X127" s="1"/>
      <c r="Y127" s="1"/>
      <c r="Z127" s="1"/>
    </row>
    <row r="128" spans="1:26" ht="18.600000000000001">
      <c r="A128" s="360" t="s">
        <v>1187</v>
      </c>
      <c r="B128" s="360" t="s">
        <v>118</v>
      </c>
      <c r="C128" s="355" t="s">
        <v>1164</v>
      </c>
      <c r="D128">
        <v>20070</v>
      </c>
      <c r="E128" s="143">
        <v>140958</v>
      </c>
      <c r="F128" s="117">
        <v>1405</v>
      </c>
      <c r="G128" s="360" t="s">
        <v>302</v>
      </c>
      <c r="H128" s="144">
        <f>bargiri[[#This Row],[میزان بارگیری شده]]*bargiri[[#This Row],[فی]]</f>
        <v>2829027060</v>
      </c>
      <c r="I128" s="360">
        <f>IF(year=bargiri[[#This Row],[سال]],1,0)</f>
        <v>1</v>
      </c>
      <c r="J128" s="360" t="str">
        <f>VLOOKUP(bargiri[[#This Row],[شماره پیش فاکتور]],invoice[],16,0)</f>
        <v>عادی</v>
      </c>
      <c r="K128" s="252">
        <f>bargiri[[#This Row],[فی]]*bargiri[[#This Row],[میزان بارگیری شده]]</f>
        <v>2829027060</v>
      </c>
      <c r="X128" s="1"/>
      <c r="Y128" s="1"/>
      <c r="Z128" s="1"/>
    </row>
    <row r="129" spans="1:26" ht="18.600000000000001">
      <c r="A129" s="360" t="s">
        <v>1187</v>
      </c>
      <c r="B129" s="360" t="s">
        <v>109</v>
      </c>
      <c r="C129" s="355" t="s">
        <v>1036</v>
      </c>
      <c r="D129">
        <v>7410</v>
      </c>
      <c r="E129" s="143">
        <v>240000</v>
      </c>
      <c r="F129" s="117">
        <v>1405</v>
      </c>
      <c r="G129" s="360" t="s">
        <v>302</v>
      </c>
      <c r="H129" s="144">
        <f>bargiri[[#This Row],[میزان بارگیری شده]]*bargiri[[#This Row],[فی]]</f>
        <v>1778400000</v>
      </c>
      <c r="I129" s="360">
        <f>IF(year=bargiri[[#This Row],[سال]],1,0)</f>
        <v>1</v>
      </c>
      <c r="J129" s="360" t="str">
        <f>VLOOKUP(bargiri[[#This Row],[شماره پیش فاکتور]],invoice[],16,0)</f>
        <v>انجمن</v>
      </c>
      <c r="K129" s="252">
        <f>bargiri[[#This Row],[فی]]*bargiri[[#This Row],[میزان بارگیری شده]]</f>
        <v>1778400000</v>
      </c>
      <c r="X129" s="1"/>
      <c r="Y129" s="1"/>
      <c r="Z129" s="1"/>
    </row>
    <row r="130" spans="1:26" ht="18.600000000000001">
      <c r="A130" s="360" t="s">
        <v>1187</v>
      </c>
      <c r="B130" s="360" t="s">
        <v>122</v>
      </c>
      <c r="C130" s="355" t="s">
        <v>633</v>
      </c>
      <c r="D130">
        <v>15150</v>
      </c>
      <c r="E130" s="143">
        <v>120000</v>
      </c>
      <c r="F130" s="117">
        <v>1405</v>
      </c>
      <c r="G130" s="360" t="s">
        <v>302</v>
      </c>
      <c r="H130" s="144">
        <f>bargiri[[#This Row],[میزان بارگیری شده]]*bargiri[[#This Row],[فی]]</f>
        <v>1818000000</v>
      </c>
      <c r="I130" s="360">
        <f>IF(year=bargiri[[#This Row],[سال]],1,0)</f>
        <v>1</v>
      </c>
      <c r="J130" s="360" t="str">
        <f>VLOOKUP(bargiri[[#This Row],[شماره پیش فاکتور]],invoice[],16,0)</f>
        <v>عادی</v>
      </c>
      <c r="K130" s="252">
        <f>bargiri[[#This Row],[فی]]*bargiri[[#This Row],[میزان بارگیری شده]]</f>
        <v>1818000000</v>
      </c>
      <c r="X130" s="1"/>
      <c r="Y130" s="1"/>
      <c r="Z130" s="1"/>
    </row>
    <row r="131" spans="1:26" ht="18.600000000000001">
      <c r="A131" s="360" t="s">
        <v>1188</v>
      </c>
      <c r="B131" s="360" t="s">
        <v>109</v>
      </c>
      <c r="C131" s="355" t="s">
        <v>1036</v>
      </c>
      <c r="D131">
        <v>19350</v>
      </c>
      <c r="E131" s="143">
        <v>240000</v>
      </c>
      <c r="F131" s="117">
        <v>1405</v>
      </c>
      <c r="G131" s="360" t="s">
        <v>302</v>
      </c>
      <c r="H131" s="144">
        <f>bargiri[[#This Row],[میزان بارگیری شده]]*bargiri[[#This Row],[فی]]</f>
        <v>4644000000</v>
      </c>
      <c r="I131" s="360">
        <f>IF(year=bargiri[[#This Row],[سال]],1,0)</f>
        <v>1</v>
      </c>
      <c r="J131" s="360" t="str">
        <f>VLOOKUP(bargiri[[#This Row],[شماره پیش فاکتور]],invoice[],16,0)</f>
        <v>انجمن</v>
      </c>
      <c r="K131" s="252">
        <f>bargiri[[#This Row],[فی]]*bargiri[[#This Row],[میزان بارگیری شده]]</f>
        <v>4644000000</v>
      </c>
      <c r="X131" s="1"/>
      <c r="Y131" s="1"/>
      <c r="Z131" s="1"/>
    </row>
    <row r="132" spans="1:26" ht="18.600000000000001">
      <c r="A132" s="360" t="s">
        <v>1188</v>
      </c>
      <c r="B132" s="360" t="s">
        <v>100</v>
      </c>
      <c r="C132" s="355" t="s">
        <v>1108</v>
      </c>
      <c r="D132">
        <v>6320</v>
      </c>
      <c r="E132" s="143">
        <v>240000</v>
      </c>
      <c r="F132" s="117">
        <v>1405</v>
      </c>
      <c r="G132" s="360" t="s">
        <v>302</v>
      </c>
      <c r="H132" s="144">
        <f>bargiri[[#This Row],[میزان بارگیری شده]]*bargiri[[#This Row],[فی]]</f>
        <v>1516800000</v>
      </c>
      <c r="I132" s="360">
        <f>IF(year=bargiri[[#This Row],[سال]],1,0)</f>
        <v>1</v>
      </c>
      <c r="J132" s="360" t="str">
        <f>VLOOKUP(bargiri[[#This Row],[شماره پیش فاکتور]],invoice[],16,0)</f>
        <v>انجمن</v>
      </c>
      <c r="K132" s="252">
        <f>bargiri[[#This Row],[فی]]*bargiri[[#This Row],[میزان بارگیری شده]]</f>
        <v>1516800000</v>
      </c>
      <c r="X132" s="1"/>
      <c r="Y132" s="1"/>
      <c r="Z132" s="1"/>
    </row>
    <row r="133" spans="1:26" ht="18.600000000000001">
      <c r="A133" s="360" t="s">
        <v>1188</v>
      </c>
      <c r="B133" s="360" t="s">
        <v>106</v>
      </c>
      <c r="C133" s="355" t="s">
        <v>913</v>
      </c>
      <c r="D133">
        <v>19890</v>
      </c>
      <c r="E133" s="143">
        <v>125000</v>
      </c>
      <c r="F133" s="117">
        <v>1405</v>
      </c>
      <c r="G133" s="360" t="s">
        <v>302</v>
      </c>
      <c r="H133" s="144">
        <f>bargiri[[#This Row],[میزان بارگیری شده]]*bargiri[[#This Row],[فی]]</f>
        <v>2486250000</v>
      </c>
      <c r="I133" s="360">
        <f>IF(year=bargiri[[#This Row],[سال]],1,0)</f>
        <v>1</v>
      </c>
      <c r="J133" s="360" t="str">
        <f>VLOOKUP(bargiri[[#This Row],[شماره پیش فاکتور]],invoice[],16,0)</f>
        <v>عادی</v>
      </c>
      <c r="K133" s="252">
        <f>bargiri[[#This Row],[فی]]*bargiri[[#This Row],[میزان بارگیری شده]]</f>
        <v>2486250000</v>
      </c>
      <c r="X133" s="1"/>
      <c r="Y133" s="1"/>
      <c r="Z133" s="1"/>
    </row>
    <row r="134" spans="1:26" ht="18.600000000000001">
      <c r="A134" s="360" t="s">
        <v>1188</v>
      </c>
      <c r="B134" s="360" t="s">
        <v>106</v>
      </c>
      <c r="C134" s="355" t="s">
        <v>913</v>
      </c>
      <c r="D134">
        <v>5570</v>
      </c>
      <c r="E134" s="143">
        <v>125000</v>
      </c>
      <c r="F134" s="117">
        <v>1405</v>
      </c>
      <c r="G134" s="360" t="s">
        <v>302</v>
      </c>
      <c r="H134" s="144">
        <f>bargiri[[#This Row],[میزان بارگیری شده]]*bargiri[[#This Row],[فی]]</f>
        <v>696250000</v>
      </c>
      <c r="I134" s="360">
        <f>IF(year=bargiri[[#This Row],[سال]],1,0)</f>
        <v>1</v>
      </c>
      <c r="J134" s="360" t="str">
        <f>VLOOKUP(bargiri[[#This Row],[شماره پیش فاکتور]],invoice[],16,0)</f>
        <v>عادی</v>
      </c>
      <c r="K134" s="252">
        <f>bargiri[[#This Row],[فی]]*bargiri[[#This Row],[میزان بارگیری شده]]</f>
        <v>696250000</v>
      </c>
      <c r="X134" s="1"/>
      <c r="Y134" s="1"/>
      <c r="Z134" s="1"/>
    </row>
    <row r="135" spans="1:26" ht="18.600000000000001">
      <c r="A135" s="360" t="s">
        <v>1188</v>
      </c>
      <c r="B135" s="360" t="s">
        <v>102</v>
      </c>
      <c r="C135" s="355" t="s">
        <v>1050</v>
      </c>
      <c r="D135">
        <v>11230</v>
      </c>
      <c r="E135" s="143">
        <v>240000</v>
      </c>
      <c r="F135" s="117">
        <v>1405</v>
      </c>
      <c r="G135" s="360" t="s">
        <v>302</v>
      </c>
      <c r="H135" s="144">
        <f>bargiri[[#This Row],[میزان بارگیری شده]]*bargiri[[#This Row],[فی]]</f>
        <v>2695200000</v>
      </c>
      <c r="I135" s="360">
        <f>IF(year=bargiri[[#This Row],[سال]],1,0)</f>
        <v>1</v>
      </c>
      <c r="J135" s="360" t="str">
        <f>VLOOKUP(bargiri[[#This Row],[شماره پیش فاکتور]],invoice[],16,0)</f>
        <v>انجمن</v>
      </c>
      <c r="K135" s="252">
        <f>bargiri[[#This Row],[فی]]*bargiri[[#This Row],[میزان بارگیری شده]]</f>
        <v>2695200000</v>
      </c>
      <c r="X135" s="1"/>
      <c r="Y135" s="1"/>
      <c r="Z135" s="1"/>
    </row>
    <row r="136" spans="1:26" ht="18.600000000000001">
      <c r="A136" s="360" t="s">
        <v>1188</v>
      </c>
      <c r="B136" s="360" t="s">
        <v>113</v>
      </c>
      <c r="C136" s="355" t="s">
        <v>822</v>
      </c>
      <c r="D136">
        <v>15710</v>
      </c>
      <c r="E136" s="143">
        <v>105000</v>
      </c>
      <c r="F136" s="117">
        <v>1405</v>
      </c>
      <c r="G136" s="360" t="s">
        <v>302</v>
      </c>
      <c r="H136" s="144">
        <f>bargiri[[#This Row],[میزان بارگیری شده]]*bargiri[[#This Row],[فی]]</f>
        <v>1649550000</v>
      </c>
      <c r="I136" s="360">
        <f>IF(year=bargiri[[#This Row],[سال]],1,0)</f>
        <v>1</v>
      </c>
      <c r="J136" s="360" t="str">
        <f>VLOOKUP(bargiri[[#This Row],[شماره پیش فاکتور]],invoice[],16,0)</f>
        <v>عادی</v>
      </c>
      <c r="K136" s="252">
        <f>bargiri[[#This Row],[فی]]*bargiri[[#This Row],[میزان بارگیری شده]]</f>
        <v>1649550000</v>
      </c>
      <c r="X136" s="1"/>
      <c r="Y136" s="1"/>
      <c r="Z136" s="1"/>
    </row>
    <row r="137" spans="1:26" ht="18.600000000000001">
      <c r="A137" s="360" t="s">
        <v>1186</v>
      </c>
      <c r="B137" s="360" t="s">
        <v>116</v>
      </c>
      <c r="C137" s="355" t="s">
        <v>972</v>
      </c>
      <c r="D137">
        <v>17290</v>
      </c>
      <c r="E137" s="143">
        <v>116500</v>
      </c>
      <c r="F137" s="117">
        <v>1405</v>
      </c>
      <c r="G137" s="360" t="s">
        <v>302</v>
      </c>
      <c r="H137" s="144">
        <f>bargiri[[#This Row],[میزان بارگیری شده]]*bargiri[[#This Row],[فی]]</f>
        <v>2014285000</v>
      </c>
      <c r="I137" s="360">
        <f>IF(year=bargiri[[#This Row],[سال]],1,0)</f>
        <v>1</v>
      </c>
      <c r="J137" s="360" t="str">
        <f>VLOOKUP(bargiri[[#This Row],[شماره پیش فاکتور]],invoice[],16,0)</f>
        <v>تعادلی</v>
      </c>
      <c r="K137" s="252">
        <f>bargiri[[#This Row],[فی]]*bargiri[[#This Row],[میزان بارگیری شده]]</f>
        <v>2014285000</v>
      </c>
      <c r="X137" s="1"/>
      <c r="Y137" s="1"/>
      <c r="Z137" s="1"/>
    </row>
    <row r="138" spans="1:26" ht="18.600000000000001">
      <c r="A138" s="360" t="s">
        <v>1186</v>
      </c>
      <c r="B138" s="360" t="s">
        <v>116</v>
      </c>
      <c r="C138" s="355" t="s">
        <v>1008</v>
      </c>
      <c r="D138">
        <v>2740</v>
      </c>
      <c r="E138" s="143">
        <v>116500</v>
      </c>
      <c r="F138" s="117">
        <v>1405</v>
      </c>
      <c r="G138" s="360" t="s">
        <v>302</v>
      </c>
      <c r="H138" s="144">
        <f>bargiri[[#This Row],[میزان بارگیری شده]]*bargiri[[#This Row],[فی]]</f>
        <v>319210000</v>
      </c>
      <c r="I138" s="360">
        <f>IF(year=bargiri[[#This Row],[سال]],1,0)</f>
        <v>1</v>
      </c>
      <c r="J138" s="360" t="str">
        <f>VLOOKUP(bargiri[[#This Row],[شماره پیش فاکتور]],invoice[],16,0)</f>
        <v>تعادلی</v>
      </c>
      <c r="K138" s="252">
        <f>bargiri[[#This Row],[فی]]*bargiri[[#This Row],[میزان بارگیری شده]]</f>
        <v>319210000</v>
      </c>
      <c r="X138" s="1"/>
      <c r="Y138" s="1"/>
      <c r="Z138" s="1"/>
    </row>
    <row r="139" spans="1:26" ht="18.600000000000001">
      <c r="A139" s="360" t="s">
        <v>1186</v>
      </c>
      <c r="B139" s="360" t="s">
        <v>116</v>
      </c>
      <c r="C139" s="355" t="s">
        <v>1119</v>
      </c>
      <c r="D139">
        <v>8360</v>
      </c>
      <c r="E139" s="143">
        <v>240000</v>
      </c>
      <c r="F139" s="117">
        <v>1405</v>
      </c>
      <c r="G139" s="360" t="s">
        <v>302</v>
      </c>
      <c r="H139" s="144">
        <f>bargiri[[#This Row],[میزان بارگیری شده]]*bargiri[[#This Row],[فی]]</f>
        <v>2006400000</v>
      </c>
      <c r="I139" s="360">
        <f>IF(year=bargiri[[#This Row],[سال]],1,0)</f>
        <v>1</v>
      </c>
      <c r="J139" s="360" t="str">
        <f>VLOOKUP(bargiri[[#This Row],[شماره پیش فاکتور]],invoice[],16,0)</f>
        <v>بورس</v>
      </c>
      <c r="K139" s="252">
        <f>bargiri[[#This Row],[فی]]*bargiri[[#This Row],[میزان بارگیری شده]]</f>
        <v>2006400000</v>
      </c>
      <c r="X139" s="1"/>
      <c r="Y139" s="1"/>
      <c r="Z139" s="1"/>
    </row>
    <row r="140" spans="1:26" ht="18.600000000000001">
      <c r="A140" s="360" t="s">
        <v>1186</v>
      </c>
      <c r="B140" s="360" t="s">
        <v>118</v>
      </c>
      <c r="C140" s="355" t="s">
        <v>1164</v>
      </c>
      <c r="D140">
        <v>20810</v>
      </c>
      <c r="E140" s="143">
        <v>140958</v>
      </c>
      <c r="F140" s="117">
        <v>1405</v>
      </c>
      <c r="G140" s="360" t="s">
        <v>302</v>
      </c>
      <c r="H140" s="144">
        <f>bargiri[[#This Row],[میزان بارگیری شده]]*bargiri[[#This Row],[فی]]</f>
        <v>2933335980</v>
      </c>
      <c r="I140" s="360">
        <f>IF(year=bargiri[[#This Row],[سال]],1,0)</f>
        <v>1</v>
      </c>
      <c r="J140" s="360" t="str">
        <f>VLOOKUP(bargiri[[#This Row],[شماره پیش فاکتور]],invoice[],16,0)</f>
        <v>عادی</v>
      </c>
      <c r="K140" s="252">
        <f>bargiri[[#This Row],[فی]]*bargiri[[#This Row],[میزان بارگیری شده]]</f>
        <v>2933335980</v>
      </c>
      <c r="X140" s="1"/>
      <c r="Y140" s="1"/>
      <c r="Z140" s="1"/>
    </row>
    <row r="141" spans="1:26" ht="18.600000000000001">
      <c r="A141" s="360" t="s">
        <v>1186</v>
      </c>
      <c r="B141" s="360" t="s">
        <v>118</v>
      </c>
      <c r="C141" s="355" t="s">
        <v>1164</v>
      </c>
      <c r="D141">
        <v>20780</v>
      </c>
      <c r="E141" s="143">
        <v>140958</v>
      </c>
      <c r="F141" s="117">
        <v>1405</v>
      </c>
      <c r="G141" s="360" t="s">
        <v>302</v>
      </c>
      <c r="H141" s="144">
        <f>bargiri[[#This Row],[میزان بارگیری شده]]*bargiri[[#This Row],[فی]]</f>
        <v>2929107240</v>
      </c>
      <c r="I141" s="360">
        <f>IF(year=bargiri[[#This Row],[سال]],1,0)</f>
        <v>1</v>
      </c>
      <c r="J141" s="360" t="str">
        <f>VLOOKUP(bargiri[[#This Row],[شماره پیش فاکتور]],invoice[],16,0)</f>
        <v>عادی</v>
      </c>
      <c r="K141" s="252">
        <f>bargiri[[#This Row],[فی]]*bargiri[[#This Row],[میزان بارگیری شده]]</f>
        <v>2929107240</v>
      </c>
      <c r="X141" s="1"/>
      <c r="Y141" s="1"/>
      <c r="Z141" s="1"/>
    </row>
    <row r="142" spans="1:26" ht="18.600000000000001">
      <c r="A142" s="360" t="s">
        <v>1186</v>
      </c>
      <c r="B142" s="360" t="s">
        <v>118</v>
      </c>
      <c r="C142" s="355" t="s">
        <v>1164</v>
      </c>
      <c r="D142">
        <v>20750</v>
      </c>
      <c r="E142" s="143">
        <v>140958</v>
      </c>
      <c r="F142" s="117">
        <v>1405</v>
      </c>
      <c r="G142" s="360" t="s">
        <v>302</v>
      </c>
      <c r="H142" s="144">
        <f>bargiri[[#This Row],[میزان بارگیری شده]]*bargiri[[#This Row],[فی]]</f>
        <v>2924878500</v>
      </c>
      <c r="I142" s="360">
        <f>IF(year=bargiri[[#This Row],[سال]],1,0)</f>
        <v>1</v>
      </c>
      <c r="J142" s="360" t="str">
        <f>VLOOKUP(bargiri[[#This Row],[شماره پیش فاکتور]],invoice[],16,0)</f>
        <v>عادی</v>
      </c>
      <c r="K142" s="252">
        <f>bargiri[[#This Row],[فی]]*bargiri[[#This Row],[میزان بارگیری شده]]</f>
        <v>2924878500</v>
      </c>
      <c r="X142" s="1"/>
      <c r="Y142" s="1"/>
      <c r="Z142" s="1"/>
    </row>
    <row r="143" spans="1:26" ht="18.600000000000001">
      <c r="A143" s="360" t="s">
        <v>1185</v>
      </c>
      <c r="B143" s="360" t="s">
        <v>116</v>
      </c>
      <c r="C143" s="355" t="s">
        <v>1116</v>
      </c>
      <c r="D143">
        <v>9160</v>
      </c>
      <c r="E143" s="143">
        <v>240000</v>
      </c>
      <c r="F143" s="117">
        <v>1405</v>
      </c>
      <c r="G143" s="360" t="s">
        <v>302</v>
      </c>
      <c r="H143" s="144">
        <f>bargiri[[#This Row],[میزان بارگیری شده]]*bargiri[[#This Row],[فی]]</f>
        <v>2198400000</v>
      </c>
      <c r="I143" s="360">
        <f>IF(year=bargiri[[#This Row],[سال]],1,0)</f>
        <v>1</v>
      </c>
      <c r="J143" s="360" t="str">
        <f>VLOOKUP(bargiri[[#This Row],[شماره پیش فاکتور]],invoice[],16,0)</f>
        <v>انجمن</v>
      </c>
      <c r="K143" s="252">
        <f>bargiri[[#This Row],[فی]]*bargiri[[#This Row],[میزان بارگیری شده]]</f>
        <v>2198400000</v>
      </c>
      <c r="X143" s="1"/>
      <c r="Y143" s="1"/>
      <c r="Z143" s="1"/>
    </row>
    <row r="144" spans="1:26" ht="18.600000000000001">
      <c r="A144" s="360" t="s">
        <v>1185</v>
      </c>
      <c r="B144" s="360" t="s">
        <v>116</v>
      </c>
      <c r="C144" s="355" t="s">
        <v>972</v>
      </c>
      <c r="D144">
        <v>10650</v>
      </c>
      <c r="E144" s="143">
        <v>116500</v>
      </c>
      <c r="F144" s="117">
        <v>1405</v>
      </c>
      <c r="G144" s="360" t="s">
        <v>302</v>
      </c>
      <c r="H144" s="144">
        <f>bargiri[[#This Row],[میزان بارگیری شده]]*bargiri[[#This Row],[فی]]</f>
        <v>1240725000</v>
      </c>
      <c r="I144" s="360">
        <f>IF(year=bargiri[[#This Row],[سال]],1,0)</f>
        <v>1</v>
      </c>
      <c r="J144" s="360" t="str">
        <f>VLOOKUP(bargiri[[#This Row],[شماره پیش فاکتور]],invoice[],16,0)</f>
        <v>تعادلی</v>
      </c>
      <c r="K144" s="252">
        <f>bargiri[[#This Row],[فی]]*bargiri[[#This Row],[میزان بارگیری شده]]</f>
        <v>1240725000</v>
      </c>
      <c r="X144" s="1"/>
      <c r="Y144" s="1"/>
      <c r="Z144" s="1"/>
    </row>
    <row r="145" spans="1:26" ht="18.600000000000001">
      <c r="A145" s="360" t="s">
        <v>1185</v>
      </c>
      <c r="B145" s="360" t="s">
        <v>1100</v>
      </c>
      <c r="C145" s="355" t="s">
        <v>1099</v>
      </c>
      <c r="D145">
        <v>10290</v>
      </c>
      <c r="E145" s="143">
        <v>240000</v>
      </c>
      <c r="F145" s="117">
        <v>1405</v>
      </c>
      <c r="G145" s="360" t="s">
        <v>302</v>
      </c>
      <c r="H145" s="144">
        <f>bargiri[[#This Row],[میزان بارگیری شده]]*bargiri[[#This Row],[فی]]</f>
        <v>2469600000</v>
      </c>
      <c r="I145" s="360">
        <f>IF(year=bargiri[[#This Row],[سال]],1,0)</f>
        <v>1</v>
      </c>
      <c r="J145" s="360" t="str">
        <f>VLOOKUP(bargiri[[#This Row],[شماره پیش فاکتور]],invoice[],16,0)</f>
        <v>انجمن</v>
      </c>
      <c r="K145" s="252">
        <f>bargiri[[#This Row],[فی]]*bargiri[[#This Row],[میزان بارگیری شده]]</f>
        <v>2469600000</v>
      </c>
      <c r="X145" s="1"/>
      <c r="Y145" s="1"/>
      <c r="Z145" s="1"/>
    </row>
    <row r="146" spans="1:26" ht="18.600000000000001">
      <c r="A146" s="360" t="s">
        <v>1185</v>
      </c>
      <c r="B146" s="360" t="s">
        <v>99</v>
      </c>
      <c r="C146" s="355" t="s">
        <v>821</v>
      </c>
      <c r="D146">
        <v>19970</v>
      </c>
      <c r="E146" s="143">
        <v>105000</v>
      </c>
      <c r="F146" s="117">
        <v>1405</v>
      </c>
      <c r="G146" s="360" t="s">
        <v>302</v>
      </c>
      <c r="H146" s="144">
        <f>bargiri[[#This Row],[میزان بارگیری شده]]*bargiri[[#This Row],[فی]]</f>
        <v>2096850000</v>
      </c>
      <c r="I146" s="360">
        <f>IF(year=bargiri[[#This Row],[سال]],1,0)</f>
        <v>1</v>
      </c>
      <c r="J146" s="360" t="str">
        <f>VLOOKUP(bargiri[[#This Row],[شماره پیش فاکتور]],invoice[],16,0)</f>
        <v>عادی</v>
      </c>
      <c r="K146" s="252">
        <f>bargiri[[#This Row],[فی]]*bargiri[[#This Row],[میزان بارگیری شده]]</f>
        <v>2096850000</v>
      </c>
      <c r="X146" s="1"/>
      <c r="Y146" s="1"/>
      <c r="Z146" s="1"/>
    </row>
    <row r="147" spans="1:26" ht="18.600000000000001">
      <c r="A147" s="360" t="s">
        <v>1185</v>
      </c>
      <c r="B147" s="360" t="s">
        <v>101</v>
      </c>
      <c r="C147" s="355" t="s">
        <v>1103</v>
      </c>
      <c r="D147">
        <v>20130</v>
      </c>
      <c r="E147" s="143">
        <v>240000</v>
      </c>
      <c r="F147" s="117">
        <v>1405</v>
      </c>
      <c r="G147" s="360" t="s">
        <v>302</v>
      </c>
      <c r="H147" s="144">
        <f>bargiri[[#This Row],[میزان بارگیری شده]]*bargiri[[#This Row],[فی]]</f>
        <v>4831200000</v>
      </c>
      <c r="I147" s="360">
        <f>IF(year=bargiri[[#This Row],[سال]],1,0)</f>
        <v>1</v>
      </c>
      <c r="J147" s="360" t="str">
        <f>VLOOKUP(bargiri[[#This Row],[شماره پیش فاکتور]],invoice[],16,0)</f>
        <v>انجمن</v>
      </c>
      <c r="K147" s="252">
        <f>bargiri[[#This Row],[فی]]*bargiri[[#This Row],[میزان بارگیری شده]]</f>
        <v>4831200000</v>
      </c>
      <c r="X147" s="1"/>
      <c r="Y147" s="1"/>
      <c r="Z147" s="1"/>
    </row>
    <row r="148" spans="1:26" ht="18.600000000000001">
      <c r="A148" s="360" t="s">
        <v>1182</v>
      </c>
      <c r="B148" s="360" t="s">
        <v>113</v>
      </c>
      <c r="C148" s="355" t="s">
        <v>822</v>
      </c>
      <c r="D148">
        <v>19840</v>
      </c>
      <c r="E148" s="143">
        <v>105000</v>
      </c>
      <c r="F148" s="117">
        <v>1405</v>
      </c>
      <c r="G148" s="360" t="s">
        <v>302</v>
      </c>
      <c r="H148" s="144">
        <f>bargiri[[#This Row],[میزان بارگیری شده]]*bargiri[[#This Row],[فی]]</f>
        <v>2083200000</v>
      </c>
      <c r="I148" s="360">
        <f>IF(year=bargiri[[#This Row],[سال]],1,0)</f>
        <v>1</v>
      </c>
      <c r="J148" s="360" t="str">
        <f>VLOOKUP(bargiri[[#This Row],[شماره پیش فاکتور]],invoice[],16,0)</f>
        <v>عادی</v>
      </c>
      <c r="K148" s="252">
        <f>bargiri[[#This Row],[فی]]*bargiri[[#This Row],[میزان بارگیری شده]]</f>
        <v>2083200000</v>
      </c>
      <c r="X148" s="1"/>
      <c r="Y148" s="1"/>
      <c r="Z148" s="1"/>
    </row>
    <row r="149" spans="1:26" ht="18.600000000000001">
      <c r="A149" s="360" t="s">
        <v>1182</v>
      </c>
      <c r="B149" s="360" t="s">
        <v>109</v>
      </c>
      <c r="C149" s="355" t="s">
        <v>1036</v>
      </c>
      <c r="D149">
        <v>7180</v>
      </c>
      <c r="E149" s="143">
        <v>240000</v>
      </c>
      <c r="F149" s="117">
        <v>1405</v>
      </c>
      <c r="G149" s="360" t="s">
        <v>302</v>
      </c>
      <c r="H149" s="144">
        <f>bargiri[[#This Row],[میزان بارگیری شده]]*bargiri[[#This Row],[فی]]</f>
        <v>1723200000</v>
      </c>
      <c r="I149" s="360">
        <f>IF(year=bargiri[[#This Row],[سال]],1,0)</f>
        <v>1</v>
      </c>
      <c r="J149" s="360" t="str">
        <f>VLOOKUP(bargiri[[#This Row],[شماره پیش فاکتور]],invoice[],16,0)</f>
        <v>انجمن</v>
      </c>
      <c r="K149" s="252">
        <f>bargiri[[#This Row],[فی]]*bargiri[[#This Row],[میزان بارگیری شده]]</f>
        <v>1723200000</v>
      </c>
      <c r="X149" s="1"/>
      <c r="Y149" s="1"/>
      <c r="Z149" s="1"/>
    </row>
    <row r="150" spans="1:26" ht="18.600000000000001">
      <c r="A150" s="360" t="s">
        <v>1182</v>
      </c>
      <c r="B150" s="360" t="s">
        <v>102</v>
      </c>
      <c r="C150" s="355" t="s">
        <v>1011</v>
      </c>
      <c r="D150">
        <v>11160</v>
      </c>
      <c r="E150" s="143">
        <v>120000</v>
      </c>
      <c r="F150" s="117">
        <v>1405</v>
      </c>
      <c r="G150" s="360" t="s">
        <v>302</v>
      </c>
      <c r="H150" s="144">
        <f>bargiri[[#This Row],[میزان بارگیری شده]]*bargiri[[#This Row],[فی]]</f>
        <v>1339200000</v>
      </c>
      <c r="I150" s="360">
        <f>IF(year=bargiri[[#This Row],[سال]],1,0)</f>
        <v>1</v>
      </c>
      <c r="J150" s="360" t="str">
        <f>VLOOKUP(bargiri[[#This Row],[شماره پیش فاکتور]],invoice[],16,0)</f>
        <v>عادی</v>
      </c>
      <c r="K150" s="252">
        <f>bargiri[[#This Row],[فی]]*bargiri[[#This Row],[میزان بارگیری شده]]</f>
        <v>1339200000</v>
      </c>
      <c r="X150" s="1"/>
      <c r="Y150" s="1"/>
      <c r="Z150" s="1"/>
    </row>
    <row r="151" spans="1:26" ht="18.600000000000001">
      <c r="A151" s="360" t="s">
        <v>1182</v>
      </c>
      <c r="B151" s="360" t="s">
        <v>123</v>
      </c>
      <c r="C151" s="355" t="s">
        <v>1035</v>
      </c>
      <c r="D151">
        <v>7300</v>
      </c>
      <c r="E151" s="143">
        <v>240000</v>
      </c>
      <c r="F151" s="117">
        <v>1405</v>
      </c>
      <c r="G151" s="360" t="s">
        <v>302</v>
      </c>
      <c r="H151" s="144">
        <f>bargiri[[#This Row],[میزان بارگیری شده]]*bargiri[[#This Row],[فی]]</f>
        <v>1752000000</v>
      </c>
      <c r="I151" s="360">
        <f>IF(year=bargiri[[#This Row],[سال]],1,0)</f>
        <v>1</v>
      </c>
      <c r="J151" s="360" t="str">
        <f>VLOOKUP(bargiri[[#This Row],[شماره پیش فاکتور]],invoice[],16,0)</f>
        <v>انجمن</v>
      </c>
      <c r="K151" s="252">
        <f>bargiri[[#This Row],[فی]]*bargiri[[#This Row],[میزان بارگیری شده]]</f>
        <v>1752000000</v>
      </c>
      <c r="X151" s="1"/>
      <c r="Y151" s="1"/>
      <c r="Z151" s="1"/>
    </row>
    <row r="152" spans="1:26" ht="18.600000000000001">
      <c r="A152" s="360" t="s">
        <v>1183</v>
      </c>
      <c r="B152" s="360" t="s">
        <v>117</v>
      </c>
      <c r="C152" s="355" t="s">
        <v>1013</v>
      </c>
      <c r="D152">
        <v>19930</v>
      </c>
      <c r="E152" s="143">
        <v>120000</v>
      </c>
      <c r="F152" s="117">
        <v>1405</v>
      </c>
      <c r="G152" s="360" t="s">
        <v>302</v>
      </c>
      <c r="H152" s="144">
        <f>bargiri[[#This Row],[میزان بارگیری شده]]*bargiri[[#This Row],[فی]]</f>
        <v>2391600000</v>
      </c>
      <c r="I152" s="360">
        <f>IF(year=bargiri[[#This Row],[سال]],1,0)</f>
        <v>1</v>
      </c>
      <c r="J152" s="360" t="str">
        <f>VLOOKUP(bargiri[[#This Row],[شماره پیش فاکتور]],invoice[],16,0)</f>
        <v>عادی</v>
      </c>
      <c r="K152" s="252">
        <f>bargiri[[#This Row],[فی]]*bargiri[[#This Row],[میزان بارگیری شده]]</f>
        <v>2391600000</v>
      </c>
      <c r="X152" s="1"/>
      <c r="Y152" s="1"/>
      <c r="Z152" s="1"/>
    </row>
    <row r="153" spans="1:26" ht="18.600000000000001">
      <c r="A153" s="360" t="s">
        <v>1183</v>
      </c>
      <c r="B153" s="360" t="s">
        <v>118</v>
      </c>
      <c r="C153" s="355" t="s">
        <v>1164</v>
      </c>
      <c r="D153">
        <v>20080</v>
      </c>
      <c r="E153" s="143">
        <v>140958</v>
      </c>
      <c r="F153" s="117">
        <v>1405</v>
      </c>
      <c r="G153" s="360" t="s">
        <v>302</v>
      </c>
      <c r="H153" s="144">
        <f>bargiri[[#This Row],[میزان بارگیری شده]]*bargiri[[#This Row],[فی]]</f>
        <v>2830436640</v>
      </c>
      <c r="I153" s="360">
        <f>IF(year=bargiri[[#This Row],[سال]],1,0)</f>
        <v>1</v>
      </c>
      <c r="J153" s="360" t="str">
        <f>VLOOKUP(bargiri[[#This Row],[شماره پیش فاکتور]],invoice[],16,0)</f>
        <v>عادی</v>
      </c>
      <c r="K153" s="252">
        <f>bargiri[[#This Row],[فی]]*bargiri[[#This Row],[میزان بارگیری شده]]</f>
        <v>2830436640</v>
      </c>
      <c r="X153" s="1"/>
      <c r="Y153" s="1"/>
      <c r="Z153" s="1"/>
    </row>
    <row r="154" spans="1:26" ht="18.600000000000001">
      <c r="A154" s="360" t="s">
        <v>1183</v>
      </c>
      <c r="B154" s="360" t="s">
        <v>118</v>
      </c>
      <c r="C154" s="355" t="s">
        <v>1164</v>
      </c>
      <c r="D154">
        <v>20610</v>
      </c>
      <c r="E154" s="143">
        <v>140958</v>
      </c>
      <c r="F154" s="117">
        <v>1405</v>
      </c>
      <c r="G154" s="360" t="s">
        <v>302</v>
      </c>
      <c r="H154" s="144">
        <f>bargiri[[#This Row],[میزان بارگیری شده]]*bargiri[[#This Row],[فی]]</f>
        <v>2905144380</v>
      </c>
      <c r="I154" s="360">
        <f>IF(year=bargiri[[#This Row],[سال]],1,0)</f>
        <v>1</v>
      </c>
      <c r="J154" s="360" t="str">
        <f>VLOOKUP(bargiri[[#This Row],[شماره پیش فاکتور]],invoice[],16,0)</f>
        <v>عادی</v>
      </c>
      <c r="K154" s="252">
        <f>bargiri[[#This Row],[فی]]*bargiri[[#This Row],[میزان بارگیری شده]]</f>
        <v>2905144380</v>
      </c>
      <c r="X154" s="1"/>
      <c r="Y154" s="1"/>
      <c r="Z154" s="1"/>
    </row>
    <row r="155" spans="1:26" ht="18.600000000000001">
      <c r="A155" s="360" t="s">
        <v>1183</v>
      </c>
      <c r="B155" s="360" t="s">
        <v>118</v>
      </c>
      <c r="C155" s="355" t="s">
        <v>1164</v>
      </c>
      <c r="D155">
        <v>20100</v>
      </c>
      <c r="E155" s="143">
        <v>140958</v>
      </c>
      <c r="F155" s="117">
        <v>1405</v>
      </c>
      <c r="G155" s="360" t="s">
        <v>302</v>
      </c>
      <c r="H155" s="144">
        <f>bargiri[[#This Row],[میزان بارگیری شده]]*bargiri[[#This Row],[فی]]</f>
        <v>2833255800</v>
      </c>
      <c r="I155" s="360">
        <f>IF(year=bargiri[[#This Row],[سال]],1,0)</f>
        <v>1</v>
      </c>
      <c r="J155" s="360" t="str">
        <f>VLOOKUP(bargiri[[#This Row],[شماره پیش فاکتور]],invoice[],16,0)</f>
        <v>عادی</v>
      </c>
      <c r="K155" s="252">
        <f>bargiri[[#This Row],[فی]]*bargiri[[#This Row],[میزان بارگیری شده]]</f>
        <v>2833255800</v>
      </c>
      <c r="X155" s="1"/>
      <c r="Y155" s="1"/>
      <c r="Z155" s="1"/>
    </row>
    <row r="156" spans="1:26" ht="18.600000000000001">
      <c r="A156" s="360" t="s">
        <v>1183</v>
      </c>
      <c r="B156" s="360" t="s">
        <v>118</v>
      </c>
      <c r="C156" s="355" t="s">
        <v>1164</v>
      </c>
      <c r="D156">
        <v>20160</v>
      </c>
      <c r="E156" s="143">
        <v>140958</v>
      </c>
      <c r="F156" s="117">
        <v>1405</v>
      </c>
      <c r="G156" s="360" t="s">
        <v>302</v>
      </c>
      <c r="H156" s="144">
        <f>bargiri[[#This Row],[میزان بارگیری شده]]*bargiri[[#This Row],[فی]]</f>
        <v>2841713280</v>
      </c>
      <c r="I156" s="360">
        <f>IF(year=bargiri[[#This Row],[سال]],1,0)</f>
        <v>1</v>
      </c>
      <c r="J156" s="360" t="str">
        <f>VLOOKUP(bargiri[[#This Row],[شماره پیش فاکتور]],invoice[],16,0)</f>
        <v>عادی</v>
      </c>
      <c r="K156" s="252">
        <f>bargiri[[#This Row],[فی]]*bargiri[[#This Row],[میزان بارگیری شده]]</f>
        <v>2841713280</v>
      </c>
      <c r="X156" s="1"/>
      <c r="Y156" s="1"/>
      <c r="Z156" s="1"/>
    </row>
    <row r="157" spans="1:26" ht="18.600000000000001">
      <c r="A157" s="360" t="s">
        <v>1184</v>
      </c>
      <c r="B157" s="360" t="s">
        <v>114</v>
      </c>
      <c r="C157" s="355" t="s">
        <v>905</v>
      </c>
      <c r="D157">
        <v>21990</v>
      </c>
      <c r="E157" s="143">
        <v>135000</v>
      </c>
      <c r="F157" s="117">
        <v>1405</v>
      </c>
      <c r="G157" s="360" t="s">
        <v>302</v>
      </c>
      <c r="H157" s="144">
        <f>bargiri[[#This Row],[میزان بارگیری شده]]*bargiri[[#This Row],[فی]]</f>
        <v>2968650000</v>
      </c>
      <c r="I157" s="360">
        <f>IF(year=bargiri[[#This Row],[سال]],1,0)</f>
        <v>1</v>
      </c>
      <c r="J157" s="360" t="str">
        <f>VLOOKUP(bargiri[[#This Row],[شماره پیش فاکتور]],invoice[],16,0)</f>
        <v>عادی</v>
      </c>
      <c r="K157" s="252">
        <f>bargiri[[#This Row],[فی]]*bargiri[[#This Row],[میزان بارگیری شده]]</f>
        <v>2968650000</v>
      </c>
      <c r="X157" s="1"/>
      <c r="Y157" s="1"/>
      <c r="Z157" s="1"/>
    </row>
    <row r="158" spans="1:26" ht="18.600000000000001">
      <c r="A158" s="360" t="s">
        <v>1184</v>
      </c>
      <c r="B158" s="360" t="s">
        <v>122</v>
      </c>
      <c r="C158" s="355" t="s">
        <v>1109</v>
      </c>
      <c r="D158">
        <v>22010</v>
      </c>
      <c r="E158" s="143">
        <v>240000</v>
      </c>
      <c r="F158" s="117">
        <v>1405</v>
      </c>
      <c r="G158" s="360" t="s">
        <v>302</v>
      </c>
      <c r="H158" s="144">
        <f>bargiri[[#This Row],[میزان بارگیری شده]]*bargiri[[#This Row],[فی]]</f>
        <v>5282400000</v>
      </c>
      <c r="I158" s="360">
        <f>IF(year=bargiri[[#This Row],[سال]],1,0)</f>
        <v>1</v>
      </c>
      <c r="J158" s="360" t="str">
        <f>VLOOKUP(bargiri[[#This Row],[شماره پیش فاکتور]],invoice[],16,0)</f>
        <v>انجمن</v>
      </c>
      <c r="K158" s="252">
        <f>bargiri[[#This Row],[فی]]*bargiri[[#This Row],[میزان بارگیری شده]]</f>
        <v>5282400000</v>
      </c>
      <c r="X158" s="1"/>
      <c r="Y158" s="1"/>
      <c r="Z158" s="1"/>
    </row>
    <row r="159" spans="1:26" ht="18.600000000000001">
      <c r="A159" s="360" t="s">
        <v>1181</v>
      </c>
      <c r="B159" s="360" t="s">
        <v>116</v>
      </c>
      <c r="C159" s="355" t="s">
        <v>1119</v>
      </c>
      <c r="D159">
        <v>14820</v>
      </c>
      <c r="E159" s="143">
        <v>240000</v>
      </c>
      <c r="F159" s="117">
        <v>1405</v>
      </c>
      <c r="G159" s="360" t="s">
        <v>302</v>
      </c>
      <c r="H159" s="144">
        <f>bargiri[[#This Row],[میزان بارگیری شده]]*bargiri[[#This Row],[فی]]</f>
        <v>3556800000</v>
      </c>
      <c r="I159" s="360">
        <f>IF(year=bargiri[[#This Row],[سال]],1,0)</f>
        <v>1</v>
      </c>
      <c r="J159" s="360" t="str">
        <f>VLOOKUP(bargiri[[#This Row],[شماره پیش فاکتور]],invoice[],16,0)</f>
        <v>بورس</v>
      </c>
      <c r="K159" s="252">
        <f>bargiri[[#This Row],[فی]]*bargiri[[#This Row],[میزان بارگیری شده]]</f>
        <v>3556800000</v>
      </c>
      <c r="X159" s="1"/>
      <c r="Y159" s="1"/>
      <c r="Z159" s="1"/>
    </row>
    <row r="160" spans="1:26" ht="18.600000000000001">
      <c r="A160" s="360" t="s">
        <v>1181</v>
      </c>
      <c r="B160" s="360" t="s">
        <v>109</v>
      </c>
      <c r="C160" s="355" t="s">
        <v>1036</v>
      </c>
      <c r="D160">
        <v>7230</v>
      </c>
      <c r="E160" s="143">
        <v>240000</v>
      </c>
      <c r="F160" s="117">
        <v>1405</v>
      </c>
      <c r="G160" s="360" t="s">
        <v>302</v>
      </c>
      <c r="H160" s="144">
        <f>bargiri[[#This Row],[میزان بارگیری شده]]*bargiri[[#This Row],[فی]]</f>
        <v>1735200000</v>
      </c>
      <c r="I160" s="360">
        <f>IF(year=bargiri[[#This Row],[سال]],1,0)</f>
        <v>1</v>
      </c>
      <c r="J160" s="360" t="str">
        <f>VLOOKUP(bargiri[[#This Row],[شماره پیش فاکتور]],invoice[],16,0)</f>
        <v>انجمن</v>
      </c>
      <c r="K160" s="252">
        <f>bargiri[[#This Row],[فی]]*bargiri[[#This Row],[میزان بارگیری شده]]</f>
        <v>1735200000</v>
      </c>
      <c r="X160" s="1"/>
      <c r="Y160" s="1"/>
      <c r="Z160" s="1"/>
    </row>
    <row r="161" spans="1:26" ht="18.600000000000001">
      <c r="A161" s="360" t="s">
        <v>1181</v>
      </c>
      <c r="B161" s="360" t="s">
        <v>109</v>
      </c>
      <c r="C161" s="355" t="s">
        <v>1036</v>
      </c>
      <c r="D161">
        <v>7360</v>
      </c>
      <c r="E161" s="143">
        <v>240000</v>
      </c>
      <c r="F161" s="117">
        <v>1405</v>
      </c>
      <c r="G161" s="360" t="s">
        <v>302</v>
      </c>
      <c r="H161" s="144">
        <f>bargiri[[#This Row],[میزان بارگیری شده]]*bargiri[[#This Row],[فی]]</f>
        <v>1766400000</v>
      </c>
      <c r="I161" s="360">
        <f>IF(year=bargiri[[#This Row],[سال]],1,0)</f>
        <v>1</v>
      </c>
      <c r="J161" s="360" t="str">
        <f>VLOOKUP(bargiri[[#This Row],[شماره پیش فاکتور]],invoice[],16,0)</f>
        <v>انجمن</v>
      </c>
      <c r="K161" s="252">
        <f>bargiri[[#This Row],[فی]]*bargiri[[#This Row],[میزان بارگیری شده]]</f>
        <v>1766400000</v>
      </c>
      <c r="X161" s="1"/>
      <c r="Y161" s="1"/>
      <c r="Z161" s="1"/>
    </row>
    <row r="162" spans="1:26" ht="18.600000000000001">
      <c r="A162" s="360" t="s">
        <v>1181</v>
      </c>
      <c r="B162" s="360" t="s">
        <v>104</v>
      </c>
      <c r="C162" s="355" t="s">
        <v>1105</v>
      </c>
      <c r="D162">
        <v>18060</v>
      </c>
      <c r="E162" s="143">
        <v>240000</v>
      </c>
      <c r="F162" s="117">
        <v>1405</v>
      </c>
      <c r="G162" s="360" t="s">
        <v>302</v>
      </c>
      <c r="H162" s="144">
        <f>bargiri[[#This Row],[میزان بارگیری شده]]*bargiri[[#This Row],[فی]]</f>
        <v>4334400000</v>
      </c>
      <c r="I162" s="360">
        <f>IF(year=bargiri[[#This Row],[سال]],1,0)</f>
        <v>1</v>
      </c>
      <c r="J162" s="360" t="str">
        <f>VLOOKUP(bargiri[[#This Row],[شماره پیش فاکتور]],invoice[],16,0)</f>
        <v>انجمن</v>
      </c>
      <c r="K162" s="252">
        <f>bargiri[[#This Row],[فی]]*bargiri[[#This Row],[میزان بارگیری شده]]</f>
        <v>4334400000</v>
      </c>
      <c r="X162" s="1"/>
      <c r="Y162" s="1"/>
      <c r="Z162" s="1"/>
    </row>
    <row r="163" spans="1:26" ht="18.600000000000001">
      <c r="A163" s="360" t="s">
        <v>1178</v>
      </c>
      <c r="B163" s="360" t="s">
        <v>102</v>
      </c>
      <c r="C163" s="355" t="s">
        <v>832</v>
      </c>
      <c r="D163">
        <v>11250</v>
      </c>
      <c r="E163" s="143">
        <v>108000</v>
      </c>
      <c r="F163" s="117">
        <v>1405</v>
      </c>
      <c r="G163" s="360" t="s">
        <v>302</v>
      </c>
      <c r="H163" s="144">
        <f>bargiri[[#This Row],[میزان بارگیری شده]]*bargiri[[#This Row],[فی]]</f>
        <v>1215000000</v>
      </c>
      <c r="I163" s="360">
        <f>IF(year=bargiri[[#This Row],[سال]],1,0)</f>
        <v>1</v>
      </c>
      <c r="J163" s="360" t="str">
        <f>VLOOKUP(bargiri[[#This Row],[شماره پیش فاکتور]],invoice[],16,0)</f>
        <v>عادی</v>
      </c>
      <c r="K163" s="252">
        <f>bargiri[[#This Row],[فی]]*bargiri[[#This Row],[میزان بارگیری شده]]</f>
        <v>1215000000</v>
      </c>
      <c r="X163" s="1"/>
      <c r="Y163" s="1"/>
      <c r="Z163" s="1"/>
    </row>
    <row r="164" spans="1:26" ht="18.600000000000001">
      <c r="A164" s="360" t="s">
        <v>1178</v>
      </c>
      <c r="B164" s="360" t="s">
        <v>108</v>
      </c>
      <c r="C164" s="355" t="s">
        <v>1176</v>
      </c>
      <c r="D164">
        <v>10300</v>
      </c>
      <c r="E164" s="143">
        <v>250000</v>
      </c>
      <c r="F164" s="117">
        <v>1405</v>
      </c>
      <c r="G164" s="360" t="s">
        <v>302</v>
      </c>
      <c r="H164" s="144">
        <f>bargiri[[#This Row],[میزان بارگیری شده]]*bargiri[[#This Row],[فی]]</f>
        <v>2575000000</v>
      </c>
      <c r="I164" s="360">
        <f>IF(year=bargiri[[#This Row],[سال]],1,0)</f>
        <v>1</v>
      </c>
      <c r="J164" s="360" t="str">
        <f>VLOOKUP(bargiri[[#This Row],[شماره پیش فاکتور]],invoice[],16,0)</f>
        <v>بورس</v>
      </c>
      <c r="K164" s="252">
        <f>bargiri[[#This Row],[فی]]*bargiri[[#This Row],[میزان بارگیری شده]]</f>
        <v>2575000000</v>
      </c>
      <c r="X164" s="1"/>
      <c r="Y164" s="1"/>
      <c r="Z164" s="1"/>
    </row>
    <row r="165" spans="1:26" ht="18.600000000000001">
      <c r="A165" s="360" t="s">
        <v>1174</v>
      </c>
      <c r="B165" s="360" t="s">
        <v>125</v>
      </c>
      <c r="C165" s="355" t="s">
        <v>1009</v>
      </c>
      <c r="D165">
        <v>13790</v>
      </c>
      <c r="E165" s="143">
        <v>120000</v>
      </c>
      <c r="F165" s="117">
        <v>1405</v>
      </c>
      <c r="G165" s="360" t="s">
        <v>302</v>
      </c>
      <c r="H165" s="144">
        <f>bargiri[[#This Row],[میزان بارگیری شده]]*bargiri[[#This Row],[فی]]</f>
        <v>1654800000</v>
      </c>
      <c r="I165" s="360">
        <f>IF(year=bargiri[[#This Row],[سال]],1,0)</f>
        <v>1</v>
      </c>
      <c r="J165" s="360" t="str">
        <f>VLOOKUP(bargiri[[#This Row],[شماره پیش فاکتور]],invoice[],16,0)</f>
        <v>عادی</v>
      </c>
      <c r="K165" s="252">
        <f>bargiri[[#This Row],[فی]]*bargiri[[#This Row],[میزان بارگیری شده]]</f>
        <v>1654800000</v>
      </c>
      <c r="X165" s="1"/>
      <c r="Y165" s="1"/>
      <c r="Z165" s="1"/>
    </row>
    <row r="166" spans="1:26" ht="18.600000000000001">
      <c r="A166" s="360" t="s">
        <v>1175</v>
      </c>
      <c r="B166" s="360" t="s">
        <v>99</v>
      </c>
      <c r="C166" s="355" t="s">
        <v>821</v>
      </c>
      <c r="D166">
        <v>9830</v>
      </c>
      <c r="E166" s="143">
        <v>105000</v>
      </c>
      <c r="F166" s="117">
        <v>1405</v>
      </c>
      <c r="G166" s="360" t="s">
        <v>302</v>
      </c>
      <c r="H166" s="144">
        <f>bargiri[[#This Row],[میزان بارگیری شده]]*bargiri[[#This Row],[فی]]</f>
        <v>1032150000</v>
      </c>
      <c r="I166" s="360">
        <f>IF(year=bargiri[[#This Row],[سال]],1,0)</f>
        <v>1</v>
      </c>
      <c r="J166" s="360" t="str">
        <f>VLOOKUP(bargiri[[#This Row],[شماره پیش فاکتور]],invoice[],16,0)</f>
        <v>عادی</v>
      </c>
      <c r="K166" s="252">
        <f>bargiri[[#This Row],[فی]]*bargiri[[#This Row],[میزان بارگیری شده]]</f>
        <v>1032150000</v>
      </c>
      <c r="X166" s="1"/>
      <c r="Y166" s="1"/>
      <c r="Z166" s="1"/>
    </row>
    <row r="167" spans="1:26" ht="18.600000000000001">
      <c r="A167" s="360" t="s">
        <v>1173</v>
      </c>
      <c r="B167" s="360" t="s">
        <v>118</v>
      </c>
      <c r="C167" s="355" t="s">
        <v>1164</v>
      </c>
      <c r="D167">
        <v>20150</v>
      </c>
      <c r="E167" s="143">
        <v>140958</v>
      </c>
      <c r="F167" s="117">
        <v>1405</v>
      </c>
      <c r="G167" s="360" t="s">
        <v>302</v>
      </c>
      <c r="H167" s="144">
        <f>bargiri[[#This Row],[میزان بارگیری شده]]*bargiri[[#This Row],[فی]]</f>
        <v>2840303700</v>
      </c>
      <c r="I167" s="360">
        <f>IF(year=bargiri[[#This Row],[سال]],1,0)</f>
        <v>1</v>
      </c>
      <c r="J167" s="360" t="str">
        <f>VLOOKUP(bargiri[[#This Row],[شماره پیش فاکتور]],invoice[],16,0)</f>
        <v>عادی</v>
      </c>
      <c r="K167" s="252">
        <f>bargiri[[#This Row],[فی]]*bargiri[[#This Row],[میزان بارگیری شده]]</f>
        <v>2840303700</v>
      </c>
      <c r="X167" s="1"/>
      <c r="Y167" s="1"/>
      <c r="Z167" s="1"/>
    </row>
    <row r="168" spans="1:26" ht="18.600000000000001">
      <c r="A168" s="360" t="s">
        <v>1173</v>
      </c>
      <c r="B168" s="360" t="s">
        <v>118</v>
      </c>
      <c r="C168" s="355" t="s">
        <v>1164</v>
      </c>
      <c r="D168">
        <v>19870</v>
      </c>
      <c r="E168" s="143">
        <v>140958</v>
      </c>
      <c r="F168" s="117">
        <v>1405</v>
      </c>
      <c r="G168" s="360" t="s">
        <v>302</v>
      </c>
      <c r="H168" s="144">
        <f>bargiri[[#This Row],[میزان بارگیری شده]]*bargiri[[#This Row],[فی]]</f>
        <v>2800835460</v>
      </c>
      <c r="I168" s="360">
        <f>IF(year=bargiri[[#This Row],[سال]],1,0)</f>
        <v>1</v>
      </c>
      <c r="J168" s="360" t="str">
        <f>VLOOKUP(bargiri[[#This Row],[شماره پیش فاکتور]],invoice[],16,0)</f>
        <v>عادی</v>
      </c>
      <c r="K168" s="252">
        <f>bargiri[[#This Row],[فی]]*bargiri[[#This Row],[میزان بارگیری شده]]</f>
        <v>2800835460</v>
      </c>
      <c r="X168" s="1"/>
      <c r="Y168" s="1"/>
      <c r="Z168" s="1"/>
    </row>
    <row r="169" spans="1:26" ht="18.600000000000001">
      <c r="A169" s="360" t="s">
        <v>1173</v>
      </c>
      <c r="B169" s="360" t="s">
        <v>118</v>
      </c>
      <c r="C169" s="355" t="s">
        <v>1164</v>
      </c>
      <c r="D169">
        <v>20120</v>
      </c>
      <c r="E169" s="143">
        <v>140958</v>
      </c>
      <c r="F169" s="117">
        <v>1405</v>
      </c>
      <c r="G169" s="360" t="s">
        <v>302</v>
      </c>
      <c r="H169" s="144">
        <f>bargiri[[#This Row],[میزان بارگیری شده]]*bargiri[[#This Row],[فی]]</f>
        <v>2836074960</v>
      </c>
      <c r="I169" s="360">
        <f>IF(year=bargiri[[#This Row],[سال]],1,0)</f>
        <v>1</v>
      </c>
      <c r="J169" s="360" t="str">
        <f>VLOOKUP(bargiri[[#This Row],[شماره پیش فاکتور]],invoice[],16,0)</f>
        <v>عادی</v>
      </c>
      <c r="K169" s="252">
        <f>bargiri[[#This Row],[فی]]*bargiri[[#This Row],[میزان بارگیری شده]]</f>
        <v>2836074960</v>
      </c>
      <c r="X169" s="1"/>
      <c r="Y169" s="1"/>
      <c r="Z169" s="1"/>
    </row>
    <row r="170" spans="1:26" ht="18.600000000000001">
      <c r="A170" s="360" t="s">
        <v>1172</v>
      </c>
      <c r="B170" s="360" t="s">
        <v>102</v>
      </c>
      <c r="C170" s="355" t="s">
        <v>1050</v>
      </c>
      <c r="D170">
        <v>10940</v>
      </c>
      <c r="E170" s="143">
        <v>240000</v>
      </c>
      <c r="F170" s="117">
        <v>1405</v>
      </c>
      <c r="G170" s="360" t="s">
        <v>302</v>
      </c>
      <c r="H170" s="144">
        <f>bargiri[[#This Row],[میزان بارگیری شده]]*bargiri[[#This Row],[فی]]</f>
        <v>2625600000</v>
      </c>
      <c r="I170" s="360">
        <f>IF(year=bargiri[[#This Row],[سال]],1,0)</f>
        <v>1</v>
      </c>
      <c r="J170" s="360" t="str">
        <f>VLOOKUP(bargiri[[#This Row],[شماره پیش فاکتور]],invoice[],16,0)</f>
        <v>انجمن</v>
      </c>
      <c r="K170" s="252">
        <f>bargiri[[#This Row],[فی]]*bargiri[[#This Row],[میزان بارگیری شده]]</f>
        <v>2625600000</v>
      </c>
      <c r="X170" s="1"/>
      <c r="Y170" s="1"/>
      <c r="Z170" s="1"/>
    </row>
    <row r="171" spans="1:26" ht="18.600000000000001">
      <c r="A171" s="360" t="s">
        <v>1172</v>
      </c>
      <c r="B171" s="360" t="s">
        <v>109</v>
      </c>
      <c r="C171" s="355" t="s">
        <v>1036</v>
      </c>
      <c r="D171">
        <v>7660</v>
      </c>
      <c r="E171" s="143">
        <v>240000</v>
      </c>
      <c r="F171" s="117">
        <v>1405</v>
      </c>
      <c r="G171" s="360" t="s">
        <v>302</v>
      </c>
      <c r="H171" s="144">
        <f>bargiri[[#This Row],[میزان بارگیری شده]]*bargiri[[#This Row],[فی]]</f>
        <v>1838400000</v>
      </c>
      <c r="I171" s="360">
        <f>IF(year=bargiri[[#This Row],[سال]],1,0)</f>
        <v>1</v>
      </c>
      <c r="J171" s="360" t="str">
        <f>VLOOKUP(bargiri[[#This Row],[شماره پیش فاکتور]],invoice[],16,0)</f>
        <v>انجمن</v>
      </c>
      <c r="K171" s="252">
        <f>bargiri[[#This Row],[فی]]*bargiri[[#This Row],[میزان بارگیری شده]]</f>
        <v>1838400000</v>
      </c>
      <c r="X171" s="1"/>
      <c r="Y171" s="1"/>
      <c r="Z171" s="1"/>
    </row>
    <row r="172" spans="1:26" ht="18.600000000000001">
      <c r="A172" s="360" t="s">
        <v>1172</v>
      </c>
      <c r="B172" s="360" t="s">
        <v>1118</v>
      </c>
      <c r="C172" s="355" t="s">
        <v>1117</v>
      </c>
      <c r="D172">
        <v>19640</v>
      </c>
      <c r="E172" s="143">
        <v>240000</v>
      </c>
      <c r="F172" s="117">
        <v>1405</v>
      </c>
      <c r="G172" s="360" t="s">
        <v>302</v>
      </c>
      <c r="H172" s="144">
        <f>bargiri[[#This Row],[میزان بارگیری شده]]*bargiri[[#This Row],[فی]]</f>
        <v>4713600000</v>
      </c>
      <c r="I172" s="360">
        <f>IF(year=bargiri[[#This Row],[سال]],1,0)</f>
        <v>1</v>
      </c>
      <c r="J172" s="360" t="str">
        <f>VLOOKUP(bargiri[[#This Row],[شماره پیش فاکتور]],invoice[],16,0)</f>
        <v>انجمن</v>
      </c>
      <c r="K172" s="252">
        <f>bargiri[[#This Row],[فی]]*bargiri[[#This Row],[میزان بارگیری شده]]</f>
        <v>4713600000</v>
      </c>
      <c r="X172" s="1"/>
      <c r="Y172" s="1"/>
      <c r="Z172" s="1"/>
    </row>
    <row r="173" spans="1:26" ht="18.600000000000001">
      <c r="A173" s="360" t="s">
        <v>1170</v>
      </c>
      <c r="B173" s="360" t="s">
        <v>113</v>
      </c>
      <c r="C173" s="355" t="s">
        <v>822</v>
      </c>
      <c r="D173">
        <v>18340</v>
      </c>
      <c r="E173" s="143">
        <v>105000</v>
      </c>
      <c r="F173" s="117">
        <v>1405</v>
      </c>
      <c r="G173" s="360" t="s">
        <v>302</v>
      </c>
      <c r="H173" s="144">
        <f>bargiri[[#This Row],[میزان بارگیری شده]]*bargiri[[#This Row],[فی]]</f>
        <v>1925700000</v>
      </c>
      <c r="I173" s="360">
        <f>IF(year=bargiri[[#This Row],[سال]],1,0)</f>
        <v>1</v>
      </c>
      <c r="J173" s="360" t="str">
        <f>VLOOKUP(bargiri[[#This Row],[شماره پیش فاکتور]],invoice[],16,0)</f>
        <v>عادی</v>
      </c>
      <c r="K173" s="252">
        <f>bargiri[[#This Row],[فی]]*bargiri[[#This Row],[میزان بارگیری شده]]</f>
        <v>1925700000</v>
      </c>
      <c r="X173" s="1"/>
      <c r="Y173" s="1"/>
      <c r="Z173" s="1"/>
    </row>
    <row r="174" spans="1:26" ht="18.600000000000001">
      <c r="A174" s="360" t="s">
        <v>1170</v>
      </c>
      <c r="B174" s="360" t="s">
        <v>1042</v>
      </c>
      <c r="C174" s="355" t="s">
        <v>1040</v>
      </c>
      <c r="D174">
        <v>20970</v>
      </c>
      <c r="E174" s="143">
        <v>240000</v>
      </c>
      <c r="F174" s="117">
        <v>1405</v>
      </c>
      <c r="G174" s="360" t="s">
        <v>302</v>
      </c>
      <c r="H174" s="144">
        <f>bargiri[[#This Row],[میزان بارگیری شده]]*bargiri[[#This Row],[فی]]</f>
        <v>5032800000</v>
      </c>
      <c r="I174" s="360">
        <f>IF(year=bargiri[[#This Row],[سال]],1,0)</f>
        <v>1</v>
      </c>
      <c r="J174" s="360" t="str">
        <f>VLOOKUP(bargiri[[#This Row],[شماره پیش فاکتور]],invoice[],16,0)</f>
        <v>انجمن</v>
      </c>
      <c r="K174" s="252">
        <f>bargiri[[#This Row],[فی]]*bargiri[[#This Row],[میزان بارگیری شده]]</f>
        <v>5032800000</v>
      </c>
      <c r="X174" s="1"/>
      <c r="Y174" s="1"/>
      <c r="Z174" s="1"/>
    </row>
    <row r="175" spans="1:26" ht="18.600000000000001">
      <c r="A175" s="360" t="s">
        <v>1170</v>
      </c>
      <c r="B175" s="360" t="s">
        <v>106</v>
      </c>
      <c r="C175" s="355" t="s">
        <v>913</v>
      </c>
      <c r="D175">
        <v>20100</v>
      </c>
      <c r="E175" s="143">
        <v>125000</v>
      </c>
      <c r="F175" s="117">
        <v>1405</v>
      </c>
      <c r="G175" s="360" t="s">
        <v>302</v>
      </c>
      <c r="H175" s="144">
        <f>bargiri[[#This Row],[میزان بارگیری شده]]*bargiri[[#This Row],[فی]]</f>
        <v>2512500000</v>
      </c>
      <c r="I175" s="360">
        <f>IF(year=bargiri[[#This Row],[سال]],1,0)</f>
        <v>1</v>
      </c>
      <c r="J175" s="360" t="str">
        <f>VLOOKUP(bargiri[[#This Row],[شماره پیش فاکتور]],invoice[],16,0)</f>
        <v>عادی</v>
      </c>
      <c r="K175" s="252">
        <f>bargiri[[#This Row],[فی]]*bargiri[[#This Row],[میزان بارگیری شده]]</f>
        <v>2512500000</v>
      </c>
      <c r="X175" s="1"/>
      <c r="Y175" s="1"/>
      <c r="Z175" s="1"/>
    </row>
    <row r="176" spans="1:26" ht="18.600000000000001">
      <c r="A176" s="360" t="s">
        <v>1170</v>
      </c>
      <c r="B176" s="360" t="s">
        <v>116</v>
      </c>
      <c r="C176" s="355" t="s">
        <v>972</v>
      </c>
      <c r="D176">
        <v>19960</v>
      </c>
      <c r="E176" s="143">
        <v>116500</v>
      </c>
      <c r="F176" s="117">
        <v>1405</v>
      </c>
      <c r="G176" s="360" t="s">
        <v>302</v>
      </c>
      <c r="H176" s="144">
        <f>bargiri[[#This Row],[میزان بارگیری شده]]*bargiri[[#This Row],[فی]]</f>
        <v>2325340000</v>
      </c>
      <c r="I176" s="360">
        <f>IF(year=bargiri[[#This Row],[سال]],1,0)</f>
        <v>1</v>
      </c>
      <c r="J176" s="360" t="str">
        <f>VLOOKUP(bargiri[[#This Row],[شماره پیش فاکتور]],invoice[],16,0)</f>
        <v>تعادلی</v>
      </c>
      <c r="K176" s="252">
        <f>bargiri[[#This Row],[فی]]*bargiri[[#This Row],[میزان بارگیری شده]]</f>
        <v>2325340000</v>
      </c>
      <c r="X176" s="1"/>
      <c r="Y176" s="1"/>
      <c r="Z176" s="1"/>
    </row>
    <row r="177" spans="1:26" ht="18.600000000000001">
      <c r="A177" s="360" t="s">
        <v>1171</v>
      </c>
      <c r="B177" s="360" t="s">
        <v>118</v>
      </c>
      <c r="C177" s="355" t="s">
        <v>1164</v>
      </c>
      <c r="D177">
        <v>20110</v>
      </c>
      <c r="E177" s="143">
        <v>140958</v>
      </c>
      <c r="F177" s="117">
        <v>1405</v>
      </c>
      <c r="G177" s="360" t="s">
        <v>302</v>
      </c>
      <c r="H177" s="144">
        <f>bargiri[[#This Row],[میزان بارگیری شده]]*bargiri[[#This Row],[فی]]</f>
        <v>2834665380</v>
      </c>
      <c r="I177" s="360">
        <f>IF(year=bargiri[[#This Row],[سال]],1,0)</f>
        <v>1</v>
      </c>
      <c r="J177" s="360" t="str">
        <f>VLOOKUP(bargiri[[#This Row],[شماره پیش فاکتور]],invoice[],16,0)</f>
        <v>عادی</v>
      </c>
      <c r="K177" s="252">
        <f>bargiri[[#This Row],[فی]]*bargiri[[#This Row],[میزان بارگیری شده]]</f>
        <v>2834665380</v>
      </c>
      <c r="X177" s="1"/>
      <c r="Y177" s="1"/>
      <c r="Z177" s="1"/>
    </row>
    <row r="178" spans="1:26" ht="18.600000000000001">
      <c r="A178" s="360" t="s">
        <v>1171</v>
      </c>
      <c r="B178" s="360" t="s">
        <v>118</v>
      </c>
      <c r="C178" s="355" t="s">
        <v>1164</v>
      </c>
      <c r="D178">
        <v>20150</v>
      </c>
      <c r="E178" s="143">
        <v>140958</v>
      </c>
      <c r="F178" s="117">
        <v>1405</v>
      </c>
      <c r="G178" s="360" t="s">
        <v>302</v>
      </c>
      <c r="H178" s="144">
        <f>bargiri[[#This Row],[میزان بارگیری شده]]*bargiri[[#This Row],[فی]]</f>
        <v>2840303700</v>
      </c>
      <c r="I178" s="360">
        <f>IF(year=bargiri[[#This Row],[سال]],1,0)</f>
        <v>1</v>
      </c>
      <c r="J178" s="360" t="str">
        <f>VLOOKUP(bargiri[[#This Row],[شماره پیش فاکتور]],invoice[],16,0)</f>
        <v>عادی</v>
      </c>
      <c r="K178" s="252">
        <f>bargiri[[#This Row],[فی]]*bargiri[[#This Row],[میزان بارگیری شده]]</f>
        <v>2840303700</v>
      </c>
      <c r="X178" s="1"/>
      <c r="Y178" s="1"/>
      <c r="Z178" s="1"/>
    </row>
    <row r="179" spans="1:26" ht="18.600000000000001">
      <c r="A179" s="360" t="s">
        <v>1171</v>
      </c>
      <c r="B179" s="360" t="s">
        <v>118</v>
      </c>
      <c r="C179" s="355" t="s">
        <v>1164</v>
      </c>
      <c r="D179">
        <v>20080</v>
      </c>
      <c r="E179" s="143">
        <v>140958</v>
      </c>
      <c r="F179" s="117">
        <v>1405</v>
      </c>
      <c r="G179" s="360" t="s">
        <v>302</v>
      </c>
      <c r="H179" s="144">
        <f>bargiri[[#This Row],[میزان بارگیری شده]]*bargiri[[#This Row],[فی]]</f>
        <v>2830436640</v>
      </c>
      <c r="I179" s="360">
        <f>IF(year=bargiri[[#This Row],[سال]],1,0)</f>
        <v>1</v>
      </c>
      <c r="J179" s="360" t="str">
        <f>VLOOKUP(bargiri[[#This Row],[شماره پیش فاکتور]],invoice[],16,0)</f>
        <v>عادی</v>
      </c>
      <c r="K179" s="252">
        <f>bargiri[[#This Row],[فی]]*bargiri[[#This Row],[میزان بارگیری شده]]</f>
        <v>2830436640</v>
      </c>
      <c r="X179" s="1"/>
      <c r="Y179" s="1"/>
      <c r="Z179" s="1"/>
    </row>
    <row r="180" spans="1:26" ht="18.600000000000001">
      <c r="A180" s="360" t="s">
        <v>1169</v>
      </c>
      <c r="B180" s="360" t="s">
        <v>122</v>
      </c>
      <c r="C180" s="355" t="s">
        <v>633</v>
      </c>
      <c r="D180">
        <v>15210</v>
      </c>
      <c r="E180" s="143">
        <v>120000</v>
      </c>
      <c r="F180" s="117">
        <v>1405</v>
      </c>
      <c r="G180" s="360" t="s">
        <v>302</v>
      </c>
      <c r="H180" s="144">
        <f>bargiri[[#This Row],[میزان بارگیری شده]]*bargiri[[#This Row],[فی]]</f>
        <v>1825200000</v>
      </c>
      <c r="I180" s="360">
        <f>IF(year=bargiri[[#This Row],[سال]],1,0)</f>
        <v>1</v>
      </c>
      <c r="J180" s="360" t="str">
        <f>VLOOKUP(bargiri[[#This Row],[شماره پیش فاکتور]],invoice[],16,0)</f>
        <v>عادی</v>
      </c>
      <c r="K180" s="252">
        <f>bargiri[[#This Row],[فی]]*bargiri[[#This Row],[میزان بارگیری شده]]</f>
        <v>1825200000</v>
      </c>
      <c r="X180" s="1"/>
      <c r="Y180" s="1"/>
      <c r="Z180" s="1"/>
    </row>
    <row r="181" spans="1:26" ht="18.600000000000001">
      <c r="A181" s="360" t="s">
        <v>1161</v>
      </c>
      <c r="B181" s="360" t="s">
        <v>118</v>
      </c>
      <c r="C181" s="355" t="s">
        <v>1164</v>
      </c>
      <c r="D181">
        <v>20170</v>
      </c>
      <c r="E181" s="143">
        <v>140958</v>
      </c>
      <c r="F181" s="117">
        <v>1405</v>
      </c>
      <c r="G181" s="360" t="s">
        <v>303</v>
      </c>
      <c r="H181" s="144">
        <f>bargiri[[#This Row],[میزان بارگیری شده]]*bargiri[[#This Row],[فی]]</f>
        <v>2843122860</v>
      </c>
      <c r="I181" s="360">
        <f>IF(year=bargiri[[#This Row],[سال]],1,0)</f>
        <v>1</v>
      </c>
      <c r="J181" s="360" t="str">
        <f>VLOOKUP(bargiri[[#This Row],[شماره پیش فاکتور]],invoice[],16,0)</f>
        <v>عادی</v>
      </c>
      <c r="K181" s="252">
        <f>bargiri[[#This Row],[فی]]*bargiri[[#This Row],[میزان بارگیری شده]]</f>
        <v>2843122860</v>
      </c>
      <c r="X181" s="1"/>
      <c r="Y181" s="1"/>
      <c r="Z181" s="1"/>
    </row>
    <row r="182" spans="1:26" ht="18.600000000000001">
      <c r="A182" s="360" t="s">
        <v>1161</v>
      </c>
      <c r="B182" s="360" t="s">
        <v>118</v>
      </c>
      <c r="C182" s="355" t="s">
        <v>1164</v>
      </c>
      <c r="D182">
        <v>20210</v>
      </c>
      <c r="E182" s="143">
        <v>140958</v>
      </c>
      <c r="F182" s="117">
        <v>1405</v>
      </c>
      <c r="G182" s="360" t="s">
        <v>303</v>
      </c>
      <c r="H182" s="144">
        <f>bargiri[[#This Row],[میزان بارگیری شده]]*bargiri[[#This Row],[فی]]</f>
        <v>2848761180</v>
      </c>
      <c r="I182" s="360">
        <f>IF(year=bargiri[[#This Row],[سال]],1,0)</f>
        <v>1</v>
      </c>
      <c r="J182" s="360" t="str">
        <f>VLOOKUP(bargiri[[#This Row],[شماره پیش فاکتور]],invoice[],16,0)</f>
        <v>عادی</v>
      </c>
      <c r="K182" s="252">
        <f>bargiri[[#This Row],[فی]]*bargiri[[#This Row],[میزان بارگیری شده]]</f>
        <v>2848761180</v>
      </c>
      <c r="X182" s="1"/>
      <c r="Y182" s="1"/>
      <c r="Z182" s="1"/>
    </row>
    <row r="183" spans="1:26" ht="18.600000000000001">
      <c r="A183" s="360" t="s">
        <v>1161</v>
      </c>
      <c r="B183" s="360" t="s">
        <v>118</v>
      </c>
      <c r="C183" s="355" t="s">
        <v>1160</v>
      </c>
      <c r="D183">
        <v>10520</v>
      </c>
      <c r="E183" s="143">
        <v>140958</v>
      </c>
      <c r="F183" s="117">
        <v>1405</v>
      </c>
      <c r="G183" s="360" t="s">
        <v>303</v>
      </c>
      <c r="H183" s="144">
        <f>bargiri[[#This Row],[میزان بارگیری شده]]*bargiri[[#This Row],[فی]]</f>
        <v>1482878160</v>
      </c>
      <c r="I183" s="360">
        <f>IF(year=bargiri[[#This Row],[سال]],1,0)</f>
        <v>1</v>
      </c>
      <c r="J183" s="360" t="str">
        <f>VLOOKUP(bargiri[[#This Row],[شماره پیش فاکتور]],invoice[],16,0)</f>
        <v>عادی</v>
      </c>
      <c r="K183" s="252">
        <f>bargiri[[#This Row],[فی]]*bargiri[[#This Row],[میزان بارگیری شده]]</f>
        <v>1482878160</v>
      </c>
      <c r="X183" s="1"/>
      <c r="Y183" s="1"/>
      <c r="Z183" s="1"/>
    </row>
    <row r="184" spans="1:26" ht="18.600000000000001">
      <c r="A184" s="360" t="s">
        <v>1161</v>
      </c>
      <c r="B184" s="360" t="s">
        <v>118</v>
      </c>
      <c r="C184" s="355" t="s">
        <v>1164</v>
      </c>
      <c r="D184">
        <v>9550</v>
      </c>
      <c r="E184" s="143">
        <v>140958</v>
      </c>
      <c r="F184" s="117">
        <v>1405</v>
      </c>
      <c r="G184" s="360" t="s">
        <v>303</v>
      </c>
      <c r="H184" s="144">
        <f>bargiri[[#This Row],[میزان بارگیری شده]]*bargiri[[#This Row],[فی]]</f>
        <v>1346148900</v>
      </c>
      <c r="I184" s="360">
        <f>IF(year=bargiri[[#This Row],[سال]],1,0)</f>
        <v>1</v>
      </c>
      <c r="J184" s="360" t="str">
        <f>VLOOKUP(bargiri[[#This Row],[شماره پیش فاکتور]],invoice[],16,0)</f>
        <v>عادی</v>
      </c>
      <c r="K184" s="252">
        <f>bargiri[[#This Row],[فی]]*bargiri[[#This Row],[میزان بارگیری شده]]</f>
        <v>1346148900</v>
      </c>
      <c r="X184" s="1"/>
      <c r="Y184" s="1"/>
      <c r="Z184" s="1"/>
    </row>
    <row r="185" spans="1:26" ht="18.600000000000001">
      <c r="A185" s="360" t="s">
        <v>1161</v>
      </c>
      <c r="B185" s="360" t="s">
        <v>118</v>
      </c>
      <c r="C185" s="355" t="s">
        <v>1160</v>
      </c>
      <c r="D185">
        <v>20030</v>
      </c>
      <c r="E185" s="143">
        <v>140958</v>
      </c>
      <c r="F185" s="117">
        <v>1405</v>
      </c>
      <c r="G185" s="360" t="s">
        <v>303</v>
      </c>
      <c r="H185" s="144">
        <f>bargiri[[#This Row],[میزان بارگیری شده]]*bargiri[[#This Row],[فی]]</f>
        <v>2823388740</v>
      </c>
      <c r="I185" s="360">
        <f>IF(year=bargiri[[#This Row],[سال]],1,0)</f>
        <v>1</v>
      </c>
      <c r="J185" s="360" t="str">
        <f>VLOOKUP(bargiri[[#This Row],[شماره پیش فاکتور]],invoice[],16,0)</f>
        <v>عادی</v>
      </c>
      <c r="K185" s="252">
        <f>bargiri[[#This Row],[فی]]*bargiri[[#This Row],[میزان بارگیری شده]]</f>
        <v>2823388740</v>
      </c>
      <c r="X185" s="1"/>
      <c r="Y185" s="1"/>
      <c r="Z185" s="1"/>
    </row>
    <row r="186" spans="1:26" ht="18.600000000000001">
      <c r="A186" s="360" t="s">
        <v>1161</v>
      </c>
      <c r="B186" s="360" t="s">
        <v>118</v>
      </c>
      <c r="C186" s="355" t="s">
        <v>1160</v>
      </c>
      <c r="D186">
        <v>20020</v>
      </c>
      <c r="E186" s="143">
        <v>140958</v>
      </c>
      <c r="F186" s="117">
        <v>1405</v>
      </c>
      <c r="G186" s="360" t="s">
        <v>303</v>
      </c>
      <c r="H186" s="144">
        <f>bargiri[[#This Row],[میزان بارگیری شده]]*bargiri[[#This Row],[فی]]</f>
        <v>2821979160</v>
      </c>
      <c r="I186" s="360">
        <f>IF(year=bargiri[[#This Row],[سال]],1,0)</f>
        <v>1</v>
      </c>
      <c r="J186" s="360" t="str">
        <f>VLOOKUP(bargiri[[#This Row],[شماره پیش فاکتور]],invoice[],16,0)</f>
        <v>عادی</v>
      </c>
      <c r="K186" s="252">
        <f>bargiri[[#This Row],[فی]]*bargiri[[#This Row],[میزان بارگیری شده]]</f>
        <v>2821979160</v>
      </c>
      <c r="X186" s="1"/>
      <c r="Y186" s="1"/>
      <c r="Z186" s="1"/>
    </row>
    <row r="187" spans="1:26" ht="18.600000000000001">
      <c r="A187" s="360" t="s">
        <v>1159</v>
      </c>
      <c r="B187" s="360" t="s">
        <v>118</v>
      </c>
      <c r="C187" s="355" t="s">
        <v>1160</v>
      </c>
      <c r="D187">
        <v>20360</v>
      </c>
      <c r="E187" s="143">
        <v>140958</v>
      </c>
      <c r="F187" s="117">
        <v>1405</v>
      </c>
      <c r="G187" s="360" t="s">
        <v>303</v>
      </c>
      <c r="H187" s="144">
        <f>bargiri[[#This Row],[میزان بارگیری شده]]*bargiri[[#This Row],[فی]]</f>
        <v>2869904880</v>
      </c>
      <c r="I187" s="360">
        <f>IF(year=bargiri[[#This Row],[سال]],1,0)</f>
        <v>1</v>
      </c>
      <c r="J187" s="360" t="str">
        <f>VLOOKUP(bargiri[[#This Row],[شماره پیش فاکتور]],invoice[],16,0)</f>
        <v>عادی</v>
      </c>
      <c r="K187" s="252">
        <f>bargiri[[#This Row],[فی]]*bargiri[[#This Row],[میزان بارگیری شده]]</f>
        <v>2869904880</v>
      </c>
      <c r="X187" s="1"/>
      <c r="Y187" s="1"/>
      <c r="Z187" s="1"/>
    </row>
    <row r="188" spans="1:26" ht="18.600000000000001">
      <c r="A188" s="360" t="s">
        <v>1159</v>
      </c>
      <c r="B188" s="360" t="s">
        <v>118</v>
      </c>
      <c r="C188" s="355" t="s">
        <v>1160</v>
      </c>
      <c r="D188">
        <v>21030</v>
      </c>
      <c r="E188" s="143">
        <v>140958</v>
      </c>
      <c r="F188" s="117">
        <v>1405</v>
      </c>
      <c r="G188" s="360" t="s">
        <v>303</v>
      </c>
      <c r="H188" s="144">
        <f>bargiri[[#This Row],[میزان بارگیری شده]]*bargiri[[#This Row],[فی]]</f>
        <v>2964346740</v>
      </c>
      <c r="I188" s="360">
        <f>IF(year=bargiri[[#This Row],[سال]],1,0)</f>
        <v>1</v>
      </c>
      <c r="J188" s="360" t="str">
        <f>VLOOKUP(bargiri[[#This Row],[شماره پیش فاکتور]],invoice[],16,0)</f>
        <v>عادی</v>
      </c>
      <c r="K188" s="252">
        <f>bargiri[[#This Row],[فی]]*bargiri[[#This Row],[میزان بارگیری شده]]</f>
        <v>2964346740</v>
      </c>
      <c r="X188" s="1"/>
      <c r="Y188" s="1"/>
      <c r="Z188" s="1"/>
    </row>
    <row r="189" spans="1:26" ht="18.600000000000001">
      <c r="A189" s="360" t="s">
        <v>1159</v>
      </c>
      <c r="B189" s="360" t="s">
        <v>118</v>
      </c>
      <c r="C189" s="355" t="s">
        <v>1160</v>
      </c>
      <c r="D189">
        <v>20520</v>
      </c>
      <c r="E189" s="143">
        <v>140958</v>
      </c>
      <c r="F189" s="117">
        <v>1405</v>
      </c>
      <c r="G189" s="360" t="s">
        <v>303</v>
      </c>
      <c r="H189" s="144">
        <f>bargiri[[#This Row],[میزان بارگیری شده]]*bargiri[[#This Row],[فی]]</f>
        <v>2892458160</v>
      </c>
      <c r="I189" s="360">
        <f>IF(year=bargiri[[#This Row],[سال]],1,0)</f>
        <v>1</v>
      </c>
      <c r="J189" s="360" t="str">
        <f>VLOOKUP(bargiri[[#This Row],[شماره پیش فاکتور]],invoice[],16,0)</f>
        <v>عادی</v>
      </c>
      <c r="K189" s="252">
        <f>bargiri[[#This Row],[فی]]*bargiri[[#This Row],[میزان بارگیری شده]]</f>
        <v>2892458160</v>
      </c>
      <c r="X189" s="1"/>
      <c r="Y189" s="1"/>
      <c r="Z189" s="1"/>
    </row>
    <row r="190" spans="1:26" ht="18.600000000000001">
      <c r="A190" s="360" t="s">
        <v>1159</v>
      </c>
      <c r="B190" s="360" t="s">
        <v>118</v>
      </c>
      <c r="C190" s="355" t="s">
        <v>1160</v>
      </c>
      <c r="D190">
        <v>20650</v>
      </c>
      <c r="E190" s="143">
        <v>140958</v>
      </c>
      <c r="F190" s="117">
        <v>1405</v>
      </c>
      <c r="G190" s="360" t="s">
        <v>303</v>
      </c>
      <c r="H190" s="144">
        <f>bargiri[[#This Row],[میزان بارگیری شده]]*bargiri[[#This Row],[فی]]</f>
        <v>2910782700</v>
      </c>
      <c r="I190" s="360">
        <f>IF(year=bargiri[[#This Row],[سال]],1,0)</f>
        <v>1</v>
      </c>
      <c r="J190" s="360" t="str">
        <f>VLOOKUP(bargiri[[#This Row],[شماره پیش فاکتور]],invoice[],16,0)</f>
        <v>عادی</v>
      </c>
      <c r="K190" s="252">
        <f>bargiri[[#This Row],[فی]]*bargiri[[#This Row],[میزان بارگیری شده]]</f>
        <v>2910782700</v>
      </c>
      <c r="X190" s="1"/>
      <c r="Y190" s="1"/>
      <c r="Z190" s="1"/>
    </row>
    <row r="191" spans="1:26" ht="18.600000000000001">
      <c r="A191" s="360" t="s">
        <v>1154</v>
      </c>
      <c r="B191" s="360" t="s">
        <v>118</v>
      </c>
      <c r="C191" s="355" t="s">
        <v>1160</v>
      </c>
      <c r="D191">
        <v>20670</v>
      </c>
      <c r="E191" s="143">
        <v>140958</v>
      </c>
      <c r="F191" s="117">
        <v>1405</v>
      </c>
      <c r="G191" s="360" t="s">
        <v>303</v>
      </c>
      <c r="H191" s="144">
        <f>bargiri[[#This Row],[میزان بارگیری شده]]*bargiri[[#This Row],[فی]]</f>
        <v>2913601860</v>
      </c>
      <c r="I191" s="360">
        <f>IF(year=bargiri[[#This Row],[سال]],1,0)</f>
        <v>1</v>
      </c>
      <c r="J191" s="360" t="str">
        <f>VLOOKUP(bargiri[[#This Row],[شماره پیش فاکتور]],invoice[],16,0)</f>
        <v>عادی</v>
      </c>
      <c r="K191" s="252">
        <f>bargiri[[#This Row],[فی]]*bargiri[[#This Row],[میزان بارگیری شده]]</f>
        <v>2913601860</v>
      </c>
      <c r="X191" s="1"/>
      <c r="Y191" s="1"/>
      <c r="Z191" s="1"/>
    </row>
    <row r="192" spans="1:26" ht="18.600000000000001">
      <c r="A192" s="360" t="s">
        <v>1154</v>
      </c>
      <c r="B192" s="360" t="s">
        <v>118</v>
      </c>
      <c r="C192" s="355" t="s">
        <v>1160</v>
      </c>
      <c r="D192">
        <v>20530</v>
      </c>
      <c r="E192" s="143">
        <v>140958</v>
      </c>
      <c r="F192" s="117">
        <v>1405</v>
      </c>
      <c r="G192" s="360" t="s">
        <v>303</v>
      </c>
      <c r="H192" s="144">
        <f>bargiri[[#This Row],[میزان بارگیری شده]]*bargiri[[#This Row],[فی]]</f>
        <v>2893867740</v>
      </c>
      <c r="I192" s="360">
        <f>IF(year=bargiri[[#This Row],[سال]],1,0)</f>
        <v>1</v>
      </c>
      <c r="J192" s="360" t="str">
        <f>VLOOKUP(bargiri[[#This Row],[شماره پیش فاکتور]],invoice[],16,0)</f>
        <v>عادی</v>
      </c>
      <c r="K192" s="252">
        <f>bargiri[[#This Row],[فی]]*bargiri[[#This Row],[میزان بارگیری شده]]</f>
        <v>2893867740</v>
      </c>
      <c r="X192" s="1"/>
      <c r="Y192" s="1"/>
      <c r="Z192" s="1"/>
    </row>
    <row r="193" spans="1:26" ht="18.600000000000001">
      <c r="A193" s="360" t="s">
        <v>1154</v>
      </c>
      <c r="B193" s="360" t="s">
        <v>118</v>
      </c>
      <c r="C193" s="355" t="s">
        <v>1160</v>
      </c>
      <c r="D193">
        <v>19860</v>
      </c>
      <c r="E193" s="143">
        <v>140958</v>
      </c>
      <c r="F193" s="117">
        <v>1405</v>
      </c>
      <c r="G193" s="360" t="s">
        <v>303</v>
      </c>
      <c r="H193" s="144">
        <f>bargiri[[#This Row],[میزان بارگیری شده]]*bargiri[[#This Row],[فی]]</f>
        <v>2799425880</v>
      </c>
      <c r="I193" s="360">
        <f>IF(year=bargiri[[#This Row],[سال]],1,0)</f>
        <v>1</v>
      </c>
      <c r="J193" s="360" t="str">
        <f>VLOOKUP(bargiri[[#This Row],[شماره پیش فاکتور]],invoice[],16,0)</f>
        <v>عادی</v>
      </c>
      <c r="K193" s="252">
        <f>bargiri[[#This Row],[فی]]*bargiri[[#This Row],[میزان بارگیری شده]]</f>
        <v>2799425880</v>
      </c>
      <c r="X193" s="1"/>
      <c r="Y193" s="1"/>
      <c r="Z193" s="1"/>
    </row>
    <row r="194" spans="1:26" ht="18.600000000000001">
      <c r="A194" s="360" t="s">
        <v>1153</v>
      </c>
      <c r="B194" s="360" t="s">
        <v>118</v>
      </c>
      <c r="C194" s="355" t="s">
        <v>1160</v>
      </c>
      <c r="D194">
        <v>20480</v>
      </c>
      <c r="E194" s="143">
        <v>140958</v>
      </c>
      <c r="F194" s="117">
        <v>1405</v>
      </c>
      <c r="G194" s="360" t="s">
        <v>303</v>
      </c>
      <c r="H194" s="144">
        <f>bargiri[[#This Row],[میزان بارگیری شده]]*bargiri[[#This Row],[فی]]</f>
        <v>2886819840</v>
      </c>
      <c r="I194" s="360">
        <f>IF(year=bargiri[[#This Row],[سال]],1,0)</f>
        <v>1</v>
      </c>
      <c r="J194" s="360" t="str">
        <f>VLOOKUP(bargiri[[#This Row],[شماره پیش فاکتور]],invoice[],16,0)</f>
        <v>عادی</v>
      </c>
      <c r="K194" s="252">
        <f>bargiri[[#This Row],[فی]]*bargiri[[#This Row],[میزان بارگیری شده]]</f>
        <v>2886819840</v>
      </c>
      <c r="X194" s="1"/>
      <c r="Y194" s="1"/>
      <c r="Z194" s="1"/>
    </row>
    <row r="195" spans="1:26" ht="18.600000000000001">
      <c r="A195" s="360" t="s">
        <v>1153</v>
      </c>
      <c r="B195" s="360" t="s">
        <v>118</v>
      </c>
      <c r="C195" s="355" t="s">
        <v>1160</v>
      </c>
      <c r="D195">
        <v>20620</v>
      </c>
      <c r="E195" s="143">
        <v>140958</v>
      </c>
      <c r="F195" s="117">
        <v>1405</v>
      </c>
      <c r="G195" s="360" t="s">
        <v>303</v>
      </c>
      <c r="H195" s="144">
        <f>bargiri[[#This Row],[میزان بارگیری شده]]*bargiri[[#This Row],[فی]]</f>
        <v>2906553960</v>
      </c>
      <c r="I195" s="360">
        <f>IF(year=bargiri[[#This Row],[سال]],1,0)</f>
        <v>1</v>
      </c>
      <c r="J195" s="360" t="str">
        <f>VLOOKUP(bargiri[[#This Row],[شماره پیش فاکتور]],invoice[],16,0)</f>
        <v>عادی</v>
      </c>
      <c r="K195" s="252">
        <f>bargiri[[#This Row],[فی]]*bargiri[[#This Row],[میزان بارگیری شده]]</f>
        <v>2906553960</v>
      </c>
      <c r="X195" s="1"/>
      <c r="Y195" s="1"/>
      <c r="Z195" s="1"/>
    </row>
    <row r="196" spans="1:26" ht="18.600000000000001">
      <c r="A196" s="360" t="s">
        <v>1153</v>
      </c>
      <c r="B196" s="360" t="s">
        <v>118</v>
      </c>
      <c r="C196" s="355" t="s">
        <v>1160</v>
      </c>
      <c r="D196">
        <v>20830</v>
      </c>
      <c r="E196" s="143">
        <v>140958</v>
      </c>
      <c r="F196" s="117">
        <v>1405</v>
      </c>
      <c r="G196" s="360" t="s">
        <v>303</v>
      </c>
      <c r="H196" s="144">
        <f>bargiri[[#This Row],[میزان بارگیری شده]]*bargiri[[#This Row],[فی]]</f>
        <v>2936155140</v>
      </c>
      <c r="I196" s="360">
        <f>IF(year=bargiri[[#This Row],[سال]],1,0)</f>
        <v>1</v>
      </c>
      <c r="J196" s="360" t="str">
        <f>VLOOKUP(bargiri[[#This Row],[شماره پیش فاکتور]],invoice[],16,0)</f>
        <v>عادی</v>
      </c>
      <c r="K196" s="252">
        <f>bargiri[[#This Row],[فی]]*bargiri[[#This Row],[میزان بارگیری شده]]</f>
        <v>2936155140</v>
      </c>
      <c r="X196" s="1"/>
      <c r="Y196" s="1"/>
      <c r="Z196" s="1"/>
    </row>
    <row r="197" spans="1:26" ht="18.600000000000001">
      <c r="A197" s="360" t="s">
        <v>1167</v>
      </c>
      <c r="B197" s="360" t="s">
        <v>118</v>
      </c>
      <c r="C197" s="355" t="s">
        <v>1160</v>
      </c>
      <c r="D197">
        <v>20160</v>
      </c>
      <c r="E197" s="143">
        <v>140958</v>
      </c>
      <c r="F197" s="117">
        <v>1405</v>
      </c>
      <c r="G197" s="360" t="s">
        <v>303</v>
      </c>
      <c r="H197" s="144">
        <f>bargiri[[#This Row],[میزان بارگیری شده]]*bargiri[[#This Row],[فی]]</f>
        <v>2841713280</v>
      </c>
      <c r="I197" s="360">
        <f>IF(year=bargiri[[#This Row],[سال]],1,0)</f>
        <v>1</v>
      </c>
      <c r="J197" s="360" t="str">
        <f>VLOOKUP(bargiri[[#This Row],[شماره پیش فاکتور]],invoice[],16,0)</f>
        <v>عادی</v>
      </c>
      <c r="K197" s="252">
        <f>bargiri[[#This Row],[فی]]*bargiri[[#This Row],[میزان بارگیری شده]]</f>
        <v>2841713280</v>
      </c>
      <c r="X197" s="1"/>
      <c r="Y197" s="1"/>
      <c r="Z197" s="1"/>
    </row>
    <row r="198" spans="1:26" ht="18.600000000000001">
      <c r="A198" s="360" t="s">
        <v>1152</v>
      </c>
      <c r="B198" s="360" t="s">
        <v>118</v>
      </c>
      <c r="C198" s="355" t="s">
        <v>1160</v>
      </c>
      <c r="D198">
        <v>21170</v>
      </c>
      <c r="E198" s="143">
        <v>140958</v>
      </c>
      <c r="F198" s="117">
        <v>1405</v>
      </c>
      <c r="G198" s="360" t="s">
        <v>303</v>
      </c>
      <c r="H198" s="144">
        <f>bargiri[[#This Row],[میزان بارگیری شده]]*bargiri[[#This Row],[فی]]</f>
        <v>2984080860</v>
      </c>
      <c r="I198" s="360">
        <f>IF(year=bargiri[[#This Row],[سال]],1,0)</f>
        <v>1</v>
      </c>
      <c r="J198" s="360" t="str">
        <f>VLOOKUP(bargiri[[#This Row],[شماره پیش فاکتور]],invoice[],16,0)</f>
        <v>عادی</v>
      </c>
      <c r="K198" s="252">
        <f>bargiri[[#This Row],[فی]]*bargiri[[#This Row],[میزان بارگیری شده]]</f>
        <v>2984080860</v>
      </c>
      <c r="X198" s="1"/>
      <c r="Y198" s="1"/>
      <c r="Z198" s="1"/>
    </row>
    <row r="199" spans="1:26" ht="18.600000000000001">
      <c r="A199" s="360" t="s">
        <v>1152</v>
      </c>
      <c r="B199" s="360" t="s">
        <v>118</v>
      </c>
      <c r="C199" s="355" t="s">
        <v>1160</v>
      </c>
      <c r="D199">
        <v>20700</v>
      </c>
      <c r="E199" s="143">
        <v>140958</v>
      </c>
      <c r="F199" s="117">
        <v>1405</v>
      </c>
      <c r="G199" s="360" t="s">
        <v>303</v>
      </c>
      <c r="H199" s="144">
        <f>bargiri[[#This Row],[میزان بارگیری شده]]*bargiri[[#This Row],[فی]]</f>
        <v>2917830600</v>
      </c>
      <c r="I199" s="360">
        <f>IF(year=bargiri[[#This Row],[سال]],1,0)</f>
        <v>1</v>
      </c>
      <c r="J199" s="360" t="str">
        <f>VLOOKUP(bargiri[[#This Row],[شماره پیش فاکتور]],invoice[],16,0)</f>
        <v>عادی</v>
      </c>
      <c r="K199" s="252">
        <f>bargiri[[#This Row],[فی]]*bargiri[[#This Row],[میزان بارگیری شده]]</f>
        <v>2917830600</v>
      </c>
      <c r="X199" s="1"/>
      <c r="Y199" s="1"/>
      <c r="Z199" s="1"/>
    </row>
    <row r="200" spans="1:26" ht="18.600000000000001">
      <c r="A200" s="360" t="s">
        <v>1152</v>
      </c>
      <c r="B200" s="360" t="s">
        <v>118</v>
      </c>
      <c r="C200" s="355" t="s">
        <v>1160</v>
      </c>
      <c r="D200">
        <v>20620</v>
      </c>
      <c r="E200" s="143">
        <v>140958</v>
      </c>
      <c r="F200" s="117">
        <v>1405</v>
      </c>
      <c r="G200" s="360" t="s">
        <v>303</v>
      </c>
      <c r="H200" s="144">
        <f>bargiri[[#This Row],[میزان بارگیری شده]]*bargiri[[#This Row],[فی]]</f>
        <v>2906553960</v>
      </c>
      <c r="I200" s="360">
        <f>IF(year=bargiri[[#This Row],[سال]],1,0)</f>
        <v>1</v>
      </c>
      <c r="J200" s="360" t="str">
        <f>VLOOKUP(bargiri[[#This Row],[شماره پیش فاکتور]],invoice[],16,0)</f>
        <v>عادی</v>
      </c>
      <c r="K200" s="252">
        <f>bargiri[[#This Row],[فی]]*bargiri[[#This Row],[میزان بارگیری شده]]</f>
        <v>2906553960</v>
      </c>
      <c r="X200" s="1"/>
      <c r="Y200" s="1"/>
      <c r="Z200" s="1"/>
    </row>
    <row r="201" spans="1:26" ht="18.600000000000001">
      <c r="A201" s="360" t="s">
        <v>1152</v>
      </c>
      <c r="B201" s="360" t="s">
        <v>118</v>
      </c>
      <c r="C201" s="355" t="s">
        <v>1160</v>
      </c>
      <c r="D201">
        <v>20430</v>
      </c>
      <c r="E201" s="143">
        <v>140958</v>
      </c>
      <c r="F201" s="117">
        <v>1405</v>
      </c>
      <c r="G201" s="360" t="s">
        <v>303</v>
      </c>
      <c r="H201" s="144">
        <f>bargiri[[#This Row],[میزان بارگیری شده]]*bargiri[[#This Row],[فی]]</f>
        <v>2879771940</v>
      </c>
      <c r="I201" s="360">
        <f>IF(year=bargiri[[#This Row],[سال]],1,0)</f>
        <v>1</v>
      </c>
      <c r="J201" s="360" t="str">
        <f>VLOOKUP(bargiri[[#This Row],[شماره پیش فاکتور]],invoice[],16,0)</f>
        <v>عادی</v>
      </c>
      <c r="K201" s="252">
        <f>bargiri[[#This Row],[فی]]*bargiri[[#This Row],[میزان بارگیری شده]]</f>
        <v>2879771940</v>
      </c>
      <c r="X201" s="1"/>
      <c r="Y201" s="1"/>
      <c r="Z201" s="1"/>
    </row>
    <row r="202" spans="1:26" ht="18.600000000000001">
      <c r="A202" s="360" t="s">
        <v>1152</v>
      </c>
      <c r="B202" s="360" t="s">
        <v>118</v>
      </c>
      <c r="C202" s="355" t="s">
        <v>1160</v>
      </c>
      <c r="D202">
        <v>21280</v>
      </c>
      <c r="E202" s="143">
        <v>140958</v>
      </c>
      <c r="F202" s="117">
        <v>1405</v>
      </c>
      <c r="G202" s="360" t="s">
        <v>303</v>
      </c>
      <c r="H202" s="144">
        <f>bargiri[[#This Row],[میزان بارگیری شده]]*bargiri[[#This Row],[فی]]</f>
        <v>2999586240</v>
      </c>
      <c r="I202" s="360">
        <f>IF(year=bargiri[[#This Row],[سال]],1,0)</f>
        <v>1</v>
      </c>
      <c r="J202" s="360" t="str">
        <f>VLOOKUP(bargiri[[#This Row],[شماره پیش فاکتور]],invoice[],16,0)</f>
        <v>عادی</v>
      </c>
      <c r="K202" s="252">
        <f>bargiri[[#This Row],[فی]]*bargiri[[#This Row],[میزان بارگیری شده]]</f>
        <v>2999586240</v>
      </c>
      <c r="X202" s="1"/>
      <c r="Y202" s="1"/>
      <c r="Z202" s="1"/>
    </row>
    <row r="203" spans="1:26" ht="18.600000000000001">
      <c r="A203" s="360" t="s">
        <v>1168</v>
      </c>
      <c r="B203" s="360" t="s">
        <v>118</v>
      </c>
      <c r="C203" s="355" t="s">
        <v>1160</v>
      </c>
      <c r="D203">
        <v>20490</v>
      </c>
      <c r="E203" s="143">
        <v>140958</v>
      </c>
      <c r="F203" s="117">
        <v>1405</v>
      </c>
      <c r="G203" s="360" t="s">
        <v>303</v>
      </c>
      <c r="H203" s="144">
        <f>bargiri[[#This Row],[میزان بارگیری شده]]*bargiri[[#This Row],[فی]]</f>
        <v>2888229420</v>
      </c>
      <c r="I203" s="360">
        <f>IF(year=bargiri[[#This Row],[سال]],1,0)</f>
        <v>1</v>
      </c>
      <c r="J203" s="360" t="str">
        <f>VLOOKUP(bargiri[[#This Row],[شماره پیش فاکتور]],invoice[],16,0)</f>
        <v>عادی</v>
      </c>
      <c r="K203" s="252">
        <f>bargiri[[#This Row],[فی]]*bargiri[[#This Row],[میزان بارگیری شده]]</f>
        <v>2888229420</v>
      </c>
      <c r="X203" s="1"/>
      <c r="Y203" s="1"/>
      <c r="Z203" s="1"/>
    </row>
    <row r="204" spans="1:26" ht="18.600000000000001">
      <c r="A204" s="360" t="s">
        <v>1168</v>
      </c>
      <c r="B204" s="360" t="s">
        <v>118</v>
      </c>
      <c r="C204" s="355" t="s">
        <v>1160</v>
      </c>
      <c r="D204">
        <v>20690</v>
      </c>
      <c r="E204" s="143">
        <v>140958</v>
      </c>
      <c r="F204" s="117">
        <v>1405</v>
      </c>
      <c r="G204" s="360" t="s">
        <v>303</v>
      </c>
      <c r="H204" s="144">
        <f>bargiri[[#This Row],[میزان بارگیری شده]]*bargiri[[#This Row],[فی]]</f>
        <v>2916421020</v>
      </c>
      <c r="I204" s="360">
        <f>IF(year=bargiri[[#This Row],[سال]],1,0)</f>
        <v>1</v>
      </c>
      <c r="J204" s="360" t="str">
        <f>VLOOKUP(bargiri[[#This Row],[شماره پیش فاکتور]],invoice[],16,0)</f>
        <v>عادی</v>
      </c>
      <c r="K204" s="252">
        <f>bargiri[[#This Row],[فی]]*bargiri[[#This Row],[میزان بارگیری شده]]</f>
        <v>2916421020</v>
      </c>
      <c r="X204" s="1"/>
      <c r="Y204" s="1"/>
      <c r="Z204" s="1"/>
    </row>
    <row r="205" spans="1:26" ht="18.600000000000001">
      <c r="A205" s="360" t="s">
        <v>1168</v>
      </c>
      <c r="B205" s="360" t="s">
        <v>118</v>
      </c>
      <c r="C205" s="355" t="s">
        <v>1160</v>
      </c>
      <c r="D205">
        <v>20660</v>
      </c>
      <c r="E205" s="143">
        <v>140958</v>
      </c>
      <c r="F205" s="117">
        <v>1405</v>
      </c>
      <c r="G205" s="360" t="s">
        <v>303</v>
      </c>
      <c r="H205" s="144">
        <f>bargiri[[#This Row],[میزان بارگیری شده]]*bargiri[[#This Row],[فی]]</f>
        <v>2912192280</v>
      </c>
      <c r="I205" s="360">
        <f>IF(year=bargiri[[#This Row],[سال]],1,0)</f>
        <v>1</v>
      </c>
      <c r="J205" s="360" t="str">
        <f>VLOOKUP(bargiri[[#This Row],[شماره پیش فاکتور]],invoice[],16,0)</f>
        <v>عادی</v>
      </c>
      <c r="K205" s="252">
        <f>bargiri[[#This Row],[فی]]*bargiri[[#This Row],[میزان بارگیری شده]]</f>
        <v>2912192280</v>
      </c>
      <c r="X205" s="1"/>
      <c r="Y205" s="1"/>
      <c r="Z205" s="1"/>
    </row>
    <row r="206" spans="1:26" ht="18.600000000000001">
      <c r="A206" s="360" t="s">
        <v>1168</v>
      </c>
      <c r="B206" s="360" t="s">
        <v>118</v>
      </c>
      <c r="C206" s="355" t="s">
        <v>1160</v>
      </c>
      <c r="D206">
        <v>20480</v>
      </c>
      <c r="E206" s="143">
        <v>140958</v>
      </c>
      <c r="F206" s="117">
        <v>1405</v>
      </c>
      <c r="G206" s="360" t="s">
        <v>303</v>
      </c>
      <c r="H206" s="144">
        <f>bargiri[[#This Row],[میزان بارگیری شده]]*bargiri[[#This Row],[فی]]</f>
        <v>2886819840</v>
      </c>
      <c r="I206" s="360">
        <f>IF(year=bargiri[[#This Row],[سال]],1,0)</f>
        <v>1</v>
      </c>
      <c r="J206" s="360" t="str">
        <f>VLOOKUP(bargiri[[#This Row],[شماره پیش فاکتور]],invoice[],16,0)</f>
        <v>عادی</v>
      </c>
      <c r="K206" s="252">
        <f>bargiri[[#This Row],[فی]]*bargiri[[#This Row],[میزان بارگیری شده]]</f>
        <v>2886819840</v>
      </c>
      <c r="X206" s="1"/>
      <c r="Y206" s="1"/>
      <c r="Z206" s="1"/>
    </row>
    <row r="207" spans="1:26" ht="18.600000000000001">
      <c r="A207" s="360" t="s">
        <v>1168</v>
      </c>
      <c r="B207" s="360" t="s">
        <v>118</v>
      </c>
      <c r="C207" s="355" t="s">
        <v>1160</v>
      </c>
      <c r="D207">
        <v>21060</v>
      </c>
      <c r="E207" s="143">
        <v>140958</v>
      </c>
      <c r="F207" s="117">
        <v>1405</v>
      </c>
      <c r="G207" s="360" t="s">
        <v>303</v>
      </c>
      <c r="H207" s="144">
        <f>bargiri[[#This Row],[میزان بارگیری شده]]*bargiri[[#This Row],[فی]]</f>
        <v>2968575480</v>
      </c>
      <c r="I207" s="360">
        <f>IF(year=bargiri[[#This Row],[سال]],1,0)</f>
        <v>1</v>
      </c>
      <c r="J207" s="360" t="str">
        <f>VLOOKUP(bargiri[[#This Row],[شماره پیش فاکتور]],invoice[],16,0)</f>
        <v>عادی</v>
      </c>
      <c r="K207" s="252">
        <f>bargiri[[#This Row],[فی]]*bargiri[[#This Row],[میزان بارگیری شده]]</f>
        <v>2968575480</v>
      </c>
      <c r="X207" s="1"/>
      <c r="Y207" s="1"/>
      <c r="Z207" s="1"/>
    </row>
    <row r="208" spans="1:26" ht="18.600000000000001">
      <c r="A208" s="360" t="s">
        <v>1150</v>
      </c>
      <c r="B208" s="360" t="s">
        <v>118</v>
      </c>
      <c r="C208" s="355" t="s">
        <v>1149</v>
      </c>
      <c r="D208">
        <v>4470</v>
      </c>
      <c r="E208" s="143">
        <v>137072</v>
      </c>
      <c r="F208" s="117">
        <v>1405</v>
      </c>
      <c r="G208" s="360" t="s">
        <v>303</v>
      </c>
      <c r="H208" s="144">
        <f>bargiri[[#This Row],[میزان بارگیری شده]]*bargiri[[#This Row],[فی]]</f>
        <v>612711840</v>
      </c>
      <c r="I208" s="360">
        <f>IF(year=bargiri[[#This Row],[سال]],1,0)</f>
        <v>1</v>
      </c>
      <c r="J208" s="360" t="str">
        <f>VLOOKUP(bargiri[[#This Row],[شماره پیش فاکتور]],invoice[],16,0)</f>
        <v>عادی</v>
      </c>
      <c r="K208" s="252">
        <f>bargiri[[#This Row],[فی]]*bargiri[[#This Row],[میزان بارگیری شده]]</f>
        <v>612711840</v>
      </c>
      <c r="X208" s="1"/>
      <c r="Y208" s="1"/>
      <c r="Z208" s="1"/>
    </row>
    <row r="209" spans="1:26" ht="18.600000000000001">
      <c r="A209" s="360" t="s">
        <v>1150</v>
      </c>
      <c r="B209" s="360" t="s">
        <v>118</v>
      </c>
      <c r="C209" s="355" t="s">
        <v>1160</v>
      </c>
      <c r="D209">
        <v>16140</v>
      </c>
      <c r="E209" s="143">
        <v>140958</v>
      </c>
      <c r="F209" s="117">
        <v>1405</v>
      </c>
      <c r="G209" s="360" t="s">
        <v>303</v>
      </c>
      <c r="H209" s="144">
        <f>bargiri[[#This Row],[میزان بارگیری شده]]*bargiri[[#This Row],[فی]]</f>
        <v>2275062120</v>
      </c>
      <c r="I209" s="360">
        <f>IF(year=bargiri[[#This Row],[سال]],1,0)</f>
        <v>1</v>
      </c>
      <c r="J209" s="360" t="str">
        <f>VLOOKUP(bargiri[[#This Row],[شماره پیش فاکتور]],invoice[],16,0)</f>
        <v>عادی</v>
      </c>
      <c r="K209" s="252">
        <f>bargiri[[#This Row],[فی]]*bargiri[[#This Row],[میزان بارگیری شده]]</f>
        <v>2275062120</v>
      </c>
      <c r="X209" s="1"/>
      <c r="Y209" s="1"/>
      <c r="Z209" s="1"/>
    </row>
    <row r="210" spans="1:26" ht="18.600000000000001">
      <c r="A210" s="360" t="s">
        <v>1169</v>
      </c>
      <c r="B210" s="360" t="s">
        <v>99</v>
      </c>
      <c r="C210" s="355" t="s">
        <v>821</v>
      </c>
      <c r="D210">
        <v>19000</v>
      </c>
      <c r="E210" s="143">
        <v>105000</v>
      </c>
      <c r="F210" s="117">
        <v>1405</v>
      </c>
      <c r="G210" s="360" t="s">
        <v>302</v>
      </c>
      <c r="H210" s="144">
        <f>bargiri[[#This Row],[میزان بارگیری شده]]*bargiri[[#This Row],[فی]]</f>
        <v>1995000000</v>
      </c>
      <c r="I210" s="360">
        <f>IF(year=bargiri[[#This Row],[سال]],1,0)</f>
        <v>1</v>
      </c>
      <c r="J210" s="360" t="str">
        <f>VLOOKUP(bargiri[[#This Row],[شماره پیش فاکتور]],invoice[],16,0)</f>
        <v>عادی</v>
      </c>
      <c r="K210" s="252">
        <f>bargiri[[#This Row],[فی]]*bargiri[[#This Row],[میزان بارگیری شده]]</f>
        <v>1995000000</v>
      </c>
      <c r="X210" s="1"/>
      <c r="Y210" s="1"/>
      <c r="Z210" s="1"/>
    </row>
    <row r="211" spans="1:26" ht="18.600000000000001">
      <c r="A211" s="360" t="s">
        <v>1169</v>
      </c>
      <c r="B211" s="360" t="s">
        <v>125</v>
      </c>
      <c r="C211" s="355" t="s">
        <v>1009</v>
      </c>
      <c r="D211">
        <v>14470</v>
      </c>
      <c r="E211" s="143">
        <v>120000</v>
      </c>
      <c r="F211" s="117">
        <v>1405</v>
      </c>
      <c r="G211" s="360" t="s">
        <v>302</v>
      </c>
      <c r="H211" s="144">
        <f>bargiri[[#This Row],[میزان بارگیری شده]]*bargiri[[#This Row],[فی]]</f>
        <v>1736400000</v>
      </c>
      <c r="I211" s="360">
        <f>IF(year=bargiri[[#This Row],[سال]],1,0)</f>
        <v>1</v>
      </c>
      <c r="J211" s="360" t="str">
        <f>VLOOKUP(bargiri[[#This Row],[شماره پیش فاکتور]],invoice[],16,0)</f>
        <v>عادی</v>
      </c>
      <c r="K211" s="252">
        <f>bargiri[[#This Row],[فی]]*bargiri[[#This Row],[میزان بارگیری شده]]</f>
        <v>1736400000</v>
      </c>
      <c r="X211" s="1"/>
      <c r="Y211" s="1"/>
      <c r="Z211" s="1"/>
    </row>
    <row r="212" spans="1:26" ht="18.600000000000001">
      <c r="A212" s="360" t="s">
        <v>1162</v>
      </c>
      <c r="B212" s="360" t="s">
        <v>1100</v>
      </c>
      <c r="C212" s="355" t="s">
        <v>1099</v>
      </c>
      <c r="D212">
        <v>10260</v>
      </c>
      <c r="E212" s="143">
        <v>240000</v>
      </c>
      <c r="F212" s="117">
        <v>1405</v>
      </c>
      <c r="G212" s="360" t="s">
        <v>303</v>
      </c>
      <c r="H212" s="144">
        <f>bargiri[[#This Row],[میزان بارگیری شده]]*bargiri[[#This Row],[فی]]</f>
        <v>2462400000</v>
      </c>
      <c r="I212" s="360">
        <f>IF(year=bargiri[[#This Row],[سال]],1,0)</f>
        <v>1</v>
      </c>
      <c r="J212" s="360" t="str">
        <f>VLOOKUP(bargiri[[#This Row],[شماره پیش فاکتور]],invoice[],16,0)</f>
        <v>انجمن</v>
      </c>
      <c r="K212" s="252">
        <f>bargiri[[#This Row],[فی]]*bargiri[[#This Row],[میزان بارگیری شده]]</f>
        <v>2462400000</v>
      </c>
      <c r="X212" s="1"/>
      <c r="Y212" s="1"/>
      <c r="Z212" s="1"/>
    </row>
    <row r="213" spans="1:26" ht="18.600000000000001">
      <c r="A213" s="360" t="s">
        <v>1162</v>
      </c>
      <c r="B213" s="360" t="s">
        <v>123</v>
      </c>
      <c r="C213" s="355" t="s">
        <v>1035</v>
      </c>
      <c r="D213">
        <v>7370</v>
      </c>
      <c r="E213" s="143">
        <v>240000</v>
      </c>
      <c r="F213" s="117">
        <v>1405</v>
      </c>
      <c r="G213" s="360" t="s">
        <v>303</v>
      </c>
      <c r="H213" s="144">
        <f>bargiri[[#This Row],[میزان بارگیری شده]]*bargiri[[#This Row],[فی]]</f>
        <v>1768800000</v>
      </c>
      <c r="I213" s="360">
        <f>IF(year=bargiri[[#This Row],[سال]],1,0)</f>
        <v>1</v>
      </c>
      <c r="J213" s="360" t="str">
        <f>VLOOKUP(bargiri[[#This Row],[شماره پیش فاکتور]],invoice[],16,0)</f>
        <v>انجمن</v>
      </c>
      <c r="K213" s="252">
        <f>bargiri[[#This Row],[فی]]*bargiri[[#This Row],[میزان بارگیری شده]]</f>
        <v>1768800000</v>
      </c>
      <c r="X213" s="1"/>
      <c r="Y213" s="1"/>
      <c r="Z213" s="1"/>
    </row>
    <row r="214" spans="1:26" ht="18.600000000000001">
      <c r="A214" s="360" t="s">
        <v>1163</v>
      </c>
      <c r="B214" s="360" t="s">
        <v>113</v>
      </c>
      <c r="C214" s="355" t="s">
        <v>822</v>
      </c>
      <c r="D214">
        <v>19970</v>
      </c>
      <c r="E214" s="143">
        <v>105000</v>
      </c>
      <c r="F214" s="117">
        <v>1405</v>
      </c>
      <c r="G214" s="360" t="s">
        <v>303</v>
      </c>
      <c r="H214" s="144">
        <f>bargiri[[#This Row],[میزان بارگیری شده]]*bargiri[[#This Row],[فی]]</f>
        <v>2096850000</v>
      </c>
      <c r="I214" s="360">
        <f>IF(year=bargiri[[#This Row],[سال]],1,0)</f>
        <v>1</v>
      </c>
      <c r="J214" s="360" t="str">
        <f>VLOOKUP(bargiri[[#This Row],[شماره پیش فاکتور]],invoice[],16,0)</f>
        <v>عادی</v>
      </c>
      <c r="K214" s="252">
        <f>bargiri[[#This Row],[فی]]*bargiri[[#This Row],[میزان بارگیری شده]]</f>
        <v>2096850000</v>
      </c>
      <c r="X214" s="1"/>
      <c r="Y214" s="1"/>
      <c r="Z214" s="1"/>
    </row>
    <row r="215" spans="1:26" ht="18.600000000000001">
      <c r="A215" s="360" t="s">
        <v>1161</v>
      </c>
      <c r="B215" s="360" t="s">
        <v>99</v>
      </c>
      <c r="C215" s="355" t="s">
        <v>821</v>
      </c>
      <c r="D215">
        <v>19670</v>
      </c>
      <c r="E215" s="143">
        <v>105000</v>
      </c>
      <c r="F215" s="117">
        <v>1405</v>
      </c>
      <c r="G215" s="360" t="s">
        <v>303</v>
      </c>
      <c r="H215" s="144">
        <f>bargiri[[#This Row],[میزان بارگیری شده]]*bargiri[[#This Row],[فی]]</f>
        <v>2065350000</v>
      </c>
      <c r="I215" s="360">
        <f>IF(year=bargiri[[#This Row],[سال]],1,0)</f>
        <v>1</v>
      </c>
      <c r="J215" s="360" t="str">
        <f>VLOOKUP(bargiri[[#This Row],[شماره پیش فاکتور]],invoice[],16,0)</f>
        <v>عادی</v>
      </c>
      <c r="K215" s="252">
        <f>bargiri[[#This Row],[فی]]*bargiri[[#This Row],[میزان بارگیری شده]]</f>
        <v>2065350000</v>
      </c>
      <c r="X215" s="1"/>
      <c r="Y215" s="1"/>
      <c r="Z215" s="1"/>
    </row>
    <row r="216" spans="1:26" ht="18.600000000000001">
      <c r="A216" s="360" t="s">
        <v>1161</v>
      </c>
      <c r="B216" s="360" t="s">
        <v>117</v>
      </c>
      <c r="C216" s="355" t="s">
        <v>798</v>
      </c>
      <c r="D216">
        <v>19900</v>
      </c>
      <c r="E216" s="143">
        <v>116500</v>
      </c>
      <c r="F216" s="117">
        <v>1405</v>
      </c>
      <c r="G216" s="360" t="s">
        <v>303</v>
      </c>
      <c r="H216" s="144">
        <f>bargiri[[#This Row],[میزان بارگیری شده]]*bargiri[[#This Row],[فی]]</f>
        <v>2318350000</v>
      </c>
      <c r="I216" s="360">
        <f>IF(year=bargiri[[#This Row],[سال]],1,0)</f>
        <v>1</v>
      </c>
      <c r="J216" s="360" t="str">
        <f>VLOOKUP(bargiri[[#This Row],[شماره پیش فاکتور]],invoice[],16,0)</f>
        <v>تعادلی</v>
      </c>
      <c r="K216" s="252">
        <f>bargiri[[#This Row],[فی]]*bargiri[[#This Row],[میزان بارگیری شده]]</f>
        <v>2318350000</v>
      </c>
      <c r="X216" s="1"/>
      <c r="Y216" s="1"/>
      <c r="Z216" s="1"/>
    </row>
    <row r="217" spans="1:26" ht="18.600000000000001">
      <c r="A217" s="360" t="s">
        <v>1161</v>
      </c>
      <c r="B217" s="360" t="s">
        <v>122</v>
      </c>
      <c r="C217" s="355" t="s">
        <v>1109</v>
      </c>
      <c r="D217">
        <v>21250</v>
      </c>
      <c r="E217" s="143">
        <v>240000</v>
      </c>
      <c r="F217" s="117">
        <v>1405</v>
      </c>
      <c r="G217" s="360" t="s">
        <v>303</v>
      </c>
      <c r="H217" s="144">
        <f>bargiri[[#This Row],[میزان بارگیری شده]]*bargiri[[#This Row],[فی]]</f>
        <v>5100000000</v>
      </c>
      <c r="I217" s="360">
        <f>IF(year=bargiri[[#This Row],[سال]],1,0)</f>
        <v>1</v>
      </c>
      <c r="J217" s="360" t="str">
        <f>VLOOKUP(bargiri[[#This Row],[شماره پیش فاکتور]],invoice[],16,0)</f>
        <v>انجمن</v>
      </c>
      <c r="K217" s="252">
        <f>bargiri[[#This Row],[فی]]*bargiri[[#This Row],[میزان بارگیری شده]]</f>
        <v>5100000000</v>
      </c>
      <c r="X217" s="1"/>
      <c r="Y217" s="1"/>
      <c r="Z217" s="1"/>
    </row>
    <row r="218" spans="1:26" ht="18.600000000000001">
      <c r="A218" s="360" t="s">
        <v>1161</v>
      </c>
      <c r="B218" s="360" t="s">
        <v>104</v>
      </c>
      <c r="C218" s="355" t="s">
        <v>1052</v>
      </c>
      <c r="D218">
        <v>1080</v>
      </c>
      <c r="E218" s="143">
        <v>240000</v>
      </c>
      <c r="F218" s="117">
        <v>1405</v>
      </c>
      <c r="G218" s="360" t="s">
        <v>303</v>
      </c>
      <c r="H218" s="144">
        <f>bargiri[[#This Row],[میزان بارگیری شده]]*bargiri[[#This Row],[فی]]</f>
        <v>259200000</v>
      </c>
      <c r="I218" s="360">
        <f>IF(year=bargiri[[#This Row],[سال]],1,0)</f>
        <v>1</v>
      </c>
      <c r="J218" s="360" t="str">
        <f>VLOOKUP(bargiri[[#This Row],[شماره پیش فاکتور]],invoice[],16,0)</f>
        <v>انجمن</v>
      </c>
      <c r="K218" s="252">
        <f>bargiri[[#This Row],[فی]]*bargiri[[#This Row],[میزان بارگیری شده]]</f>
        <v>259200000</v>
      </c>
      <c r="X218" s="1"/>
      <c r="Y218" s="1"/>
      <c r="Z218" s="1"/>
    </row>
    <row r="219" spans="1:26" ht="18.600000000000001">
      <c r="A219" s="360" t="s">
        <v>1161</v>
      </c>
      <c r="B219" s="360" t="s">
        <v>104</v>
      </c>
      <c r="C219" s="355" t="s">
        <v>903</v>
      </c>
      <c r="D219">
        <v>18680</v>
      </c>
      <c r="E219" s="143">
        <v>116500</v>
      </c>
      <c r="F219" s="117">
        <v>1405</v>
      </c>
      <c r="G219" s="360" t="s">
        <v>303</v>
      </c>
      <c r="H219" s="144">
        <f>bargiri[[#This Row],[میزان بارگیری شده]]*bargiri[[#This Row],[فی]]</f>
        <v>2176220000</v>
      </c>
      <c r="I219" s="360">
        <f>IF(year=bargiri[[#This Row],[سال]],1,0)</f>
        <v>1</v>
      </c>
      <c r="J219" s="360" t="str">
        <f>VLOOKUP(bargiri[[#This Row],[شماره پیش فاکتور]],invoice[],16,0)</f>
        <v>تعادلی</v>
      </c>
      <c r="K219" s="252">
        <f>bargiri[[#This Row],[فی]]*bargiri[[#This Row],[میزان بارگیری شده]]</f>
        <v>2176220000</v>
      </c>
      <c r="X219" s="1"/>
      <c r="Y219" s="1"/>
      <c r="Z219" s="1"/>
    </row>
    <row r="220" spans="1:26" ht="18.600000000000001">
      <c r="A220" s="360" t="s">
        <v>1159</v>
      </c>
      <c r="B220" s="360" t="s">
        <v>116</v>
      </c>
      <c r="C220" s="355" t="s">
        <v>1116</v>
      </c>
      <c r="D220">
        <v>20830</v>
      </c>
      <c r="E220" s="143">
        <v>240000</v>
      </c>
      <c r="F220" s="117">
        <v>1405</v>
      </c>
      <c r="G220" s="360" t="s">
        <v>303</v>
      </c>
      <c r="H220" s="144">
        <f>bargiri[[#This Row],[میزان بارگیری شده]]*bargiri[[#This Row],[فی]]</f>
        <v>4999200000</v>
      </c>
      <c r="I220" s="360">
        <f>IF(year=bargiri[[#This Row],[سال]],1,0)</f>
        <v>1</v>
      </c>
      <c r="J220" s="360" t="str">
        <f>VLOOKUP(bargiri[[#This Row],[شماره پیش فاکتور]],invoice[],16,0)</f>
        <v>انجمن</v>
      </c>
      <c r="K220" s="252">
        <f>bargiri[[#This Row],[فی]]*bargiri[[#This Row],[میزان بارگیری شده]]</f>
        <v>4999200000</v>
      </c>
      <c r="X220" s="1"/>
      <c r="Y220" s="1"/>
      <c r="Z220" s="1"/>
    </row>
    <row r="221" spans="1:26" ht="18.600000000000001">
      <c r="A221" s="360" t="s">
        <v>1159</v>
      </c>
      <c r="B221" s="360" t="s">
        <v>106</v>
      </c>
      <c r="C221" s="355" t="s">
        <v>913</v>
      </c>
      <c r="D221">
        <v>21870</v>
      </c>
      <c r="E221" s="143">
        <v>125000</v>
      </c>
      <c r="F221" s="117">
        <v>1405</v>
      </c>
      <c r="G221" s="360" t="s">
        <v>303</v>
      </c>
      <c r="H221" s="144">
        <f>bargiri[[#This Row],[میزان بارگیری شده]]*bargiri[[#This Row],[فی]]</f>
        <v>2733750000</v>
      </c>
      <c r="I221" s="360">
        <f>IF(year=bargiri[[#This Row],[سال]],1,0)</f>
        <v>1</v>
      </c>
      <c r="J221" s="360" t="str">
        <f>VLOOKUP(bargiri[[#This Row],[شماره پیش فاکتور]],invoice[],16,0)</f>
        <v>عادی</v>
      </c>
      <c r="K221" s="252">
        <f>bargiri[[#This Row],[فی]]*bargiri[[#This Row],[میزان بارگیری شده]]</f>
        <v>2733750000</v>
      </c>
      <c r="X221" s="1"/>
      <c r="Y221" s="1"/>
      <c r="Z221" s="1"/>
    </row>
    <row r="222" spans="1:26" ht="18.600000000000001">
      <c r="A222" s="360" t="s">
        <v>1159</v>
      </c>
      <c r="B222" s="360" t="s">
        <v>113</v>
      </c>
      <c r="C222" s="355" t="s">
        <v>822</v>
      </c>
      <c r="D222">
        <v>19930</v>
      </c>
      <c r="E222" s="143">
        <v>105000</v>
      </c>
      <c r="F222" s="117">
        <v>1405</v>
      </c>
      <c r="G222" s="360" t="s">
        <v>303</v>
      </c>
      <c r="H222" s="144">
        <f>bargiri[[#This Row],[میزان بارگیری شده]]*bargiri[[#This Row],[فی]]</f>
        <v>2092650000</v>
      </c>
      <c r="I222" s="360">
        <f>IF(year=bargiri[[#This Row],[سال]],1,0)</f>
        <v>1</v>
      </c>
      <c r="J222" s="360" t="str">
        <f>VLOOKUP(bargiri[[#This Row],[شماره پیش فاکتور]],invoice[],16,0)</f>
        <v>عادی</v>
      </c>
      <c r="K222" s="252">
        <f>bargiri[[#This Row],[فی]]*bargiri[[#This Row],[میزان بارگیری شده]]</f>
        <v>2092650000</v>
      </c>
      <c r="X222" s="1"/>
      <c r="Y222" s="1"/>
      <c r="Z222" s="1"/>
    </row>
    <row r="223" spans="1:26" ht="18.600000000000001">
      <c r="A223" s="360" t="s">
        <v>1156</v>
      </c>
      <c r="B223" s="360" t="s">
        <v>122</v>
      </c>
      <c r="C223" s="355" t="s">
        <v>633</v>
      </c>
      <c r="D223">
        <v>18480</v>
      </c>
      <c r="E223" s="143">
        <v>120000</v>
      </c>
      <c r="F223" s="117">
        <v>1405</v>
      </c>
      <c r="G223" s="360" t="s">
        <v>303</v>
      </c>
      <c r="H223" s="144">
        <f>bargiri[[#This Row],[میزان بارگیری شده]]*bargiri[[#This Row],[فی]]</f>
        <v>2217600000</v>
      </c>
      <c r="I223" s="360">
        <f>IF(year=bargiri[[#This Row],[سال]],1,0)</f>
        <v>1</v>
      </c>
      <c r="J223" s="360" t="str">
        <f>VLOOKUP(bargiri[[#This Row],[شماره پیش فاکتور]],invoice[],16,0)</f>
        <v>عادی</v>
      </c>
      <c r="K223" s="252">
        <f>bargiri[[#This Row],[فی]]*bargiri[[#This Row],[میزان بارگیری شده]]</f>
        <v>2217600000</v>
      </c>
      <c r="X223" s="1"/>
      <c r="Y223" s="1"/>
      <c r="Z223" s="1"/>
    </row>
    <row r="224" spans="1:26" ht="18.600000000000001">
      <c r="A224" s="360" t="s">
        <v>1158</v>
      </c>
      <c r="B224" s="360" t="s">
        <v>106</v>
      </c>
      <c r="C224" s="355" t="s">
        <v>913</v>
      </c>
      <c r="D224">
        <v>19520</v>
      </c>
      <c r="E224" s="143">
        <v>125000</v>
      </c>
      <c r="F224" s="117">
        <v>1405</v>
      </c>
      <c r="G224" s="360" t="s">
        <v>303</v>
      </c>
      <c r="H224" s="144">
        <f>bargiri[[#This Row],[میزان بارگیری شده]]*bargiri[[#This Row],[فی]]</f>
        <v>2440000000</v>
      </c>
      <c r="I224" s="360">
        <f>IF(year=bargiri[[#This Row],[سال]],1,0)</f>
        <v>1</v>
      </c>
      <c r="J224" s="360" t="str">
        <f>VLOOKUP(bargiri[[#This Row],[شماره پیش فاکتور]],invoice[],16,0)</f>
        <v>عادی</v>
      </c>
      <c r="K224" s="252">
        <f>bargiri[[#This Row],[فی]]*bargiri[[#This Row],[میزان بارگیری شده]]</f>
        <v>2440000000</v>
      </c>
      <c r="X224" s="1"/>
      <c r="Y224" s="1"/>
      <c r="Z224" s="1"/>
    </row>
    <row r="225" spans="1:26" ht="18.600000000000001">
      <c r="A225" s="360" t="s">
        <v>1158</v>
      </c>
      <c r="B225" s="360" t="s">
        <v>106</v>
      </c>
      <c r="C225" s="355" t="s">
        <v>913</v>
      </c>
      <c r="D225">
        <v>5670</v>
      </c>
      <c r="E225" s="143">
        <v>125000</v>
      </c>
      <c r="F225" s="117">
        <v>1405</v>
      </c>
      <c r="G225" s="360" t="s">
        <v>303</v>
      </c>
      <c r="H225" s="144">
        <f>bargiri[[#This Row],[میزان بارگیری شده]]*bargiri[[#This Row],[فی]]</f>
        <v>708750000</v>
      </c>
      <c r="I225" s="360">
        <f>IF(year=bargiri[[#This Row],[سال]],1,0)</f>
        <v>1</v>
      </c>
      <c r="J225" s="360" t="str">
        <f>VLOOKUP(bargiri[[#This Row],[شماره پیش فاکتور]],invoice[],16,0)</f>
        <v>عادی</v>
      </c>
      <c r="K225" s="252">
        <f>bargiri[[#This Row],[فی]]*bargiri[[#This Row],[میزان بارگیری شده]]</f>
        <v>708750000</v>
      </c>
      <c r="X225" s="1"/>
      <c r="Y225" s="1"/>
      <c r="Z225" s="1"/>
    </row>
    <row r="226" spans="1:26" ht="18.600000000000001">
      <c r="A226" s="360" t="s">
        <v>1158</v>
      </c>
      <c r="B226" s="360" t="s">
        <v>99</v>
      </c>
      <c r="C226" s="355" t="s">
        <v>821</v>
      </c>
      <c r="D226">
        <v>19810</v>
      </c>
      <c r="E226" s="143">
        <v>105000</v>
      </c>
      <c r="F226" s="117">
        <v>1405</v>
      </c>
      <c r="G226" s="360" t="s">
        <v>303</v>
      </c>
      <c r="H226" s="144">
        <f>bargiri[[#This Row],[میزان بارگیری شده]]*bargiri[[#This Row],[فی]]</f>
        <v>2080050000</v>
      </c>
      <c r="I226" s="360">
        <f>IF(year=bargiri[[#This Row],[سال]],1,0)</f>
        <v>1</v>
      </c>
      <c r="J226" s="360" t="str">
        <f>VLOOKUP(bargiri[[#This Row],[شماره پیش فاکتور]],invoice[],16,0)</f>
        <v>عادی</v>
      </c>
      <c r="K226" s="252">
        <f>bargiri[[#This Row],[فی]]*bargiri[[#This Row],[میزان بارگیری شده]]</f>
        <v>2080050000</v>
      </c>
      <c r="X226" s="1"/>
      <c r="Y226" s="1"/>
      <c r="Z226" s="1"/>
    </row>
    <row r="227" spans="1:26" ht="18.600000000000001">
      <c r="A227" s="360" t="s">
        <v>1158</v>
      </c>
      <c r="B227" s="360" t="s">
        <v>116</v>
      </c>
      <c r="C227" s="355" t="s">
        <v>972</v>
      </c>
      <c r="D227">
        <v>8240</v>
      </c>
      <c r="E227" s="143">
        <v>116500</v>
      </c>
      <c r="F227" s="117">
        <v>1405</v>
      </c>
      <c r="G227" s="360" t="s">
        <v>303</v>
      </c>
      <c r="H227" s="144">
        <f>bargiri[[#This Row],[میزان بارگیری شده]]*bargiri[[#This Row],[فی]]</f>
        <v>959960000</v>
      </c>
      <c r="I227" s="360">
        <f>IF(year=bargiri[[#This Row],[سال]],1,0)</f>
        <v>1</v>
      </c>
      <c r="J227" s="360" t="str">
        <f>VLOOKUP(bargiri[[#This Row],[شماره پیش فاکتور]],invoice[],16,0)</f>
        <v>تعادلی</v>
      </c>
      <c r="K227" s="252">
        <f>bargiri[[#This Row],[فی]]*bargiri[[#This Row],[میزان بارگیری شده]]</f>
        <v>959960000</v>
      </c>
      <c r="X227" s="1"/>
      <c r="Y227" s="1"/>
      <c r="Z227" s="1"/>
    </row>
    <row r="228" spans="1:26" ht="18.600000000000001">
      <c r="A228" s="360" t="s">
        <v>1158</v>
      </c>
      <c r="B228" s="360" t="s">
        <v>102</v>
      </c>
      <c r="C228" s="355" t="s">
        <v>1011</v>
      </c>
      <c r="D228">
        <v>11230</v>
      </c>
      <c r="E228" s="143">
        <v>120000</v>
      </c>
      <c r="F228" s="117">
        <v>1405</v>
      </c>
      <c r="G228" s="360" t="s">
        <v>303</v>
      </c>
      <c r="H228" s="144">
        <f>bargiri[[#This Row],[میزان بارگیری شده]]*bargiri[[#This Row],[فی]]</f>
        <v>1347600000</v>
      </c>
      <c r="I228" s="360">
        <f>IF(year=bargiri[[#This Row],[سال]],1,0)</f>
        <v>1</v>
      </c>
      <c r="J228" s="360" t="str">
        <f>VLOOKUP(bargiri[[#This Row],[شماره پیش فاکتور]],invoice[],16,0)</f>
        <v>عادی</v>
      </c>
      <c r="K228" s="252">
        <f>bargiri[[#This Row],[فی]]*bargiri[[#This Row],[میزان بارگیری شده]]</f>
        <v>1347600000</v>
      </c>
      <c r="X228" s="1"/>
      <c r="Y228" s="1"/>
      <c r="Z228" s="1"/>
    </row>
    <row r="229" spans="1:26" ht="18.600000000000001">
      <c r="A229" s="360" t="s">
        <v>1158</v>
      </c>
      <c r="B229" s="360" t="s">
        <v>100</v>
      </c>
      <c r="C229" s="355" t="s">
        <v>1049</v>
      </c>
      <c r="D229">
        <v>17750</v>
      </c>
      <c r="E229" s="143">
        <v>240000</v>
      </c>
      <c r="F229" s="117">
        <v>1405</v>
      </c>
      <c r="G229" s="360" t="s">
        <v>303</v>
      </c>
      <c r="H229" s="144">
        <f>bargiri[[#This Row],[میزان بارگیری شده]]*bargiri[[#This Row],[فی]]</f>
        <v>4260000000</v>
      </c>
      <c r="I229" s="360">
        <f>IF(year=bargiri[[#This Row],[سال]],1,0)</f>
        <v>1</v>
      </c>
      <c r="J229" s="360" t="str">
        <f>VLOOKUP(bargiri[[#This Row],[شماره پیش فاکتور]],invoice[],16,0)</f>
        <v>انجمن</v>
      </c>
      <c r="K229" s="252">
        <f>bargiri[[#This Row],[فی]]*bargiri[[#This Row],[میزان بارگیری شده]]</f>
        <v>4260000000</v>
      </c>
      <c r="X229" s="1"/>
      <c r="Y229" s="1"/>
      <c r="Z229" s="1"/>
    </row>
    <row r="230" spans="1:26" ht="18.600000000000001">
      <c r="A230" s="360" t="s">
        <v>1158</v>
      </c>
      <c r="B230" s="360" t="s">
        <v>100</v>
      </c>
      <c r="C230" s="355" t="s">
        <v>1108</v>
      </c>
      <c r="D230">
        <v>240</v>
      </c>
      <c r="E230" s="143">
        <v>240000</v>
      </c>
      <c r="F230" s="117">
        <v>1405</v>
      </c>
      <c r="G230" s="360" t="s">
        <v>303</v>
      </c>
      <c r="H230" s="144">
        <f>bargiri[[#This Row],[میزان بارگیری شده]]*bargiri[[#This Row],[فی]]</f>
        <v>57600000</v>
      </c>
      <c r="I230" s="360">
        <f>IF(year=bargiri[[#This Row],[سال]],1,0)</f>
        <v>1</v>
      </c>
      <c r="J230" s="360" t="str">
        <f>VLOOKUP(bargiri[[#This Row],[شماره پیش فاکتور]],invoice[],16,0)</f>
        <v>انجمن</v>
      </c>
      <c r="K230" s="252">
        <f>bargiri[[#This Row],[فی]]*bargiri[[#This Row],[میزان بارگیری شده]]</f>
        <v>57600000</v>
      </c>
      <c r="X230" s="1"/>
      <c r="Y230" s="1"/>
      <c r="Z230" s="1"/>
    </row>
    <row r="231" spans="1:26" ht="18.600000000000001">
      <c r="A231" s="360" t="s">
        <v>1158</v>
      </c>
      <c r="B231" s="360" t="s">
        <v>125</v>
      </c>
      <c r="C231" s="355" t="s">
        <v>1009</v>
      </c>
      <c r="D231">
        <v>14170</v>
      </c>
      <c r="E231" s="143">
        <v>120000</v>
      </c>
      <c r="F231" s="117">
        <v>1405</v>
      </c>
      <c r="G231" s="360" t="s">
        <v>303</v>
      </c>
      <c r="H231" s="144">
        <f>bargiri[[#This Row],[میزان بارگیری شده]]*bargiri[[#This Row],[فی]]</f>
        <v>1700400000</v>
      </c>
      <c r="I231" s="360">
        <f>IF(year=bargiri[[#This Row],[سال]],1,0)</f>
        <v>1</v>
      </c>
      <c r="J231" s="360" t="str">
        <f>VLOOKUP(bargiri[[#This Row],[شماره پیش فاکتور]],invoice[],16,0)</f>
        <v>عادی</v>
      </c>
      <c r="K231" s="252">
        <f>bargiri[[#This Row],[فی]]*bargiri[[#This Row],[میزان بارگیری شده]]</f>
        <v>1700400000</v>
      </c>
      <c r="X231" s="1"/>
      <c r="Y231" s="1"/>
      <c r="Z231" s="1"/>
    </row>
    <row r="232" spans="1:26" ht="18.600000000000001">
      <c r="A232" s="360" t="s">
        <v>1156</v>
      </c>
      <c r="B232" s="360" t="s">
        <v>102</v>
      </c>
      <c r="C232" s="355" t="s">
        <v>832</v>
      </c>
      <c r="D232">
        <v>11020</v>
      </c>
      <c r="E232" s="143">
        <v>108000</v>
      </c>
      <c r="F232" s="117">
        <v>1405</v>
      </c>
      <c r="G232" s="360" t="s">
        <v>303</v>
      </c>
      <c r="H232" s="144">
        <f>bargiri[[#This Row],[میزان بارگیری شده]]*bargiri[[#This Row],[فی]]</f>
        <v>1190160000</v>
      </c>
      <c r="I232" s="360">
        <f>IF(year=bargiri[[#This Row],[سال]],1,0)</f>
        <v>1</v>
      </c>
      <c r="J232" s="360" t="str">
        <f>VLOOKUP(bargiri[[#This Row],[شماره پیش فاکتور]],invoice[],16,0)</f>
        <v>عادی</v>
      </c>
      <c r="K232" s="252">
        <f>bargiri[[#This Row],[فی]]*bargiri[[#This Row],[میزان بارگیری شده]]</f>
        <v>1190160000</v>
      </c>
      <c r="X232" s="1"/>
      <c r="Y232" s="1"/>
      <c r="Z232" s="1"/>
    </row>
    <row r="233" spans="1:26" ht="18.600000000000001">
      <c r="A233" s="360" t="s">
        <v>1156</v>
      </c>
      <c r="B233" s="360" t="s">
        <v>116</v>
      </c>
      <c r="C233" s="355" t="s">
        <v>972</v>
      </c>
      <c r="D233">
        <v>20910</v>
      </c>
      <c r="E233" s="143">
        <v>116500</v>
      </c>
      <c r="F233" s="117">
        <v>1405</v>
      </c>
      <c r="G233" s="360" t="s">
        <v>303</v>
      </c>
      <c r="H233" s="144">
        <f>bargiri[[#This Row],[میزان بارگیری شده]]*bargiri[[#This Row],[فی]]</f>
        <v>2436015000</v>
      </c>
      <c r="I233" s="360">
        <f>IF(year=bargiri[[#This Row],[سال]],1,0)</f>
        <v>1</v>
      </c>
      <c r="J233" s="360" t="str">
        <f>VLOOKUP(bargiri[[#This Row],[شماره پیش فاکتور]],invoice[],16,0)</f>
        <v>تعادلی</v>
      </c>
      <c r="K233" s="252">
        <f>bargiri[[#This Row],[فی]]*bargiri[[#This Row],[میزان بارگیری شده]]</f>
        <v>2436015000</v>
      </c>
      <c r="X233" s="1"/>
      <c r="Y233" s="1"/>
      <c r="Z233" s="1"/>
    </row>
    <row r="234" spans="1:26" ht="18.600000000000001">
      <c r="A234" s="360" t="s">
        <v>1157</v>
      </c>
      <c r="B234" s="360" t="s">
        <v>116</v>
      </c>
      <c r="C234" s="355" t="s">
        <v>1116</v>
      </c>
      <c r="D234">
        <v>20010</v>
      </c>
      <c r="E234" s="143">
        <v>240000</v>
      </c>
      <c r="F234" s="117">
        <v>1405</v>
      </c>
      <c r="G234" s="360" t="s">
        <v>303</v>
      </c>
      <c r="H234" s="144">
        <f>bargiri[[#This Row],[میزان بارگیری شده]]*bargiri[[#This Row],[فی]]</f>
        <v>4802400000</v>
      </c>
      <c r="I234" s="360">
        <f>IF(year=bargiri[[#This Row],[سال]],1,0)</f>
        <v>1</v>
      </c>
      <c r="J234" s="360" t="str">
        <f>VLOOKUP(bargiri[[#This Row],[شماره پیش فاکتور]],invoice[],16,0)</f>
        <v>انجمن</v>
      </c>
      <c r="K234" s="252">
        <f>bargiri[[#This Row],[فی]]*bargiri[[#This Row],[میزان بارگیری شده]]</f>
        <v>4802400000</v>
      </c>
      <c r="X234" s="1"/>
      <c r="Y234" s="1"/>
      <c r="Z234" s="1"/>
    </row>
    <row r="235" spans="1:26" ht="18.600000000000001">
      <c r="A235" s="360" t="s">
        <v>1157</v>
      </c>
      <c r="B235" s="360" t="s">
        <v>106</v>
      </c>
      <c r="C235" s="355" t="s">
        <v>913</v>
      </c>
      <c r="D235">
        <v>22300</v>
      </c>
      <c r="E235" s="143">
        <v>125000</v>
      </c>
      <c r="F235" s="117">
        <v>1405</v>
      </c>
      <c r="G235" s="360" t="s">
        <v>303</v>
      </c>
      <c r="H235" s="144">
        <f>bargiri[[#This Row],[میزان بارگیری شده]]*bargiri[[#This Row],[فی]]</f>
        <v>2787500000</v>
      </c>
      <c r="I235" s="360">
        <f>IF(year=bargiri[[#This Row],[سال]],1,0)</f>
        <v>1</v>
      </c>
      <c r="J235" s="360" t="str">
        <f>VLOOKUP(bargiri[[#This Row],[شماره پیش فاکتور]],invoice[],16,0)</f>
        <v>عادی</v>
      </c>
      <c r="K235" s="252">
        <f>bargiri[[#This Row],[فی]]*bargiri[[#This Row],[میزان بارگیری شده]]</f>
        <v>2787500000</v>
      </c>
      <c r="X235" s="1"/>
      <c r="Y235" s="1"/>
      <c r="Z235" s="1"/>
    </row>
    <row r="236" spans="1:26" ht="18.600000000000001">
      <c r="A236" s="360" t="s">
        <v>1157</v>
      </c>
      <c r="B236" s="360" t="s">
        <v>102</v>
      </c>
      <c r="C236" s="355" t="s">
        <v>1050</v>
      </c>
      <c r="D236">
        <v>10560</v>
      </c>
      <c r="E236" s="143">
        <v>240000</v>
      </c>
      <c r="F236" s="117">
        <v>1405</v>
      </c>
      <c r="G236" s="360" t="s">
        <v>303</v>
      </c>
      <c r="H236" s="144">
        <f>bargiri[[#This Row],[میزان بارگیری شده]]*bargiri[[#This Row],[فی]]</f>
        <v>2534400000</v>
      </c>
      <c r="I236" s="360">
        <f>IF(year=bargiri[[#This Row],[سال]],1,0)</f>
        <v>1</v>
      </c>
      <c r="J236" s="360" t="str">
        <f>VLOOKUP(bargiri[[#This Row],[شماره پیش فاکتور]],invoice[],16,0)</f>
        <v>انجمن</v>
      </c>
      <c r="K236" s="252">
        <f>bargiri[[#This Row],[فی]]*bargiri[[#This Row],[میزان بارگیری شده]]</f>
        <v>2534400000</v>
      </c>
      <c r="X236" s="1"/>
      <c r="Y236" s="1"/>
      <c r="Z236" s="1"/>
    </row>
    <row r="237" spans="1:26" ht="18.600000000000001">
      <c r="A237" s="360" t="s">
        <v>1157</v>
      </c>
      <c r="B237" s="360" t="s">
        <v>123</v>
      </c>
      <c r="C237" s="355" t="s">
        <v>1035</v>
      </c>
      <c r="D237">
        <v>7330</v>
      </c>
      <c r="E237" s="143">
        <v>240000</v>
      </c>
      <c r="F237" s="117">
        <v>1405</v>
      </c>
      <c r="G237" s="360" t="s">
        <v>303</v>
      </c>
      <c r="H237" s="144">
        <f>bargiri[[#This Row],[میزان بارگیری شده]]*bargiri[[#This Row],[فی]]</f>
        <v>1759200000</v>
      </c>
      <c r="I237" s="360">
        <f>IF(year=bargiri[[#This Row],[سال]],1,0)</f>
        <v>1</v>
      </c>
      <c r="J237" s="360" t="str">
        <f>VLOOKUP(bargiri[[#This Row],[شماره پیش فاکتور]],invoice[],16,0)</f>
        <v>انجمن</v>
      </c>
      <c r="K237" s="252">
        <f>bargiri[[#This Row],[فی]]*bargiri[[#This Row],[میزان بارگیری شده]]</f>
        <v>1759200000</v>
      </c>
      <c r="X237" s="1"/>
      <c r="Y237" s="1"/>
      <c r="Z237" s="1"/>
    </row>
    <row r="238" spans="1:26" ht="18.600000000000001">
      <c r="A238" s="360" t="s">
        <v>1154</v>
      </c>
      <c r="B238" s="360" t="s">
        <v>116</v>
      </c>
      <c r="C238" s="355" t="s">
        <v>972</v>
      </c>
      <c r="D238">
        <v>1240</v>
      </c>
      <c r="E238" s="143">
        <v>116500</v>
      </c>
      <c r="F238" s="117">
        <v>1405</v>
      </c>
      <c r="G238" s="360" t="s">
        <v>303</v>
      </c>
      <c r="H238" s="144">
        <f>bargiri[[#This Row],[میزان بارگیری شده]]*bargiri[[#This Row],[فی]]</f>
        <v>144460000</v>
      </c>
      <c r="I238" s="360">
        <f>IF(year=bargiri[[#This Row],[سال]],1,0)</f>
        <v>1</v>
      </c>
      <c r="J238" s="360" t="str">
        <f>VLOOKUP(bargiri[[#This Row],[شماره پیش فاکتور]],invoice[],16,0)</f>
        <v>تعادلی</v>
      </c>
      <c r="K238" s="252">
        <f>bargiri[[#This Row],[فی]]*bargiri[[#This Row],[میزان بارگیری شده]]</f>
        <v>144460000</v>
      </c>
      <c r="X238" s="1"/>
      <c r="Y238" s="1"/>
      <c r="Z238" s="1"/>
    </row>
    <row r="239" spans="1:26" ht="18.600000000000001">
      <c r="A239" s="360" t="s">
        <v>1155</v>
      </c>
      <c r="B239" s="360" t="s">
        <v>116</v>
      </c>
      <c r="C239" s="355" t="s">
        <v>955</v>
      </c>
      <c r="D239">
        <v>18270</v>
      </c>
      <c r="E239" s="143">
        <v>116500</v>
      </c>
      <c r="F239" s="117">
        <v>1405</v>
      </c>
      <c r="G239" s="360" t="s">
        <v>303</v>
      </c>
      <c r="H239" s="144">
        <f>bargiri[[#This Row],[میزان بارگیری شده]]*bargiri[[#This Row],[فی]]</f>
        <v>2128455000</v>
      </c>
      <c r="I239" s="360">
        <f>IF(year=bargiri[[#This Row],[سال]],1,0)</f>
        <v>1</v>
      </c>
      <c r="J239" s="360" t="str">
        <f>VLOOKUP(bargiri[[#This Row],[شماره پیش فاکتور]],invoice[],16,0)</f>
        <v>تعادلی</v>
      </c>
      <c r="K239" s="252">
        <f>bargiri[[#This Row],[فی]]*bargiri[[#This Row],[میزان بارگیری شده]]</f>
        <v>2128455000</v>
      </c>
      <c r="X239" s="1"/>
      <c r="Y239" s="1"/>
      <c r="Z239" s="1"/>
    </row>
    <row r="240" spans="1:26" ht="18.600000000000001">
      <c r="A240" s="360" t="s">
        <v>1155</v>
      </c>
      <c r="B240" s="360" t="s">
        <v>116</v>
      </c>
      <c r="C240" s="355" t="s">
        <v>972</v>
      </c>
      <c r="D240">
        <v>1710</v>
      </c>
      <c r="E240" s="143">
        <v>116500</v>
      </c>
      <c r="F240" s="117">
        <v>1405</v>
      </c>
      <c r="G240" s="360" t="s">
        <v>303</v>
      </c>
      <c r="H240" s="144">
        <f>bargiri[[#This Row],[میزان بارگیری شده]]*bargiri[[#This Row],[فی]]</f>
        <v>199215000</v>
      </c>
      <c r="I240" s="360">
        <f>IF(year=bargiri[[#This Row],[سال]],1,0)</f>
        <v>1</v>
      </c>
      <c r="J240" s="360" t="str">
        <f>VLOOKUP(bargiri[[#This Row],[شماره پیش فاکتور]],invoice[],16,0)</f>
        <v>تعادلی</v>
      </c>
      <c r="K240" s="252">
        <f>bargiri[[#This Row],[فی]]*bargiri[[#This Row],[میزان بارگیری شده]]</f>
        <v>199215000</v>
      </c>
      <c r="X240" s="1"/>
      <c r="Y240" s="1"/>
      <c r="Z240" s="1"/>
    </row>
    <row r="241" spans="1:26" ht="18.600000000000001">
      <c r="A241" s="360" t="s">
        <v>1154</v>
      </c>
      <c r="B241" s="360" t="s">
        <v>113</v>
      </c>
      <c r="C241" s="355" t="s">
        <v>822</v>
      </c>
      <c r="D241">
        <v>22230</v>
      </c>
      <c r="E241" s="143">
        <v>105000</v>
      </c>
      <c r="F241" s="117">
        <v>1405</v>
      </c>
      <c r="G241" s="360" t="s">
        <v>303</v>
      </c>
      <c r="H241" s="144">
        <f>bargiri[[#This Row],[میزان بارگیری شده]]*bargiri[[#This Row],[فی]]</f>
        <v>2334150000</v>
      </c>
      <c r="I241" s="360">
        <f>IF(year=bargiri[[#This Row],[سال]],1,0)</f>
        <v>1</v>
      </c>
      <c r="J241" s="360" t="str">
        <f>VLOOKUP(bargiri[[#This Row],[شماره پیش فاکتور]],invoice[],16,0)</f>
        <v>عادی</v>
      </c>
      <c r="K241" s="252">
        <f>bargiri[[#This Row],[فی]]*bargiri[[#This Row],[میزان بارگیری شده]]</f>
        <v>2334150000</v>
      </c>
      <c r="X241" s="1"/>
      <c r="Y241" s="1"/>
      <c r="Z241" s="1"/>
    </row>
    <row r="242" spans="1:26" ht="18.600000000000001">
      <c r="A242" s="360" t="s">
        <v>1155</v>
      </c>
      <c r="B242" s="360" t="s">
        <v>102</v>
      </c>
      <c r="C242" s="355" t="s">
        <v>1011</v>
      </c>
      <c r="D242">
        <v>11190</v>
      </c>
      <c r="E242" s="143">
        <v>120000</v>
      </c>
      <c r="F242" s="117">
        <v>1405</v>
      </c>
      <c r="G242" s="360" t="s">
        <v>303</v>
      </c>
      <c r="H242" s="144">
        <f>bargiri[[#This Row],[میزان بارگیری شده]]*bargiri[[#This Row],[فی]]</f>
        <v>1342800000</v>
      </c>
      <c r="I242" s="360">
        <f>IF(year=bargiri[[#This Row],[سال]],1,0)</f>
        <v>1</v>
      </c>
      <c r="J242" s="360" t="str">
        <f>VLOOKUP(bargiri[[#This Row],[شماره پیش فاکتور]],invoice[],16,0)</f>
        <v>عادی</v>
      </c>
      <c r="K242" s="252">
        <f>bargiri[[#This Row],[فی]]*bargiri[[#This Row],[میزان بارگیری شده]]</f>
        <v>1342800000</v>
      </c>
      <c r="X242" s="1"/>
      <c r="Y242" s="1"/>
      <c r="Z242" s="1"/>
    </row>
    <row r="243" spans="1:26" ht="18.600000000000001">
      <c r="A243" s="360" t="s">
        <v>1155</v>
      </c>
      <c r="B243" s="360" t="s">
        <v>114</v>
      </c>
      <c r="C243" s="355" t="s">
        <v>905</v>
      </c>
      <c r="D243">
        <v>22110</v>
      </c>
      <c r="E243" s="143">
        <v>135000</v>
      </c>
      <c r="F243" s="117">
        <v>1405</v>
      </c>
      <c r="G243" s="360" t="s">
        <v>303</v>
      </c>
      <c r="H243" s="144">
        <f>bargiri[[#This Row],[میزان بارگیری شده]]*bargiri[[#This Row],[فی]]</f>
        <v>2984850000</v>
      </c>
      <c r="I243" s="360">
        <f>IF(year=bargiri[[#This Row],[سال]],1,0)</f>
        <v>1</v>
      </c>
      <c r="J243" s="360" t="str">
        <f>VLOOKUP(bargiri[[#This Row],[شماره پیش فاکتور]],invoice[],16,0)</f>
        <v>عادی</v>
      </c>
      <c r="K243" s="252">
        <f>bargiri[[#This Row],[فی]]*bargiri[[#This Row],[میزان بارگیری شده]]</f>
        <v>2984850000</v>
      </c>
      <c r="X243" s="1"/>
      <c r="Y243" s="1"/>
      <c r="Z243" s="1"/>
    </row>
    <row r="244" spans="1:26" ht="18.600000000000001">
      <c r="A244" s="360" t="s">
        <v>1155</v>
      </c>
      <c r="B244" s="360" t="s">
        <v>99</v>
      </c>
      <c r="C244" s="355" t="s">
        <v>821</v>
      </c>
      <c r="D244">
        <v>20130</v>
      </c>
      <c r="E244" s="143">
        <v>105000</v>
      </c>
      <c r="F244" s="117">
        <v>1405</v>
      </c>
      <c r="G244" s="360" t="s">
        <v>303</v>
      </c>
      <c r="H244" s="144">
        <f>bargiri[[#This Row],[میزان بارگیری شده]]*bargiri[[#This Row],[فی]]</f>
        <v>2113650000</v>
      </c>
      <c r="I244" s="360">
        <f>IF(year=bargiri[[#This Row],[سال]],1,0)</f>
        <v>1</v>
      </c>
      <c r="J244" s="360" t="str">
        <f>VLOOKUP(bargiri[[#This Row],[شماره پیش فاکتور]],invoice[],16,0)</f>
        <v>عادی</v>
      </c>
      <c r="K244" s="252">
        <f>bargiri[[#This Row],[فی]]*bargiri[[#This Row],[میزان بارگیری شده]]</f>
        <v>2113650000</v>
      </c>
      <c r="X244" s="1"/>
      <c r="Y244" s="1"/>
      <c r="Z244" s="1"/>
    </row>
    <row r="245" spans="1:26" ht="18.600000000000001">
      <c r="A245" s="360" t="s">
        <v>1153</v>
      </c>
      <c r="B245" s="360" t="s">
        <v>99</v>
      </c>
      <c r="C245" s="355" t="s">
        <v>821</v>
      </c>
      <c r="D245">
        <v>21890</v>
      </c>
      <c r="E245" s="143">
        <v>105000</v>
      </c>
      <c r="F245" s="117">
        <v>1405</v>
      </c>
      <c r="G245" s="360" t="s">
        <v>303</v>
      </c>
      <c r="H245" s="144">
        <f>bargiri[[#This Row],[میزان بارگیری شده]]*bargiri[[#This Row],[فی]]</f>
        <v>2298450000</v>
      </c>
      <c r="I245" s="360">
        <f>IF(year=bargiri[[#This Row],[سال]],1,0)</f>
        <v>1</v>
      </c>
      <c r="J245" s="360" t="str">
        <f>VLOOKUP(bargiri[[#This Row],[شماره پیش فاکتور]],invoice[],16,0)</f>
        <v>عادی</v>
      </c>
      <c r="K245" s="252">
        <f>bargiri[[#This Row],[فی]]*bargiri[[#This Row],[میزان بارگیری شده]]</f>
        <v>2298450000</v>
      </c>
      <c r="X245" s="1"/>
      <c r="Y245" s="1"/>
      <c r="Z245" s="1"/>
    </row>
    <row r="246" spans="1:26" ht="18.600000000000001">
      <c r="A246" s="360" t="s">
        <v>1153</v>
      </c>
      <c r="B246" s="360" t="s">
        <v>114</v>
      </c>
      <c r="C246" s="355" t="s">
        <v>905</v>
      </c>
      <c r="D246">
        <v>22830</v>
      </c>
      <c r="E246" s="143">
        <v>135000</v>
      </c>
      <c r="F246" s="117">
        <v>1405</v>
      </c>
      <c r="G246" s="360" t="s">
        <v>303</v>
      </c>
      <c r="H246" s="144">
        <f>bargiri[[#This Row],[میزان بارگیری شده]]*bargiri[[#This Row],[فی]]</f>
        <v>3082050000</v>
      </c>
      <c r="I246" s="360">
        <f>IF(year=bargiri[[#This Row],[سال]],1,0)</f>
        <v>1</v>
      </c>
      <c r="J246" s="360" t="str">
        <f>VLOOKUP(bargiri[[#This Row],[شماره پیش فاکتور]],invoice[],16,0)</f>
        <v>عادی</v>
      </c>
      <c r="K246" s="252">
        <f>bargiri[[#This Row],[فی]]*bargiri[[#This Row],[میزان بارگیری شده]]</f>
        <v>3082050000</v>
      </c>
      <c r="X246" s="1"/>
      <c r="Y246" s="1"/>
      <c r="Z246" s="1"/>
    </row>
    <row r="247" spans="1:26" ht="18.600000000000001">
      <c r="A247" s="360" t="s">
        <v>1153</v>
      </c>
      <c r="B247" s="360" t="s">
        <v>101</v>
      </c>
      <c r="C247" s="355" t="s">
        <v>1103</v>
      </c>
      <c r="D247">
        <v>22530</v>
      </c>
      <c r="E247" s="143">
        <v>240000</v>
      </c>
      <c r="F247" s="117">
        <v>1405</v>
      </c>
      <c r="G247" s="360" t="s">
        <v>303</v>
      </c>
      <c r="H247" s="144">
        <f>bargiri[[#This Row],[میزان بارگیری شده]]*bargiri[[#This Row],[فی]]</f>
        <v>5407200000</v>
      </c>
      <c r="I247" s="360">
        <f>IF(year=bargiri[[#This Row],[سال]],1,0)</f>
        <v>1</v>
      </c>
      <c r="J247" s="360" t="str">
        <f>VLOOKUP(bargiri[[#This Row],[شماره پیش فاکتور]],invoice[],16,0)</f>
        <v>انجمن</v>
      </c>
      <c r="K247" s="252">
        <f>bargiri[[#This Row],[فی]]*bargiri[[#This Row],[میزان بارگیری شده]]</f>
        <v>5407200000</v>
      </c>
      <c r="X247" s="1"/>
      <c r="Y247" s="1"/>
      <c r="Z247" s="1"/>
    </row>
    <row r="248" spans="1:26" ht="18.600000000000001">
      <c r="A248" s="360" t="s">
        <v>1153</v>
      </c>
      <c r="B248" s="360" t="s">
        <v>113</v>
      </c>
      <c r="C248" s="355" t="s">
        <v>822</v>
      </c>
      <c r="D248">
        <v>21990</v>
      </c>
      <c r="E248" s="143">
        <v>105000</v>
      </c>
      <c r="F248" s="117">
        <v>1405</v>
      </c>
      <c r="G248" s="360" t="s">
        <v>303</v>
      </c>
      <c r="H248" s="144">
        <f>bargiri[[#This Row],[میزان بارگیری شده]]*bargiri[[#This Row],[فی]]</f>
        <v>2308950000</v>
      </c>
      <c r="I248" s="360">
        <f>IF(year=bargiri[[#This Row],[سال]],1,0)</f>
        <v>1</v>
      </c>
      <c r="J248" s="360" t="str">
        <f>VLOOKUP(bargiri[[#This Row],[شماره پیش فاکتور]],invoice[],16,0)</f>
        <v>عادی</v>
      </c>
      <c r="K248" s="252">
        <f>bargiri[[#This Row],[فی]]*bargiri[[#This Row],[میزان بارگیری شده]]</f>
        <v>2308950000</v>
      </c>
      <c r="X248" s="1"/>
      <c r="Y248" s="1"/>
      <c r="Z248" s="1"/>
    </row>
    <row r="249" spans="1:26" ht="18.600000000000001">
      <c r="A249" s="360" t="s">
        <v>1152</v>
      </c>
      <c r="B249" s="360" t="s">
        <v>99</v>
      </c>
      <c r="C249" s="355" t="s">
        <v>821</v>
      </c>
      <c r="D249">
        <v>21430</v>
      </c>
      <c r="E249" s="143">
        <v>105000</v>
      </c>
      <c r="F249" s="117">
        <v>1405</v>
      </c>
      <c r="G249" s="360" t="s">
        <v>303</v>
      </c>
      <c r="H249" s="144">
        <f>bargiri[[#This Row],[میزان بارگیری شده]]*bargiri[[#This Row],[فی]]</f>
        <v>2250150000</v>
      </c>
      <c r="I249" s="360">
        <f>IF(year=bargiri[[#This Row],[سال]],1,0)</f>
        <v>1</v>
      </c>
      <c r="J249" s="360" t="str">
        <f>VLOOKUP(bargiri[[#This Row],[شماره پیش فاکتور]],invoice[],16,0)</f>
        <v>عادی</v>
      </c>
      <c r="K249" s="252">
        <f>bargiri[[#This Row],[فی]]*bargiri[[#This Row],[میزان بارگیری شده]]</f>
        <v>2250150000</v>
      </c>
      <c r="X249" s="1"/>
      <c r="Y249" s="1"/>
      <c r="Z249" s="1"/>
    </row>
    <row r="250" spans="1:26" ht="18.600000000000001">
      <c r="A250" s="360" t="s">
        <v>1152</v>
      </c>
      <c r="B250" s="360" t="s">
        <v>125</v>
      </c>
      <c r="C250" s="355" t="s">
        <v>1009</v>
      </c>
      <c r="D250">
        <v>13740</v>
      </c>
      <c r="E250" s="143">
        <v>120000</v>
      </c>
      <c r="F250" s="117">
        <v>1405</v>
      </c>
      <c r="G250" s="360" t="s">
        <v>303</v>
      </c>
      <c r="H250" s="144">
        <f>bargiri[[#This Row],[میزان بارگیری شده]]*bargiri[[#This Row],[فی]]</f>
        <v>1648800000</v>
      </c>
      <c r="I250" s="360">
        <f>IF(year=bargiri[[#This Row],[سال]],1,0)</f>
        <v>1</v>
      </c>
      <c r="J250" s="360" t="str">
        <f>VLOOKUP(bargiri[[#This Row],[شماره پیش فاکتور]],invoice[],16,0)</f>
        <v>عادی</v>
      </c>
      <c r="K250" s="252">
        <f>bargiri[[#This Row],[فی]]*bargiri[[#This Row],[میزان بارگیری شده]]</f>
        <v>1648800000</v>
      </c>
      <c r="X250" s="1"/>
      <c r="Y250" s="1"/>
      <c r="Z250" s="1"/>
    </row>
    <row r="251" spans="1:26" ht="18.600000000000001">
      <c r="A251" s="360" t="s">
        <v>1151</v>
      </c>
      <c r="B251" s="360" t="s">
        <v>103</v>
      </c>
      <c r="C251" s="355" t="s">
        <v>1051</v>
      </c>
      <c r="D251">
        <v>19960</v>
      </c>
      <c r="E251" s="143">
        <v>240000</v>
      </c>
      <c r="F251" s="117">
        <v>1405</v>
      </c>
      <c r="G251" s="360" t="s">
        <v>303</v>
      </c>
      <c r="H251" s="144">
        <f>bargiri[[#This Row],[میزان بارگیری شده]]*bargiri[[#This Row],[فی]]</f>
        <v>4790400000</v>
      </c>
      <c r="I251" s="360">
        <f>IF(year=bargiri[[#This Row],[سال]],1,0)</f>
        <v>1</v>
      </c>
      <c r="J251" s="360" t="str">
        <f>VLOOKUP(bargiri[[#This Row],[شماره پیش فاکتور]],invoice[],16,0)</f>
        <v>انجمن</v>
      </c>
      <c r="K251" s="252">
        <f>bargiri[[#This Row],[فی]]*bargiri[[#This Row],[میزان بارگیری شده]]</f>
        <v>4790400000</v>
      </c>
      <c r="X251" s="1"/>
      <c r="Y251" s="1"/>
      <c r="Z251" s="1"/>
    </row>
    <row r="252" spans="1:26" ht="18.600000000000001">
      <c r="A252" s="360" t="s">
        <v>1151</v>
      </c>
      <c r="B252" s="360" t="s">
        <v>122</v>
      </c>
      <c r="C252" s="355" t="s">
        <v>633</v>
      </c>
      <c r="D252">
        <v>21500</v>
      </c>
      <c r="E252" s="143">
        <v>120000</v>
      </c>
      <c r="F252" s="117">
        <v>1405</v>
      </c>
      <c r="G252" s="360" t="s">
        <v>303</v>
      </c>
      <c r="H252" s="144">
        <f>bargiri[[#This Row],[میزان بارگیری شده]]*bargiri[[#This Row],[فی]]</f>
        <v>2580000000</v>
      </c>
      <c r="I252" s="360">
        <f>IF(year=bargiri[[#This Row],[سال]],1,0)</f>
        <v>1</v>
      </c>
      <c r="J252" s="360" t="str">
        <f>VLOOKUP(bargiri[[#This Row],[شماره پیش فاکتور]],invoice[],16,0)</f>
        <v>عادی</v>
      </c>
      <c r="K252" s="252">
        <f>bargiri[[#This Row],[فی]]*bargiri[[#This Row],[میزان بارگیری شده]]</f>
        <v>2580000000</v>
      </c>
      <c r="X252" s="1"/>
      <c r="Y252" s="1"/>
      <c r="Z252" s="1"/>
    </row>
    <row r="253" spans="1:26" ht="18.600000000000001">
      <c r="A253" s="360" t="s">
        <v>1151</v>
      </c>
      <c r="B253" s="360" t="s">
        <v>123</v>
      </c>
      <c r="C253" s="355" t="s">
        <v>1035</v>
      </c>
      <c r="D253">
        <v>7360</v>
      </c>
      <c r="E253" s="143">
        <v>240000</v>
      </c>
      <c r="F253" s="117">
        <v>1405</v>
      </c>
      <c r="G253" s="360" t="s">
        <v>303</v>
      </c>
      <c r="H253" s="144">
        <f>bargiri[[#This Row],[میزان بارگیری شده]]*bargiri[[#This Row],[فی]]</f>
        <v>1766400000</v>
      </c>
      <c r="I253" s="360">
        <f>IF(year=bargiri[[#This Row],[سال]],1,0)</f>
        <v>1</v>
      </c>
      <c r="J253" s="360" t="str">
        <f>VLOOKUP(bargiri[[#This Row],[شماره پیش فاکتور]],invoice[],16,0)</f>
        <v>انجمن</v>
      </c>
      <c r="K253" s="252">
        <f>bargiri[[#This Row],[فی]]*bargiri[[#This Row],[میزان بارگیری شده]]</f>
        <v>1766400000</v>
      </c>
      <c r="X253" s="1"/>
      <c r="Y253" s="1"/>
      <c r="Z253" s="1"/>
    </row>
    <row r="254" spans="1:26" ht="18.600000000000001">
      <c r="A254" s="360" t="s">
        <v>1150</v>
      </c>
      <c r="B254" s="360" t="s">
        <v>113</v>
      </c>
      <c r="C254" s="355" t="s">
        <v>822</v>
      </c>
      <c r="D254">
        <v>19230</v>
      </c>
      <c r="E254" s="143">
        <v>105000</v>
      </c>
      <c r="F254" s="117">
        <v>1405</v>
      </c>
      <c r="G254" s="360" t="s">
        <v>303</v>
      </c>
      <c r="H254" s="144">
        <f>bargiri[[#This Row],[میزان بارگیری شده]]*bargiri[[#This Row],[فی]]</f>
        <v>2019150000</v>
      </c>
      <c r="I254" s="360">
        <f>IF(year=bargiri[[#This Row],[سال]],1,0)</f>
        <v>1</v>
      </c>
      <c r="J254" s="360" t="str">
        <f>VLOOKUP(bargiri[[#This Row],[شماره پیش فاکتور]],invoice[],16,0)</f>
        <v>عادی</v>
      </c>
      <c r="K254" s="252">
        <f>bargiri[[#This Row],[فی]]*bargiri[[#This Row],[میزان بارگیری شده]]</f>
        <v>2019150000</v>
      </c>
      <c r="X254" s="1"/>
      <c r="Y254" s="1"/>
      <c r="Z254" s="1"/>
    </row>
    <row r="255" spans="1:26" ht="18.600000000000001">
      <c r="A255" s="360" t="s">
        <v>1150</v>
      </c>
      <c r="B255" s="360" t="s">
        <v>117</v>
      </c>
      <c r="C255" s="355" t="s">
        <v>1013</v>
      </c>
      <c r="D255">
        <v>20140</v>
      </c>
      <c r="E255" s="143">
        <v>120000</v>
      </c>
      <c r="F255" s="117">
        <v>1405</v>
      </c>
      <c r="G255" s="360" t="s">
        <v>303</v>
      </c>
      <c r="H255" s="144">
        <f>bargiri[[#This Row],[میزان بارگیری شده]]*bargiri[[#This Row],[فی]]</f>
        <v>2416800000</v>
      </c>
      <c r="I255" s="360">
        <f>IF(year=bargiri[[#This Row],[سال]],1,0)</f>
        <v>1</v>
      </c>
      <c r="J255" s="360" t="str">
        <f>VLOOKUP(bargiri[[#This Row],[شماره پیش فاکتور]],invoice[],16,0)</f>
        <v>عادی</v>
      </c>
      <c r="K255" s="252">
        <f>bargiri[[#This Row],[فی]]*bargiri[[#This Row],[میزان بارگیری شده]]</f>
        <v>2416800000</v>
      </c>
      <c r="X255" s="1"/>
      <c r="Y255" s="1"/>
      <c r="Z255" s="1"/>
    </row>
    <row r="256" spans="1:26" ht="18.600000000000001">
      <c r="A256" s="360" t="s">
        <v>1150</v>
      </c>
      <c r="B256" s="360" t="s">
        <v>118</v>
      </c>
      <c r="C256" s="355" t="s">
        <v>1149</v>
      </c>
      <c r="D256">
        <v>20970</v>
      </c>
      <c r="E256" s="143">
        <v>137072</v>
      </c>
      <c r="F256" s="117">
        <v>1405</v>
      </c>
      <c r="G256" s="360" t="s">
        <v>303</v>
      </c>
      <c r="H256" s="144">
        <f>bargiri[[#This Row],[میزان بارگیری شده]]*bargiri[[#This Row],[فی]]</f>
        <v>2874399840</v>
      </c>
      <c r="I256" s="360">
        <f>IF(year=bargiri[[#This Row],[سال]],1,0)</f>
        <v>1</v>
      </c>
      <c r="J256" s="360" t="str">
        <f>VLOOKUP(bargiri[[#This Row],[شماره پیش فاکتور]],invoice[],16,0)</f>
        <v>عادی</v>
      </c>
      <c r="K256" s="252">
        <f>bargiri[[#This Row],[فی]]*bargiri[[#This Row],[میزان بارگیری شده]]</f>
        <v>2874399840</v>
      </c>
      <c r="X256" s="1"/>
      <c r="Y256" s="1"/>
      <c r="Z256" s="1"/>
    </row>
    <row r="257" spans="1:26" ht="18.600000000000001">
      <c r="A257" s="360" t="s">
        <v>1150</v>
      </c>
      <c r="B257" s="360" t="s">
        <v>118</v>
      </c>
      <c r="C257" s="355" t="s">
        <v>1149</v>
      </c>
      <c r="D257">
        <v>20730</v>
      </c>
      <c r="E257" s="143">
        <v>137072</v>
      </c>
      <c r="F257" s="117">
        <v>1405</v>
      </c>
      <c r="G257" s="360" t="s">
        <v>303</v>
      </c>
      <c r="H257" s="144">
        <f>bargiri[[#This Row],[میزان بارگیری شده]]*bargiri[[#This Row],[فی]]</f>
        <v>2841502560</v>
      </c>
      <c r="I257" s="360">
        <f>IF(year=bargiri[[#This Row],[سال]],1,0)</f>
        <v>1</v>
      </c>
      <c r="J257" s="360" t="str">
        <f>VLOOKUP(bargiri[[#This Row],[شماره پیش فاکتور]],invoice[],16,0)</f>
        <v>عادی</v>
      </c>
      <c r="K257" s="252">
        <f>bargiri[[#This Row],[فی]]*bargiri[[#This Row],[میزان بارگیری شده]]</f>
        <v>2841502560</v>
      </c>
      <c r="X257" s="1"/>
      <c r="Y257" s="1"/>
      <c r="Z257" s="1"/>
    </row>
    <row r="258" spans="1:26" ht="18.600000000000001">
      <c r="A258" s="360" t="s">
        <v>1150</v>
      </c>
      <c r="B258" s="360" t="s">
        <v>118</v>
      </c>
      <c r="C258" s="355" t="s">
        <v>1149</v>
      </c>
      <c r="D258">
        <v>20390</v>
      </c>
      <c r="E258" s="143">
        <v>137072</v>
      </c>
      <c r="F258" s="117">
        <v>1405</v>
      </c>
      <c r="G258" s="360" t="s">
        <v>303</v>
      </c>
      <c r="H258" s="144">
        <f>bargiri[[#This Row],[میزان بارگیری شده]]*bargiri[[#This Row],[فی]]</f>
        <v>2794898080</v>
      </c>
      <c r="I258" s="360">
        <f>IF(year=bargiri[[#This Row],[سال]],1,0)</f>
        <v>1</v>
      </c>
      <c r="J258" s="360" t="str">
        <f>VLOOKUP(bargiri[[#This Row],[شماره پیش فاکتور]],invoice[],16,0)</f>
        <v>عادی</v>
      </c>
      <c r="K258" s="252">
        <f>bargiri[[#This Row],[فی]]*bargiri[[#This Row],[میزان بارگیری شده]]</f>
        <v>2794898080</v>
      </c>
      <c r="X258" s="1"/>
      <c r="Y258" s="1"/>
      <c r="Z258" s="1"/>
    </row>
    <row r="259" spans="1:26" ht="18.600000000000001">
      <c r="A259" s="360" t="s">
        <v>1148</v>
      </c>
      <c r="B259" s="360" t="s">
        <v>118</v>
      </c>
      <c r="C259" s="355" t="s">
        <v>1149</v>
      </c>
      <c r="D259">
        <v>20730</v>
      </c>
      <c r="E259" s="143">
        <v>137072</v>
      </c>
      <c r="F259" s="117">
        <v>1405</v>
      </c>
      <c r="G259" s="360" t="s">
        <v>303</v>
      </c>
      <c r="H259" s="144">
        <f>bargiri[[#This Row],[میزان بارگیری شده]]*bargiri[[#This Row],[فی]]</f>
        <v>2841502560</v>
      </c>
      <c r="I259" s="360">
        <f>IF(year=bargiri[[#This Row],[سال]],1,0)</f>
        <v>1</v>
      </c>
      <c r="J259" s="360" t="str">
        <f>VLOOKUP(bargiri[[#This Row],[شماره پیش فاکتور]],invoice[],16,0)</f>
        <v>عادی</v>
      </c>
      <c r="K259" s="252">
        <f>bargiri[[#This Row],[فی]]*bargiri[[#This Row],[میزان بارگیری شده]]</f>
        <v>2841502560</v>
      </c>
      <c r="X259" s="1"/>
      <c r="Y259" s="1"/>
      <c r="Z259" s="1"/>
    </row>
    <row r="260" spans="1:26" ht="18.600000000000001">
      <c r="A260" s="360" t="s">
        <v>1147</v>
      </c>
      <c r="B260" s="360" t="s">
        <v>118</v>
      </c>
      <c r="C260" s="355" t="s">
        <v>1149</v>
      </c>
      <c r="D260">
        <v>20480</v>
      </c>
      <c r="E260" s="143">
        <v>137072</v>
      </c>
      <c r="F260" s="117">
        <v>1405</v>
      </c>
      <c r="G260" s="360" t="s">
        <v>303</v>
      </c>
      <c r="H260" s="144">
        <f>bargiri[[#This Row],[میزان بارگیری شده]]*bargiri[[#This Row],[فی]]</f>
        <v>2807234560</v>
      </c>
      <c r="I260" s="360">
        <f>IF(year=bargiri[[#This Row],[سال]],1,0)</f>
        <v>1</v>
      </c>
      <c r="J260" s="360" t="str">
        <f>VLOOKUP(bargiri[[#This Row],[شماره پیش فاکتور]],invoice[],16,0)</f>
        <v>عادی</v>
      </c>
      <c r="K260" s="252">
        <f>bargiri[[#This Row],[فی]]*bargiri[[#This Row],[میزان بارگیری شده]]</f>
        <v>2807234560</v>
      </c>
      <c r="X260" s="1"/>
      <c r="Y260" s="1"/>
      <c r="Z260" s="1"/>
    </row>
    <row r="261" spans="1:26" ht="18.600000000000001">
      <c r="A261" s="360" t="s">
        <v>1147</v>
      </c>
      <c r="B261" s="360" t="s">
        <v>118</v>
      </c>
      <c r="C261" s="355" t="s">
        <v>1149</v>
      </c>
      <c r="D261">
        <v>20150</v>
      </c>
      <c r="E261" s="143">
        <v>137072</v>
      </c>
      <c r="F261" s="117">
        <v>1405</v>
      </c>
      <c r="G261" s="360" t="s">
        <v>303</v>
      </c>
      <c r="H261" s="144">
        <f>bargiri[[#This Row],[میزان بارگیری شده]]*bargiri[[#This Row],[فی]]</f>
        <v>2762000800</v>
      </c>
      <c r="I261" s="360">
        <f>IF(year=bargiri[[#This Row],[سال]],1,0)</f>
        <v>1</v>
      </c>
      <c r="J261" s="360" t="str">
        <f>VLOOKUP(bargiri[[#This Row],[شماره پیش فاکتور]],invoice[],16,0)</f>
        <v>عادی</v>
      </c>
      <c r="K261" s="252">
        <f>bargiri[[#This Row],[فی]]*bargiri[[#This Row],[میزان بارگیری شده]]</f>
        <v>2762000800</v>
      </c>
      <c r="X261" s="1"/>
      <c r="Y261" s="1"/>
      <c r="Z261" s="1"/>
    </row>
    <row r="262" spans="1:26" ht="18.600000000000001">
      <c r="A262" s="360" t="s">
        <v>1147</v>
      </c>
      <c r="B262" s="360" t="s">
        <v>118</v>
      </c>
      <c r="C262" s="355" t="s">
        <v>1149</v>
      </c>
      <c r="D262">
        <v>20660</v>
      </c>
      <c r="E262" s="143">
        <v>137072</v>
      </c>
      <c r="F262" s="117">
        <v>1405</v>
      </c>
      <c r="G262" s="360" t="s">
        <v>303</v>
      </c>
      <c r="H262" s="144">
        <f>bargiri[[#This Row],[میزان بارگیری شده]]*bargiri[[#This Row],[فی]]</f>
        <v>2831907520</v>
      </c>
      <c r="I262" s="360">
        <f>IF(year=bargiri[[#This Row],[سال]],1,0)</f>
        <v>1</v>
      </c>
      <c r="J262" s="360" t="str">
        <f>VLOOKUP(bargiri[[#This Row],[شماره پیش فاکتور]],invoice[],16,0)</f>
        <v>عادی</v>
      </c>
      <c r="K262" s="252">
        <f>bargiri[[#This Row],[فی]]*bargiri[[#This Row],[میزان بارگیری شده]]</f>
        <v>2831907520</v>
      </c>
      <c r="X262" s="1"/>
      <c r="Y262" s="1"/>
      <c r="Z262" s="1"/>
    </row>
    <row r="263" spans="1:26" ht="18.600000000000001">
      <c r="A263" s="360" t="s">
        <v>1144</v>
      </c>
      <c r="B263" s="360" t="s">
        <v>118</v>
      </c>
      <c r="C263" s="355" t="s">
        <v>1149</v>
      </c>
      <c r="D263">
        <v>20860</v>
      </c>
      <c r="E263" s="143">
        <v>137072</v>
      </c>
      <c r="F263" s="117">
        <v>1405</v>
      </c>
      <c r="G263" s="360" t="s">
        <v>303</v>
      </c>
      <c r="H263" s="144">
        <f>bargiri[[#This Row],[میزان بارگیری شده]]*bargiri[[#This Row],[فی]]</f>
        <v>2859321920</v>
      </c>
      <c r="I263" s="360">
        <f>IF(year=bargiri[[#This Row],[سال]],1,0)</f>
        <v>1</v>
      </c>
      <c r="J263" s="360" t="str">
        <f>VLOOKUP(bargiri[[#This Row],[شماره پیش فاکتور]],invoice[],16,0)</f>
        <v>عادی</v>
      </c>
      <c r="K263" s="252">
        <f>bargiri[[#This Row],[فی]]*bargiri[[#This Row],[میزان بارگیری شده]]</f>
        <v>2859321920</v>
      </c>
      <c r="X263" s="1"/>
      <c r="Y263" s="1"/>
      <c r="Z263" s="1"/>
    </row>
    <row r="264" spans="1:26" ht="18.600000000000001">
      <c r="A264" s="360" t="s">
        <v>1144</v>
      </c>
      <c r="B264" s="360" t="s">
        <v>118</v>
      </c>
      <c r="C264" s="355" t="s">
        <v>1149</v>
      </c>
      <c r="D264">
        <v>20620</v>
      </c>
      <c r="E264" s="143">
        <v>137072</v>
      </c>
      <c r="F264" s="117">
        <v>1405</v>
      </c>
      <c r="G264" s="360" t="s">
        <v>303</v>
      </c>
      <c r="H264" s="144">
        <f>bargiri[[#This Row],[میزان بارگیری شده]]*bargiri[[#This Row],[فی]]</f>
        <v>2826424640</v>
      </c>
      <c r="I264" s="360">
        <f>IF(year=bargiri[[#This Row],[سال]],1,0)</f>
        <v>1</v>
      </c>
      <c r="J264" s="360" t="str">
        <f>VLOOKUP(bargiri[[#This Row],[شماره پیش فاکتور]],invoice[],16,0)</f>
        <v>عادی</v>
      </c>
      <c r="K264" s="252">
        <f>bargiri[[#This Row],[فی]]*bargiri[[#This Row],[میزان بارگیری شده]]</f>
        <v>2826424640</v>
      </c>
      <c r="X264" s="1"/>
      <c r="Y264" s="1"/>
      <c r="Z264" s="1"/>
    </row>
    <row r="265" spans="1:26" ht="18.600000000000001">
      <c r="A265" s="360" t="s">
        <v>1144</v>
      </c>
      <c r="B265" s="360" t="s">
        <v>118</v>
      </c>
      <c r="C265" s="355" t="s">
        <v>1149</v>
      </c>
      <c r="D265">
        <v>20930</v>
      </c>
      <c r="E265" s="143">
        <v>137072</v>
      </c>
      <c r="F265" s="117">
        <v>1405</v>
      </c>
      <c r="G265" s="360" t="s">
        <v>303</v>
      </c>
      <c r="H265" s="144">
        <f>bargiri[[#This Row],[میزان بارگیری شده]]*bargiri[[#This Row],[فی]]</f>
        <v>2868916960</v>
      </c>
      <c r="I265" s="360">
        <f>IF(year=bargiri[[#This Row],[سال]],1,0)</f>
        <v>1</v>
      </c>
      <c r="J265" s="360" t="str">
        <f>VLOOKUP(bargiri[[#This Row],[شماره پیش فاکتور]],invoice[],16,0)</f>
        <v>عادی</v>
      </c>
      <c r="K265" s="252">
        <f>bargiri[[#This Row],[فی]]*bargiri[[#This Row],[میزان بارگیری شده]]</f>
        <v>2868916960</v>
      </c>
      <c r="X265" s="1"/>
      <c r="Y265" s="1"/>
      <c r="Z265" s="1"/>
    </row>
    <row r="266" spans="1:26" ht="18.600000000000001">
      <c r="A266" s="360" t="s">
        <v>1145</v>
      </c>
      <c r="B266" s="360" t="s">
        <v>118</v>
      </c>
      <c r="C266" s="355" t="s">
        <v>1149</v>
      </c>
      <c r="D266">
        <v>21020</v>
      </c>
      <c r="E266" s="143">
        <v>137072</v>
      </c>
      <c r="F266" s="117">
        <v>1405</v>
      </c>
      <c r="G266" s="360" t="s">
        <v>303</v>
      </c>
      <c r="H266" s="144">
        <f>bargiri[[#This Row],[میزان بارگیری شده]]*bargiri[[#This Row],[فی]]</f>
        <v>2881253440</v>
      </c>
      <c r="I266" s="360">
        <f>IF(year=bargiri[[#This Row],[سال]],1,0)</f>
        <v>1</v>
      </c>
      <c r="J266" s="360" t="str">
        <f>VLOOKUP(bargiri[[#This Row],[شماره پیش فاکتور]],invoice[],16,0)</f>
        <v>عادی</v>
      </c>
      <c r="K266" s="252">
        <f>bargiri[[#This Row],[فی]]*bargiri[[#This Row],[میزان بارگیری شده]]</f>
        <v>2881253440</v>
      </c>
      <c r="X266" s="1"/>
      <c r="Y266" s="1"/>
      <c r="Z266" s="1"/>
    </row>
    <row r="267" spans="1:26" ht="18.600000000000001">
      <c r="A267" s="360" t="s">
        <v>1145</v>
      </c>
      <c r="B267" s="360" t="s">
        <v>118</v>
      </c>
      <c r="C267" s="355" t="s">
        <v>1149</v>
      </c>
      <c r="D267">
        <v>20940</v>
      </c>
      <c r="E267" s="143">
        <v>137072</v>
      </c>
      <c r="F267" s="117">
        <v>1405</v>
      </c>
      <c r="G267" s="360" t="s">
        <v>303</v>
      </c>
      <c r="H267" s="144">
        <f>bargiri[[#This Row],[میزان بارگیری شده]]*bargiri[[#This Row],[فی]]</f>
        <v>2870287680</v>
      </c>
      <c r="I267" s="360">
        <f>IF(year=bargiri[[#This Row],[سال]],1,0)</f>
        <v>1</v>
      </c>
      <c r="J267" s="360" t="str">
        <f>VLOOKUP(bargiri[[#This Row],[شماره پیش فاکتور]],invoice[],16,0)</f>
        <v>عادی</v>
      </c>
      <c r="K267" s="252">
        <f>bargiri[[#This Row],[فی]]*bargiri[[#This Row],[میزان بارگیری شده]]</f>
        <v>2870287680</v>
      </c>
      <c r="X267" s="1"/>
      <c r="Y267" s="1"/>
      <c r="Z267" s="1"/>
    </row>
    <row r="268" spans="1:26" ht="18.600000000000001">
      <c r="A268" s="360" t="s">
        <v>1143</v>
      </c>
      <c r="B268" s="360" t="s">
        <v>118</v>
      </c>
      <c r="C268" s="355" t="s">
        <v>1149</v>
      </c>
      <c r="D268">
        <v>20070</v>
      </c>
      <c r="E268" s="143">
        <v>137072</v>
      </c>
      <c r="F268" s="117">
        <v>1405</v>
      </c>
      <c r="G268" s="360" t="s">
        <v>303</v>
      </c>
      <c r="H268" s="144">
        <f>bargiri[[#This Row],[میزان بارگیری شده]]*bargiri[[#This Row],[فی]]</f>
        <v>2751035040</v>
      </c>
      <c r="I268" s="360">
        <f>IF(year=bargiri[[#This Row],[سال]],1,0)</f>
        <v>1</v>
      </c>
      <c r="J268" s="360" t="str">
        <f>VLOOKUP(bargiri[[#This Row],[شماره پیش فاکتور]],invoice[],16,0)</f>
        <v>عادی</v>
      </c>
      <c r="K268" s="252">
        <f>bargiri[[#This Row],[فی]]*bargiri[[#This Row],[میزان بارگیری شده]]</f>
        <v>2751035040</v>
      </c>
      <c r="X268" s="1"/>
      <c r="Y268" s="1"/>
      <c r="Z268" s="1"/>
    </row>
    <row r="269" spans="1:26" ht="18.600000000000001">
      <c r="A269" s="360" t="s">
        <v>1136</v>
      </c>
      <c r="B269" s="360" t="s">
        <v>118</v>
      </c>
      <c r="C269" s="355" t="s">
        <v>1149</v>
      </c>
      <c r="D269">
        <v>20020</v>
      </c>
      <c r="E269" s="143">
        <v>137072</v>
      </c>
      <c r="F269" s="117">
        <v>1405</v>
      </c>
      <c r="G269" s="360" t="s">
        <v>303</v>
      </c>
      <c r="H269" s="144">
        <f>bargiri[[#This Row],[میزان بارگیری شده]]*bargiri[[#This Row],[فی]]</f>
        <v>2744181440</v>
      </c>
      <c r="I269" s="360">
        <f>IF(year=bargiri[[#This Row],[سال]],1,0)</f>
        <v>1</v>
      </c>
      <c r="J269" s="360" t="str">
        <f>VLOOKUP(bargiri[[#This Row],[شماره پیش فاکتور]],invoice[],16,0)</f>
        <v>عادی</v>
      </c>
      <c r="K269" s="252">
        <f>bargiri[[#This Row],[فی]]*bargiri[[#This Row],[میزان بارگیری شده]]</f>
        <v>2744181440</v>
      </c>
      <c r="X269" s="1"/>
      <c r="Y269" s="1"/>
      <c r="Z269" s="1"/>
    </row>
    <row r="270" spans="1:26" ht="18.600000000000001">
      <c r="A270" s="360" t="s">
        <v>1136</v>
      </c>
      <c r="B270" s="360" t="s">
        <v>118</v>
      </c>
      <c r="C270" s="355" t="s">
        <v>1149</v>
      </c>
      <c r="D270">
        <v>20080</v>
      </c>
      <c r="E270" s="143">
        <v>137072</v>
      </c>
      <c r="F270" s="117">
        <v>1405</v>
      </c>
      <c r="G270" s="360" t="s">
        <v>303</v>
      </c>
      <c r="H270" s="144">
        <f>bargiri[[#This Row],[میزان بارگیری شده]]*bargiri[[#This Row],[فی]]</f>
        <v>2752405760</v>
      </c>
      <c r="I270" s="360">
        <f>IF(year=bargiri[[#This Row],[سال]],1,0)</f>
        <v>1</v>
      </c>
      <c r="J270" s="360" t="str">
        <f>VLOOKUP(bargiri[[#This Row],[شماره پیش فاکتور]],invoice[],16,0)</f>
        <v>عادی</v>
      </c>
      <c r="K270" s="252">
        <f>bargiri[[#This Row],[فی]]*bargiri[[#This Row],[میزان بارگیری شده]]</f>
        <v>2752405760</v>
      </c>
      <c r="X270" s="1"/>
      <c r="Y270" s="1"/>
      <c r="Z270" s="1"/>
    </row>
    <row r="271" spans="1:26" ht="18.600000000000001">
      <c r="A271" s="360" t="s">
        <v>1136</v>
      </c>
      <c r="B271" s="360" t="s">
        <v>118</v>
      </c>
      <c r="C271" s="355" t="s">
        <v>1149</v>
      </c>
      <c r="D271">
        <v>20000</v>
      </c>
      <c r="E271" s="143">
        <v>137072</v>
      </c>
      <c r="F271" s="117">
        <v>1405</v>
      </c>
      <c r="G271" s="360" t="s">
        <v>303</v>
      </c>
      <c r="H271" s="144">
        <f>bargiri[[#This Row],[میزان بارگیری شده]]*bargiri[[#This Row],[فی]]</f>
        <v>2741440000</v>
      </c>
      <c r="I271" s="360">
        <f>IF(year=bargiri[[#This Row],[سال]],1,0)</f>
        <v>1</v>
      </c>
      <c r="J271" s="360" t="str">
        <f>VLOOKUP(bargiri[[#This Row],[شماره پیش فاکتور]],invoice[],16,0)</f>
        <v>عادی</v>
      </c>
      <c r="K271" s="252">
        <f>bargiri[[#This Row],[فی]]*bargiri[[#This Row],[میزان بارگیری شده]]</f>
        <v>2741440000</v>
      </c>
      <c r="X271" s="1"/>
      <c r="Y271" s="1"/>
      <c r="Z271" s="1"/>
    </row>
    <row r="272" spans="1:26" ht="18.600000000000001">
      <c r="A272" s="360" t="s">
        <v>1134</v>
      </c>
      <c r="B272" s="360" t="s">
        <v>118</v>
      </c>
      <c r="C272" s="355" t="s">
        <v>1149</v>
      </c>
      <c r="D272">
        <v>20460</v>
      </c>
      <c r="E272" s="143">
        <v>137072</v>
      </c>
      <c r="F272" s="117">
        <v>1405</v>
      </c>
      <c r="G272" s="360" t="s">
        <v>304</v>
      </c>
      <c r="H272" s="144">
        <f>bargiri[[#This Row],[میزان بارگیری شده]]*bargiri[[#This Row],[فی]]</f>
        <v>2804493120</v>
      </c>
      <c r="I272" s="360">
        <f>IF(year=bargiri[[#This Row],[سال]],1,0)</f>
        <v>1</v>
      </c>
      <c r="J272" s="360" t="str">
        <f>VLOOKUP(bargiri[[#This Row],[شماره پیش فاکتور]],invoice[],16,0)</f>
        <v>عادی</v>
      </c>
      <c r="K272" s="252">
        <f>bargiri[[#This Row],[فی]]*bargiri[[#This Row],[میزان بارگیری شده]]</f>
        <v>2804493120</v>
      </c>
      <c r="X272" s="1"/>
      <c r="Y272" s="1"/>
      <c r="Z272" s="1"/>
    </row>
    <row r="273" spans="1:26" ht="18.600000000000001">
      <c r="A273" s="360" t="s">
        <v>1134</v>
      </c>
      <c r="B273" s="360" t="s">
        <v>118</v>
      </c>
      <c r="C273" s="355" t="s">
        <v>1149</v>
      </c>
      <c r="D273">
        <v>20550</v>
      </c>
      <c r="E273" s="143">
        <v>137072</v>
      </c>
      <c r="F273" s="117">
        <v>1405</v>
      </c>
      <c r="G273" s="360" t="s">
        <v>304</v>
      </c>
      <c r="H273" s="144">
        <f>bargiri[[#This Row],[میزان بارگیری شده]]*bargiri[[#This Row],[فی]]</f>
        <v>2816829600</v>
      </c>
      <c r="I273" s="360">
        <f>IF(year=bargiri[[#This Row],[سال]],1,0)</f>
        <v>1</v>
      </c>
      <c r="J273" s="360" t="str">
        <f>VLOOKUP(bargiri[[#This Row],[شماره پیش فاکتور]],invoice[],16,0)</f>
        <v>عادی</v>
      </c>
      <c r="K273" s="252">
        <f>bargiri[[#This Row],[فی]]*bargiri[[#This Row],[میزان بارگیری شده]]</f>
        <v>2816829600</v>
      </c>
      <c r="X273" s="1"/>
      <c r="Y273" s="1"/>
      <c r="Z273" s="1"/>
    </row>
    <row r="274" spans="1:26" ht="18.600000000000001">
      <c r="A274" s="360" t="s">
        <v>1131</v>
      </c>
      <c r="B274" s="360" t="s">
        <v>118</v>
      </c>
      <c r="C274" s="355" t="s">
        <v>1149</v>
      </c>
      <c r="D274">
        <v>20580</v>
      </c>
      <c r="E274" s="143">
        <v>137072</v>
      </c>
      <c r="F274" s="117">
        <v>1405</v>
      </c>
      <c r="G274" s="360" t="s">
        <v>304</v>
      </c>
      <c r="H274" s="144">
        <f>bargiri[[#This Row],[میزان بارگیری شده]]*bargiri[[#This Row],[فی]]</f>
        <v>2820941760</v>
      </c>
      <c r="I274" s="360">
        <f>IF(year=bargiri[[#This Row],[سال]],1,0)</f>
        <v>1</v>
      </c>
      <c r="J274" s="360" t="str">
        <f>VLOOKUP(bargiri[[#This Row],[شماره پیش فاکتور]],invoice[],16,0)</f>
        <v>عادی</v>
      </c>
      <c r="K274" s="252">
        <f>bargiri[[#This Row],[فی]]*bargiri[[#This Row],[میزان بارگیری شده]]</f>
        <v>2820941760</v>
      </c>
      <c r="X274" s="1"/>
      <c r="Y274" s="1"/>
      <c r="Z274" s="1"/>
    </row>
    <row r="275" spans="1:26" ht="18.600000000000001">
      <c r="A275" s="360" t="s">
        <v>1131</v>
      </c>
      <c r="B275" s="360" t="s">
        <v>118</v>
      </c>
      <c r="C275" s="355" t="s">
        <v>1149</v>
      </c>
      <c r="D275">
        <v>20540</v>
      </c>
      <c r="E275" s="143">
        <v>137072</v>
      </c>
      <c r="F275" s="117">
        <v>1405</v>
      </c>
      <c r="G275" s="360" t="s">
        <v>304</v>
      </c>
      <c r="H275" s="144">
        <f>bargiri[[#This Row],[میزان بارگیری شده]]*bargiri[[#This Row],[فی]]</f>
        <v>2815458880</v>
      </c>
      <c r="I275" s="360">
        <f>IF(year=bargiri[[#This Row],[سال]],1,0)</f>
        <v>1</v>
      </c>
      <c r="J275" s="360" t="str">
        <f>VLOOKUP(bargiri[[#This Row],[شماره پیش فاکتور]],invoice[],16,0)</f>
        <v>عادی</v>
      </c>
      <c r="K275" s="252">
        <f>bargiri[[#This Row],[فی]]*bargiri[[#This Row],[میزان بارگیری شده]]</f>
        <v>2815458880</v>
      </c>
      <c r="X275" s="1"/>
      <c r="Y275" s="1"/>
      <c r="Z275" s="1"/>
    </row>
    <row r="276" spans="1:26" ht="18.600000000000001">
      <c r="A276" s="360" t="s">
        <v>1131</v>
      </c>
      <c r="B276" s="360" t="s">
        <v>118</v>
      </c>
      <c r="C276" s="355" t="s">
        <v>1149</v>
      </c>
      <c r="D276">
        <v>20500</v>
      </c>
      <c r="E276" s="143">
        <v>137072</v>
      </c>
      <c r="F276" s="117">
        <v>1405</v>
      </c>
      <c r="G276" s="360" t="s">
        <v>304</v>
      </c>
      <c r="H276" s="144">
        <f>bargiri[[#This Row],[میزان بارگیری شده]]*bargiri[[#This Row],[فی]]</f>
        <v>2809976000</v>
      </c>
      <c r="I276" s="360">
        <f>IF(year=bargiri[[#This Row],[سال]],1,0)</f>
        <v>1</v>
      </c>
      <c r="J276" s="360" t="str">
        <f>VLOOKUP(bargiri[[#This Row],[شماره پیش فاکتور]],invoice[],16,0)</f>
        <v>عادی</v>
      </c>
      <c r="K276" s="252">
        <f>bargiri[[#This Row],[فی]]*bargiri[[#This Row],[میزان بارگیری شده]]</f>
        <v>2809976000</v>
      </c>
      <c r="X276" s="1"/>
      <c r="Y276" s="1"/>
      <c r="Z276" s="1"/>
    </row>
    <row r="277" spans="1:26" ht="18.600000000000001">
      <c r="A277" s="360" t="s">
        <v>1131</v>
      </c>
      <c r="B277" s="360" t="s">
        <v>118</v>
      </c>
      <c r="C277" s="355" t="s">
        <v>1149</v>
      </c>
      <c r="D277">
        <v>20480</v>
      </c>
      <c r="E277" s="143">
        <v>137072</v>
      </c>
      <c r="F277" s="117">
        <v>1405</v>
      </c>
      <c r="G277" s="360" t="s">
        <v>304</v>
      </c>
      <c r="H277" s="144">
        <f>bargiri[[#This Row],[میزان بارگیری شده]]*bargiri[[#This Row],[فی]]</f>
        <v>2807234560</v>
      </c>
      <c r="I277" s="360">
        <f>IF(year=bargiri[[#This Row],[سال]],1,0)</f>
        <v>1</v>
      </c>
      <c r="J277" s="360" t="str">
        <f>VLOOKUP(bargiri[[#This Row],[شماره پیش فاکتور]],invoice[],16,0)</f>
        <v>عادی</v>
      </c>
      <c r="K277" s="252">
        <f>bargiri[[#This Row],[فی]]*bargiri[[#This Row],[میزان بارگیری شده]]</f>
        <v>2807234560</v>
      </c>
      <c r="X277" s="1"/>
      <c r="Y277" s="1"/>
      <c r="Z277" s="1"/>
    </row>
    <row r="278" spans="1:26" ht="18.600000000000001">
      <c r="A278" s="360" t="s">
        <v>1129</v>
      </c>
      <c r="B278" s="360" t="s">
        <v>118</v>
      </c>
      <c r="C278" s="355" t="s">
        <v>1149</v>
      </c>
      <c r="D278">
        <v>21010</v>
      </c>
      <c r="E278" s="143">
        <v>137072</v>
      </c>
      <c r="F278" s="117">
        <v>1405</v>
      </c>
      <c r="G278" s="360" t="s">
        <v>304</v>
      </c>
      <c r="H278" s="144">
        <f>bargiri[[#This Row],[میزان بارگیری شده]]*bargiri[[#This Row],[فی]]</f>
        <v>2879882720</v>
      </c>
      <c r="I278" s="360">
        <f>IF(year=bargiri[[#This Row],[سال]],1,0)</f>
        <v>1</v>
      </c>
      <c r="J278" s="360" t="str">
        <f>VLOOKUP(bargiri[[#This Row],[شماره پیش فاکتور]],invoice[],16,0)</f>
        <v>عادی</v>
      </c>
      <c r="K278" s="252">
        <f>bargiri[[#This Row],[فی]]*bargiri[[#This Row],[میزان بارگیری شده]]</f>
        <v>2879882720</v>
      </c>
      <c r="X278" s="1"/>
      <c r="Y278" s="1"/>
      <c r="Z278" s="1"/>
    </row>
    <row r="279" spans="1:26" ht="18.600000000000001">
      <c r="A279" s="360" t="s">
        <v>1128</v>
      </c>
      <c r="B279" s="360" t="s">
        <v>118</v>
      </c>
      <c r="C279" s="355" t="s">
        <v>1149</v>
      </c>
      <c r="D279">
        <v>20430</v>
      </c>
      <c r="E279" s="143">
        <v>137072</v>
      </c>
      <c r="F279" s="117">
        <v>1405</v>
      </c>
      <c r="G279" s="360" t="s">
        <v>304</v>
      </c>
      <c r="H279" s="144">
        <f>bargiri[[#This Row],[میزان بارگیری شده]]*bargiri[[#This Row],[فی]]</f>
        <v>2800380960</v>
      </c>
      <c r="I279" s="360">
        <f>IF(year=bargiri[[#This Row],[سال]],1,0)</f>
        <v>1</v>
      </c>
      <c r="J279" s="360" t="str">
        <f>VLOOKUP(bargiri[[#This Row],[شماره پیش فاکتور]],invoice[],16,0)</f>
        <v>عادی</v>
      </c>
      <c r="K279" s="252">
        <f>bargiri[[#This Row],[فی]]*bargiri[[#This Row],[میزان بارگیری شده]]</f>
        <v>2800380960</v>
      </c>
      <c r="X279" s="1"/>
      <c r="Y279" s="1"/>
      <c r="Z279" s="1"/>
    </row>
    <row r="280" spans="1:26" ht="18.600000000000001">
      <c r="A280" s="360" t="s">
        <v>1128</v>
      </c>
      <c r="B280" s="360" t="s">
        <v>118</v>
      </c>
      <c r="C280" s="355" t="s">
        <v>1097</v>
      </c>
      <c r="D280">
        <v>18120</v>
      </c>
      <c r="E280" s="143">
        <v>125844</v>
      </c>
      <c r="F280" s="117">
        <v>1405</v>
      </c>
      <c r="G280" s="360" t="s">
        <v>304</v>
      </c>
      <c r="H280" s="144">
        <f>bargiri[[#This Row],[میزان بارگیری شده]]*bargiri[[#This Row],[فی]]</f>
        <v>2280293280</v>
      </c>
      <c r="I280" s="360">
        <f>IF(year=bargiri[[#This Row],[سال]],1,0)</f>
        <v>1</v>
      </c>
      <c r="J280" s="360" t="str">
        <f>VLOOKUP(bargiri[[#This Row],[شماره پیش فاکتور]],invoice[],16,0)</f>
        <v>عادی</v>
      </c>
      <c r="K280" s="252">
        <f>bargiri[[#This Row],[فی]]*bargiri[[#This Row],[میزان بارگیری شده]]</f>
        <v>2280293280</v>
      </c>
      <c r="X280" s="1"/>
      <c r="Y280" s="1"/>
      <c r="Z280" s="1"/>
    </row>
    <row r="281" spans="1:26" ht="18.600000000000001">
      <c r="A281" s="360" t="s">
        <v>1128</v>
      </c>
      <c r="B281" s="360" t="s">
        <v>118</v>
      </c>
      <c r="C281" s="355" t="s">
        <v>1149</v>
      </c>
      <c r="D281">
        <v>2330</v>
      </c>
      <c r="E281" s="143">
        <v>137072</v>
      </c>
      <c r="F281" s="117">
        <v>1405</v>
      </c>
      <c r="G281" s="360" t="s">
        <v>304</v>
      </c>
      <c r="H281" s="144">
        <f>bargiri[[#This Row],[میزان بارگیری شده]]*bargiri[[#This Row],[فی]]</f>
        <v>319377760</v>
      </c>
      <c r="I281" s="360">
        <f>IF(year=bargiri[[#This Row],[سال]],1,0)</f>
        <v>1</v>
      </c>
      <c r="J281" s="360" t="str">
        <f>VLOOKUP(bargiri[[#This Row],[شماره پیش فاکتور]],invoice[],16,0)</f>
        <v>عادی</v>
      </c>
      <c r="K281" s="252">
        <f>bargiri[[#This Row],[فی]]*bargiri[[#This Row],[میزان بارگیری شده]]</f>
        <v>319377760</v>
      </c>
      <c r="X281" s="1"/>
      <c r="Y281" s="1"/>
      <c r="Z281" s="1"/>
    </row>
    <row r="282" spans="1:26" ht="18.600000000000001">
      <c r="A282" s="360" t="s">
        <v>1148</v>
      </c>
      <c r="B282" s="360" t="s">
        <v>116</v>
      </c>
      <c r="C282" s="355" t="s">
        <v>925</v>
      </c>
      <c r="D282">
        <v>18170</v>
      </c>
      <c r="E282" s="143">
        <v>116500</v>
      </c>
      <c r="F282" s="117">
        <v>1405</v>
      </c>
      <c r="G282" s="360" t="s">
        <v>303</v>
      </c>
      <c r="H282" s="144">
        <f>bargiri[[#This Row],[میزان بارگیری شده]]*bargiri[[#This Row],[فی]]</f>
        <v>2116805000</v>
      </c>
      <c r="I282" s="360">
        <f>IF(year=bargiri[[#This Row],[سال]],1,0)</f>
        <v>1</v>
      </c>
      <c r="J282" s="360" t="str">
        <f>VLOOKUP(bargiri[[#This Row],[شماره پیش فاکتور]],invoice[],16,0)</f>
        <v>تعادلی</v>
      </c>
      <c r="K282" s="252">
        <f>bargiri[[#This Row],[فی]]*bargiri[[#This Row],[میزان بارگیری شده]]</f>
        <v>2116805000</v>
      </c>
      <c r="X282" s="1"/>
      <c r="Y282" s="1"/>
      <c r="Z282" s="1"/>
    </row>
    <row r="283" spans="1:26" ht="18.600000000000001">
      <c r="A283" s="360" t="s">
        <v>1148</v>
      </c>
      <c r="B283" s="360" t="s">
        <v>116</v>
      </c>
      <c r="C283" s="355" t="s">
        <v>955</v>
      </c>
      <c r="D283">
        <v>1730</v>
      </c>
      <c r="E283" s="143">
        <v>116500</v>
      </c>
      <c r="F283" s="117">
        <v>1405</v>
      </c>
      <c r="G283" s="360" t="s">
        <v>303</v>
      </c>
      <c r="H283" s="144">
        <f>bargiri[[#This Row],[میزان بارگیری شده]]*bargiri[[#This Row],[فی]]</f>
        <v>201545000</v>
      </c>
      <c r="I283" s="360">
        <f>IF(year=bargiri[[#This Row],[سال]],1,0)</f>
        <v>1</v>
      </c>
      <c r="J283" s="360" t="str">
        <f>VLOOKUP(bargiri[[#This Row],[شماره پیش فاکتور]],invoice[],16,0)</f>
        <v>تعادلی</v>
      </c>
      <c r="K283" s="252">
        <f>bargiri[[#This Row],[فی]]*bargiri[[#This Row],[میزان بارگیری شده]]</f>
        <v>201545000</v>
      </c>
      <c r="X283" s="1"/>
      <c r="Y283" s="1"/>
      <c r="Z283" s="1"/>
    </row>
    <row r="284" spans="1:26" ht="18.600000000000001">
      <c r="A284" s="360" t="s">
        <v>1148</v>
      </c>
      <c r="B284" s="360" t="s">
        <v>104</v>
      </c>
      <c r="C284" s="355" t="s">
        <v>1052</v>
      </c>
      <c r="D284">
        <v>19850</v>
      </c>
      <c r="E284" s="143">
        <v>240000</v>
      </c>
      <c r="F284" s="117">
        <v>1405</v>
      </c>
      <c r="G284" s="360" t="s">
        <v>303</v>
      </c>
      <c r="H284" s="144">
        <f>bargiri[[#This Row],[میزان بارگیری شده]]*bargiri[[#This Row],[فی]]</f>
        <v>4764000000</v>
      </c>
      <c r="I284" s="360">
        <f>IF(year=bargiri[[#This Row],[سال]],1,0)</f>
        <v>1</v>
      </c>
      <c r="J284" s="360" t="str">
        <f>VLOOKUP(bargiri[[#This Row],[شماره پیش فاکتور]],invoice[],16,0)</f>
        <v>انجمن</v>
      </c>
      <c r="K284" s="252">
        <f>bargiri[[#This Row],[فی]]*bargiri[[#This Row],[میزان بارگیری شده]]</f>
        <v>4764000000</v>
      </c>
      <c r="X284" s="1"/>
      <c r="Y284" s="1"/>
      <c r="Z284" s="1"/>
    </row>
    <row r="285" spans="1:26" ht="18.600000000000001">
      <c r="A285" s="360" t="s">
        <v>1148</v>
      </c>
      <c r="B285" s="360" t="s">
        <v>117</v>
      </c>
      <c r="C285" s="355" t="s">
        <v>1013</v>
      </c>
      <c r="D285">
        <v>20110</v>
      </c>
      <c r="E285" s="143">
        <v>120000</v>
      </c>
      <c r="F285" s="117">
        <v>1405</v>
      </c>
      <c r="G285" s="360" t="s">
        <v>303</v>
      </c>
      <c r="H285" s="144">
        <f>bargiri[[#This Row],[میزان بارگیری شده]]*bargiri[[#This Row],[فی]]</f>
        <v>2413200000</v>
      </c>
      <c r="I285" s="360">
        <f>IF(year=bargiri[[#This Row],[سال]],1,0)</f>
        <v>1</v>
      </c>
      <c r="J285" s="360" t="str">
        <f>VLOOKUP(bargiri[[#This Row],[شماره پیش فاکتور]],invoice[],16,0)</f>
        <v>عادی</v>
      </c>
      <c r="K285" s="252">
        <f>bargiri[[#This Row],[فی]]*bargiri[[#This Row],[میزان بارگیری شده]]</f>
        <v>2413200000</v>
      </c>
      <c r="X285" s="1"/>
      <c r="Y285" s="1"/>
      <c r="Z285" s="1"/>
    </row>
    <row r="286" spans="1:26" ht="18.600000000000001">
      <c r="A286" s="360" t="s">
        <v>1147</v>
      </c>
      <c r="B286" s="360" t="s">
        <v>125</v>
      </c>
      <c r="C286" s="355" t="s">
        <v>1009</v>
      </c>
      <c r="D286">
        <v>13960</v>
      </c>
      <c r="E286" s="143">
        <v>120000</v>
      </c>
      <c r="F286" s="117">
        <v>1405</v>
      </c>
      <c r="G286" s="360" t="s">
        <v>303</v>
      </c>
      <c r="H286" s="144">
        <f>bargiri[[#This Row],[میزان بارگیری شده]]*bargiri[[#This Row],[فی]]</f>
        <v>1675200000</v>
      </c>
      <c r="I286" s="360">
        <f>IF(year=bargiri[[#This Row],[سال]],1,0)</f>
        <v>1</v>
      </c>
      <c r="J286" s="360" t="str">
        <f>VLOOKUP(bargiri[[#This Row],[شماره پیش فاکتور]],invoice[],16,0)</f>
        <v>عادی</v>
      </c>
      <c r="K286" s="252">
        <f>bargiri[[#This Row],[فی]]*bargiri[[#This Row],[میزان بارگیری شده]]</f>
        <v>1675200000</v>
      </c>
      <c r="X286" s="1"/>
      <c r="Y286" s="1"/>
      <c r="Z286" s="1"/>
    </row>
    <row r="287" spans="1:26" ht="18.600000000000001">
      <c r="A287" s="360" t="s">
        <v>1147</v>
      </c>
      <c r="B287" s="360" t="s">
        <v>125</v>
      </c>
      <c r="C287" s="355" t="s">
        <v>1009</v>
      </c>
      <c r="D287">
        <v>14250</v>
      </c>
      <c r="E287" s="143">
        <v>120000</v>
      </c>
      <c r="F287" s="117">
        <v>1405</v>
      </c>
      <c r="G287" s="360" t="s">
        <v>303</v>
      </c>
      <c r="H287" s="144">
        <f>bargiri[[#This Row],[میزان بارگیری شده]]*bargiri[[#This Row],[فی]]</f>
        <v>1710000000</v>
      </c>
      <c r="I287" s="360">
        <f>IF(year=bargiri[[#This Row],[سال]],1,0)</f>
        <v>1</v>
      </c>
      <c r="J287" s="360" t="str">
        <f>VLOOKUP(bargiri[[#This Row],[شماره پیش فاکتور]],invoice[],16,0)</f>
        <v>عادی</v>
      </c>
      <c r="K287" s="252">
        <f>bargiri[[#This Row],[فی]]*bargiri[[#This Row],[میزان بارگیری شده]]</f>
        <v>1710000000</v>
      </c>
      <c r="X287" s="1"/>
      <c r="Y287" s="1"/>
      <c r="Z287" s="1"/>
    </row>
    <row r="288" spans="1:26" ht="18.600000000000001">
      <c r="A288" s="360" t="s">
        <v>1146</v>
      </c>
      <c r="B288" s="360" t="s">
        <v>116</v>
      </c>
      <c r="C288" s="355" t="s">
        <v>985</v>
      </c>
      <c r="D288">
        <v>20000</v>
      </c>
      <c r="E288" s="143">
        <v>167500</v>
      </c>
      <c r="F288" s="117">
        <v>1405</v>
      </c>
      <c r="G288" s="360" t="s">
        <v>303</v>
      </c>
      <c r="H288" s="144">
        <f>bargiri[[#This Row],[میزان بارگیری شده]]*bargiri[[#This Row],[فی]]</f>
        <v>3350000000</v>
      </c>
      <c r="I288" s="360">
        <f>IF(year=bargiri[[#This Row],[سال]],1,0)</f>
        <v>1</v>
      </c>
      <c r="J288" s="360" t="str">
        <f>VLOOKUP(bargiri[[#This Row],[شماره پیش فاکتور]],invoice[],16,0)</f>
        <v>بورس</v>
      </c>
      <c r="K288" s="252">
        <f>bargiri[[#This Row],[فی]]*bargiri[[#This Row],[میزان بارگیری شده]]</f>
        <v>3350000000</v>
      </c>
      <c r="X288" s="1"/>
      <c r="Y288" s="1"/>
      <c r="Z288" s="1"/>
    </row>
    <row r="289" spans="1:26" ht="18.600000000000001">
      <c r="A289" s="360" t="s">
        <v>1146</v>
      </c>
      <c r="B289" s="360" t="s">
        <v>116</v>
      </c>
      <c r="C289" s="355" t="s">
        <v>925</v>
      </c>
      <c r="D289">
        <v>1260</v>
      </c>
      <c r="E289" s="143">
        <v>116500</v>
      </c>
      <c r="F289" s="117">
        <v>1405</v>
      </c>
      <c r="G289" s="360" t="s">
        <v>303</v>
      </c>
      <c r="H289" s="144">
        <f>bargiri[[#This Row],[میزان بارگیری شده]]*bargiri[[#This Row],[فی]]</f>
        <v>146790000</v>
      </c>
      <c r="I289" s="360">
        <f>IF(year=bargiri[[#This Row],[سال]],1,0)</f>
        <v>1</v>
      </c>
      <c r="J289" s="360" t="str">
        <f>VLOOKUP(bargiri[[#This Row],[شماره پیش فاکتور]],invoice[],16,0)</f>
        <v>تعادلی</v>
      </c>
      <c r="K289" s="252">
        <f>bargiri[[#This Row],[فی]]*bargiri[[#This Row],[میزان بارگیری شده]]</f>
        <v>146790000</v>
      </c>
      <c r="X289" s="1"/>
      <c r="Y289" s="1"/>
      <c r="Z289" s="1"/>
    </row>
    <row r="290" spans="1:26" ht="18.600000000000001">
      <c r="A290" s="360" t="s">
        <v>1146</v>
      </c>
      <c r="B290" s="360" t="s">
        <v>116</v>
      </c>
      <c r="C290" s="355" t="s">
        <v>925</v>
      </c>
      <c r="D290">
        <v>8140</v>
      </c>
      <c r="E290" s="143">
        <v>116500</v>
      </c>
      <c r="F290" s="117">
        <v>1405</v>
      </c>
      <c r="G290" s="360" t="s">
        <v>303</v>
      </c>
      <c r="H290" s="144">
        <f>bargiri[[#This Row],[میزان بارگیری شده]]*bargiri[[#This Row],[فی]]</f>
        <v>948310000</v>
      </c>
      <c r="I290" s="360">
        <f>IF(year=bargiri[[#This Row],[سال]],1,0)</f>
        <v>1</v>
      </c>
      <c r="J290" s="360" t="str">
        <f>VLOOKUP(bargiri[[#This Row],[شماره پیش فاکتور]],invoice[],16,0)</f>
        <v>تعادلی</v>
      </c>
      <c r="K290" s="252">
        <f>bargiri[[#This Row],[فی]]*bargiri[[#This Row],[میزان بارگیری شده]]</f>
        <v>948310000</v>
      </c>
      <c r="X290" s="1"/>
      <c r="Y290" s="1"/>
      <c r="Z290" s="1"/>
    </row>
    <row r="291" spans="1:26" ht="18.600000000000001">
      <c r="A291" s="360" t="s">
        <v>1146</v>
      </c>
      <c r="B291" s="360" t="s">
        <v>102</v>
      </c>
      <c r="C291" s="355" t="s">
        <v>832</v>
      </c>
      <c r="D291">
        <v>10850</v>
      </c>
      <c r="E291" s="143">
        <v>108000</v>
      </c>
      <c r="F291" s="117">
        <v>1405</v>
      </c>
      <c r="G291" s="360" t="s">
        <v>303</v>
      </c>
      <c r="H291" s="144">
        <f>bargiri[[#This Row],[میزان بارگیری شده]]*bargiri[[#This Row],[فی]]</f>
        <v>1171800000</v>
      </c>
      <c r="I291" s="360">
        <f>IF(year=bargiri[[#This Row],[سال]],1,0)</f>
        <v>1</v>
      </c>
      <c r="J291" s="360" t="str">
        <f>VLOOKUP(bargiri[[#This Row],[شماره پیش فاکتور]],invoice[],16,0)</f>
        <v>عادی</v>
      </c>
      <c r="K291" s="252">
        <f>bargiri[[#This Row],[فی]]*bargiri[[#This Row],[میزان بارگیری شده]]</f>
        <v>1171800000</v>
      </c>
      <c r="X291" s="1"/>
      <c r="Y291" s="1"/>
      <c r="Z291" s="1"/>
    </row>
    <row r="292" spans="1:26" ht="18.600000000000001">
      <c r="A292" s="360" t="s">
        <v>1146</v>
      </c>
      <c r="B292" s="360" t="s">
        <v>123</v>
      </c>
      <c r="C292" s="355" t="s">
        <v>1035</v>
      </c>
      <c r="D292">
        <v>7330</v>
      </c>
      <c r="E292" s="143">
        <v>240000</v>
      </c>
      <c r="F292" s="117">
        <v>1405</v>
      </c>
      <c r="G292" s="360" t="s">
        <v>303</v>
      </c>
      <c r="H292" s="144">
        <f>bargiri[[#This Row],[میزان بارگیری شده]]*bargiri[[#This Row],[فی]]</f>
        <v>1759200000</v>
      </c>
      <c r="I292" s="360">
        <f>IF(year=bargiri[[#This Row],[سال]],1,0)</f>
        <v>1</v>
      </c>
      <c r="J292" s="360" t="str">
        <f>VLOOKUP(bargiri[[#This Row],[شماره پیش فاکتور]],invoice[],16,0)</f>
        <v>انجمن</v>
      </c>
      <c r="K292" s="252">
        <f>bargiri[[#This Row],[فی]]*bargiri[[#This Row],[میزان بارگیری شده]]</f>
        <v>1759200000</v>
      </c>
      <c r="X292" s="1"/>
      <c r="Y292" s="1"/>
      <c r="Z292" s="1"/>
    </row>
    <row r="293" spans="1:26" ht="18.600000000000001">
      <c r="A293" s="360" t="s">
        <v>1144</v>
      </c>
      <c r="B293" s="360" t="s">
        <v>102</v>
      </c>
      <c r="C293" s="355" t="s">
        <v>1050</v>
      </c>
      <c r="D293">
        <v>11260</v>
      </c>
      <c r="E293" s="143">
        <v>240000</v>
      </c>
      <c r="F293" s="117">
        <v>1405</v>
      </c>
      <c r="G293" s="360" t="s">
        <v>303</v>
      </c>
      <c r="H293" s="144">
        <f>bargiri[[#This Row],[میزان بارگیری شده]]*bargiri[[#This Row],[فی]]</f>
        <v>2702400000</v>
      </c>
      <c r="I293" s="360">
        <f>IF(year=bargiri[[#This Row],[سال]],1,0)</f>
        <v>1</v>
      </c>
      <c r="J293" s="360" t="str">
        <f>VLOOKUP(bargiri[[#This Row],[شماره پیش فاکتور]],invoice[],16,0)</f>
        <v>انجمن</v>
      </c>
      <c r="K293" s="252">
        <f>bargiri[[#This Row],[فی]]*bargiri[[#This Row],[میزان بارگیری شده]]</f>
        <v>2702400000</v>
      </c>
      <c r="X293" s="1"/>
      <c r="Y293" s="1"/>
      <c r="Z293" s="1"/>
    </row>
    <row r="294" spans="1:26" ht="18.600000000000001">
      <c r="A294" s="360" t="s">
        <v>1145</v>
      </c>
      <c r="B294" s="360" t="s">
        <v>109</v>
      </c>
      <c r="C294" s="355" t="s">
        <v>1036</v>
      </c>
      <c r="D294">
        <v>19580</v>
      </c>
      <c r="E294" s="143">
        <v>240000</v>
      </c>
      <c r="F294" s="117">
        <v>1405</v>
      </c>
      <c r="G294" s="360" t="s">
        <v>303</v>
      </c>
      <c r="H294" s="144">
        <f>bargiri[[#This Row],[میزان بارگیری شده]]*bargiri[[#This Row],[فی]]</f>
        <v>4699200000</v>
      </c>
      <c r="I294" s="360">
        <f>IF(year=bargiri[[#This Row],[سال]],1,0)</f>
        <v>1</v>
      </c>
      <c r="J294" s="360" t="str">
        <f>VLOOKUP(bargiri[[#This Row],[شماره پیش فاکتور]],invoice[],16,0)</f>
        <v>انجمن</v>
      </c>
      <c r="K294" s="252">
        <f>bargiri[[#This Row],[فی]]*bargiri[[#This Row],[میزان بارگیری شده]]</f>
        <v>4699200000</v>
      </c>
      <c r="X294" s="1"/>
      <c r="Y294" s="1"/>
      <c r="Z294" s="1"/>
    </row>
    <row r="295" spans="1:26" ht="18.600000000000001">
      <c r="A295" s="360" t="s">
        <v>1145</v>
      </c>
      <c r="B295" s="360" t="s">
        <v>121</v>
      </c>
      <c r="C295" s="355" t="s">
        <v>635</v>
      </c>
      <c r="D295">
        <v>19810</v>
      </c>
      <c r="E295" s="143">
        <v>120000</v>
      </c>
      <c r="F295" s="117">
        <v>1405</v>
      </c>
      <c r="G295" s="360" t="s">
        <v>303</v>
      </c>
      <c r="H295" s="144">
        <f>bargiri[[#This Row],[میزان بارگیری شده]]*bargiri[[#This Row],[فی]]</f>
        <v>2377200000</v>
      </c>
      <c r="I295" s="360">
        <f>IF(year=bargiri[[#This Row],[سال]],1,0)</f>
        <v>1</v>
      </c>
      <c r="J295" s="360" t="str">
        <f>VLOOKUP(bargiri[[#This Row],[شماره پیش فاکتور]],invoice[],16,0)</f>
        <v>عادی</v>
      </c>
      <c r="K295" s="252">
        <f>bargiri[[#This Row],[فی]]*bargiri[[#This Row],[میزان بارگیری شده]]</f>
        <v>2377200000</v>
      </c>
      <c r="X295" s="1"/>
      <c r="Y295" s="1"/>
      <c r="Z295" s="1"/>
    </row>
    <row r="296" spans="1:26" ht="18.600000000000001">
      <c r="A296" s="360" t="s">
        <v>1143</v>
      </c>
      <c r="B296" s="360" t="s">
        <v>104</v>
      </c>
      <c r="C296" s="355" t="s">
        <v>855</v>
      </c>
      <c r="D296">
        <v>12060</v>
      </c>
      <c r="E296" s="143">
        <v>116500</v>
      </c>
      <c r="F296" s="117">
        <v>1405</v>
      </c>
      <c r="G296" s="360" t="s">
        <v>303</v>
      </c>
      <c r="H296" s="144">
        <f>bargiri[[#This Row],[میزان بارگیری شده]]*bargiri[[#This Row],[فی]]</f>
        <v>1404990000</v>
      </c>
      <c r="I296" s="360">
        <f>IF(year=bargiri[[#This Row],[سال]],1,0)</f>
        <v>1</v>
      </c>
      <c r="J296" s="360" t="str">
        <f>VLOOKUP(bargiri[[#This Row],[شماره پیش فاکتور]],invoice[],16,0)</f>
        <v>تعادلی</v>
      </c>
      <c r="K296" s="252">
        <f>bargiri[[#This Row],[فی]]*bargiri[[#This Row],[میزان بارگیری شده]]</f>
        <v>1404990000</v>
      </c>
      <c r="X296" s="1"/>
      <c r="Y296" s="1"/>
      <c r="Z296" s="1"/>
    </row>
    <row r="297" spans="1:26" ht="18.600000000000001">
      <c r="A297" s="360" t="s">
        <v>1143</v>
      </c>
      <c r="B297" s="360" t="s">
        <v>104</v>
      </c>
      <c r="C297" s="355" t="s">
        <v>903</v>
      </c>
      <c r="D297">
        <v>7840</v>
      </c>
      <c r="E297" s="143">
        <v>116500</v>
      </c>
      <c r="F297" s="117">
        <v>1405</v>
      </c>
      <c r="G297" s="360" t="s">
        <v>303</v>
      </c>
      <c r="H297" s="144">
        <f>bargiri[[#This Row],[میزان بارگیری شده]]*bargiri[[#This Row],[فی]]</f>
        <v>913360000</v>
      </c>
      <c r="I297" s="360">
        <f>IF(year=bargiri[[#This Row],[سال]],1,0)</f>
        <v>1</v>
      </c>
      <c r="J297" s="360" t="str">
        <f>VLOOKUP(bargiri[[#This Row],[شماره پیش فاکتور]],invoice[],16,0)</f>
        <v>تعادلی</v>
      </c>
      <c r="K297" s="252">
        <f>bargiri[[#This Row],[فی]]*bargiri[[#This Row],[میزان بارگیری شده]]</f>
        <v>913360000</v>
      </c>
      <c r="X297" s="1"/>
      <c r="Y297" s="1"/>
      <c r="Z297" s="1"/>
    </row>
    <row r="298" spans="1:26" ht="18.600000000000001">
      <c r="A298" s="360" t="s">
        <v>1143</v>
      </c>
      <c r="B298" s="360" t="s">
        <v>114</v>
      </c>
      <c r="C298" s="355" t="s">
        <v>905</v>
      </c>
      <c r="D298">
        <v>21310</v>
      </c>
      <c r="E298" s="143">
        <v>135000</v>
      </c>
      <c r="F298" s="117">
        <v>1405</v>
      </c>
      <c r="G298" s="360" t="s">
        <v>303</v>
      </c>
      <c r="H298" s="144">
        <f>bargiri[[#This Row],[میزان بارگیری شده]]*bargiri[[#This Row],[فی]]</f>
        <v>2876850000</v>
      </c>
      <c r="I298" s="360">
        <f>IF(year=bargiri[[#This Row],[سال]],1,0)</f>
        <v>1</v>
      </c>
      <c r="J298" s="360" t="str">
        <f>VLOOKUP(bargiri[[#This Row],[شماره پیش فاکتور]],invoice[],16,0)</f>
        <v>عادی</v>
      </c>
      <c r="K298" s="252">
        <f>bargiri[[#This Row],[فی]]*bargiri[[#This Row],[میزان بارگیری شده]]</f>
        <v>2876850000</v>
      </c>
      <c r="X298" s="1"/>
      <c r="Y298" s="1"/>
      <c r="Z298" s="1"/>
    </row>
    <row r="299" spans="1:26" ht="18.600000000000001">
      <c r="A299" s="360" t="s">
        <v>1143</v>
      </c>
      <c r="B299" s="360" t="s">
        <v>100</v>
      </c>
      <c r="C299" s="355" t="s">
        <v>1049</v>
      </c>
      <c r="D299">
        <v>6530</v>
      </c>
      <c r="E299" s="143">
        <v>240000</v>
      </c>
      <c r="F299" s="117">
        <v>1405</v>
      </c>
      <c r="G299" s="360" t="s">
        <v>303</v>
      </c>
      <c r="H299" s="144">
        <f>bargiri[[#This Row],[میزان بارگیری شده]]*bargiri[[#This Row],[فی]]</f>
        <v>1567200000</v>
      </c>
      <c r="I299" s="360">
        <f>IF(year=bargiri[[#This Row],[سال]],1,0)</f>
        <v>1</v>
      </c>
      <c r="J299" s="360" t="str">
        <f>VLOOKUP(bargiri[[#This Row],[شماره پیش فاکتور]],invoice[],16,0)</f>
        <v>انجمن</v>
      </c>
      <c r="K299" s="252">
        <f>bargiri[[#This Row],[فی]]*bargiri[[#This Row],[میزان بارگیری شده]]</f>
        <v>1567200000</v>
      </c>
      <c r="X299" s="1"/>
      <c r="Y299" s="1"/>
      <c r="Z299" s="1"/>
    </row>
    <row r="300" spans="1:26" ht="18.600000000000001">
      <c r="A300" s="360" t="s">
        <v>1143</v>
      </c>
      <c r="B300" s="360" t="s">
        <v>121</v>
      </c>
      <c r="C300" s="355" t="s">
        <v>1053</v>
      </c>
      <c r="D300">
        <v>20160</v>
      </c>
      <c r="E300" s="143">
        <v>240000</v>
      </c>
      <c r="F300" s="117">
        <v>1405</v>
      </c>
      <c r="G300" s="360" t="s">
        <v>303</v>
      </c>
      <c r="H300" s="144">
        <f>bargiri[[#This Row],[میزان بارگیری شده]]*bargiri[[#This Row],[فی]]</f>
        <v>4838400000</v>
      </c>
      <c r="I300" s="360">
        <f>IF(year=bargiri[[#This Row],[سال]],1,0)</f>
        <v>1</v>
      </c>
      <c r="J300" s="360" t="str">
        <f>VLOOKUP(bargiri[[#This Row],[شماره پیش فاکتور]],invoice[],16,0)</f>
        <v>انجمن</v>
      </c>
      <c r="K300" s="252">
        <f>bargiri[[#This Row],[فی]]*bargiri[[#This Row],[میزان بارگیری شده]]</f>
        <v>4838400000</v>
      </c>
      <c r="X300" s="1"/>
      <c r="Y300" s="1"/>
      <c r="Z300" s="1"/>
    </row>
    <row r="301" spans="1:26" ht="18.600000000000001">
      <c r="A301" s="360" t="s">
        <v>1142</v>
      </c>
      <c r="B301" s="360" t="s">
        <v>104</v>
      </c>
      <c r="C301" s="355" t="s">
        <v>1052</v>
      </c>
      <c r="D301">
        <v>17940</v>
      </c>
      <c r="E301" s="143">
        <v>240000</v>
      </c>
      <c r="F301" s="117">
        <v>1405</v>
      </c>
      <c r="G301" s="360" t="s">
        <v>303</v>
      </c>
      <c r="H301" s="144">
        <f>bargiri[[#This Row],[میزان بارگیری شده]]*bargiri[[#This Row],[فی]]</f>
        <v>4305600000</v>
      </c>
      <c r="I301" s="360">
        <f>IF(year=bargiri[[#This Row],[سال]],1,0)</f>
        <v>1</v>
      </c>
      <c r="J301" s="360" t="str">
        <f>VLOOKUP(bargiri[[#This Row],[شماره پیش فاکتور]],invoice[],16,0)</f>
        <v>انجمن</v>
      </c>
      <c r="K301" s="252">
        <f>bargiri[[#This Row],[فی]]*bargiri[[#This Row],[میزان بارگیری شده]]</f>
        <v>4305600000</v>
      </c>
      <c r="X301" s="1"/>
      <c r="Y301" s="1"/>
      <c r="Z301" s="1"/>
    </row>
    <row r="302" spans="1:26" ht="18.600000000000001">
      <c r="A302" s="360" t="s">
        <v>1142</v>
      </c>
      <c r="B302" s="360" t="s">
        <v>106</v>
      </c>
      <c r="C302" s="355" t="s">
        <v>913</v>
      </c>
      <c r="D302">
        <v>20070</v>
      </c>
      <c r="E302" s="143">
        <v>125000</v>
      </c>
      <c r="F302" s="117">
        <v>1405</v>
      </c>
      <c r="G302" s="360" t="s">
        <v>303</v>
      </c>
      <c r="H302" s="144">
        <f>bargiri[[#This Row],[میزان بارگیری شده]]*bargiri[[#This Row],[فی]]</f>
        <v>2508750000</v>
      </c>
      <c r="I302" s="360">
        <f>IF(year=bargiri[[#This Row],[سال]],1,0)</f>
        <v>1</v>
      </c>
      <c r="J302" s="360" t="str">
        <f>VLOOKUP(bargiri[[#This Row],[شماره پیش فاکتور]],invoice[],16,0)</f>
        <v>عادی</v>
      </c>
      <c r="K302" s="252">
        <f>bargiri[[#This Row],[فی]]*bargiri[[#This Row],[میزان بارگیری شده]]</f>
        <v>2508750000</v>
      </c>
      <c r="X302" s="1"/>
      <c r="Y302" s="1"/>
      <c r="Z302" s="1"/>
    </row>
    <row r="303" spans="1:26" ht="18.600000000000001">
      <c r="A303" s="360" t="s">
        <v>1142</v>
      </c>
      <c r="B303" s="360" t="s">
        <v>104</v>
      </c>
      <c r="C303" s="355" t="s">
        <v>855</v>
      </c>
      <c r="D303">
        <v>17940</v>
      </c>
      <c r="E303" s="143">
        <v>116500</v>
      </c>
      <c r="F303" s="117">
        <v>1405</v>
      </c>
      <c r="G303" s="360" t="s">
        <v>303</v>
      </c>
      <c r="H303" s="144">
        <f>bargiri[[#This Row],[میزان بارگیری شده]]*bargiri[[#This Row],[فی]]</f>
        <v>2090010000</v>
      </c>
      <c r="I303" s="360">
        <f>IF(year=bargiri[[#This Row],[سال]],1,0)</f>
        <v>1</v>
      </c>
      <c r="J303" s="360" t="str">
        <f>VLOOKUP(bargiri[[#This Row],[شماره پیش فاکتور]],invoice[],16,0)</f>
        <v>تعادلی</v>
      </c>
      <c r="K303" s="252">
        <f>bargiri[[#This Row],[فی]]*bargiri[[#This Row],[میزان بارگیری شده]]</f>
        <v>2090010000</v>
      </c>
      <c r="X303" s="1"/>
      <c r="Y303" s="1"/>
      <c r="Z303" s="1"/>
    </row>
    <row r="304" spans="1:26" ht="18.600000000000001">
      <c r="A304" s="360" t="s">
        <v>1142</v>
      </c>
      <c r="B304" s="360" t="s">
        <v>125</v>
      </c>
      <c r="C304" s="355" t="s">
        <v>1009</v>
      </c>
      <c r="D304">
        <v>14190</v>
      </c>
      <c r="E304" s="143">
        <v>120000</v>
      </c>
      <c r="F304" s="117">
        <v>1405</v>
      </c>
      <c r="G304" s="360" t="s">
        <v>303</v>
      </c>
      <c r="H304" s="144">
        <f>bargiri[[#This Row],[میزان بارگیری شده]]*bargiri[[#This Row],[فی]]</f>
        <v>1702800000</v>
      </c>
      <c r="I304" s="360">
        <f>IF(year=bargiri[[#This Row],[سال]],1,0)</f>
        <v>1</v>
      </c>
      <c r="J304" s="360" t="str">
        <f>VLOOKUP(bargiri[[#This Row],[شماره پیش فاکتور]],invoice[],16,0)</f>
        <v>عادی</v>
      </c>
      <c r="K304" s="252">
        <f>bargiri[[#This Row],[فی]]*bargiri[[#This Row],[میزان بارگیری شده]]</f>
        <v>1702800000</v>
      </c>
      <c r="X304" s="1"/>
      <c r="Y304" s="1"/>
      <c r="Z304" s="1"/>
    </row>
    <row r="305" spans="1:26" ht="18.600000000000001">
      <c r="A305" s="360" t="s">
        <v>1142</v>
      </c>
      <c r="B305" s="360" t="s">
        <v>123</v>
      </c>
      <c r="C305" s="355" t="s">
        <v>1035</v>
      </c>
      <c r="D305">
        <v>7460</v>
      </c>
      <c r="E305" s="143">
        <v>240000</v>
      </c>
      <c r="F305" s="117">
        <v>1405</v>
      </c>
      <c r="G305" s="360" t="s">
        <v>303</v>
      </c>
      <c r="H305" s="144">
        <f>bargiri[[#This Row],[میزان بارگیری شده]]*bargiri[[#This Row],[فی]]</f>
        <v>1790400000</v>
      </c>
      <c r="I305" s="360">
        <f>IF(year=bargiri[[#This Row],[سال]],1,0)</f>
        <v>1</v>
      </c>
      <c r="J305" s="360" t="str">
        <f>VLOOKUP(bargiri[[#This Row],[شماره پیش فاکتور]],invoice[],16,0)</f>
        <v>انجمن</v>
      </c>
      <c r="K305" s="252">
        <f>bargiri[[#This Row],[فی]]*bargiri[[#This Row],[میزان بارگیری شده]]</f>
        <v>1790400000</v>
      </c>
      <c r="X305" s="1"/>
      <c r="Y305" s="1"/>
      <c r="Z305" s="1"/>
    </row>
    <row r="306" spans="1:26" ht="18.600000000000001">
      <c r="A306" s="360" t="s">
        <v>1136</v>
      </c>
      <c r="B306" s="360" t="s">
        <v>116</v>
      </c>
      <c r="C306" s="355" t="s">
        <v>925</v>
      </c>
      <c r="D306">
        <v>18290</v>
      </c>
      <c r="E306" s="143">
        <v>116500</v>
      </c>
      <c r="F306" s="117">
        <v>1405</v>
      </c>
      <c r="G306" s="360" t="s">
        <v>303</v>
      </c>
      <c r="H306" s="144">
        <f>bargiri[[#This Row],[میزان بارگیری شده]]*bargiri[[#This Row],[فی]]</f>
        <v>2130785000</v>
      </c>
      <c r="I306" s="360">
        <f>IF(year=bargiri[[#This Row],[سال]],1,0)</f>
        <v>1</v>
      </c>
      <c r="J306" s="360" t="str">
        <f>VLOOKUP(bargiri[[#This Row],[شماره پیش فاکتور]],invoice[],16,0)</f>
        <v>تعادلی</v>
      </c>
      <c r="K306" s="252">
        <f>bargiri[[#This Row],[فی]]*bargiri[[#This Row],[میزان بارگیری شده]]</f>
        <v>2130785000</v>
      </c>
      <c r="X306" s="1"/>
      <c r="Y306" s="1"/>
      <c r="Z306" s="1"/>
    </row>
    <row r="307" spans="1:26" ht="18.600000000000001">
      <c r="A307" s="360" t="s">
        <v>1134</v>
      </c>
      <c r="B307" s="360" t="s">
        <v>113</v>
      </c>
      <c r="C307" s="355" t="s">
        <v>822</v>
      </c>
      <c r="D307">
        <v>17970</v>
      </c>
      <c r="E307" s="143">
        <v>105000</v>
      </c>
      <c r="F307" s="117">
        <v>1405</v>
      </c>
      <c r="G307" s="360" t="s">
        <v>304</v>
      </c>
      <c r="H307" s="144">
        <f>bargiri[[#This Row],[میزان بارگیری شده]]*bargiri[[#This Row],[فی]]</f>
        <v>1886850000</v>
      </c>
      <c r="I307" s="360">
        <f>IF(year=bargiri[[#This Row],[سال]],1,0)</f>
        <v>1</v>
      </c>
      <c r="J307" s="360" t="str">
        <f>VLOOKUP(bargiri[[#This Row],[شماره پیش فاکتور]],invoice[],16,0)</f>
        <v>عادی</v>
      </c>
      <c r="K307" s="252">
        <f>bargiri[[#This Row],[فی]]*bargiri[[#This Row],[میزان بارگیری شده]]</f>
        <v>1886850000</v>
      </c>
      <c r="X307" s="1"/>
      <c r="Y307" s="1"/>
      <c r="Z307" s="1"/>
    </row>
    <row r="308" spans="1:26" ht="18.600000000000001">
      <c r="A308" s="360" t="s">
        <v>1134</v>
      </c>
      <c r="B308" s="360" t="s">
        <v>117</v>
      </c>
      <c r="C308" s="355" t="s">
        <v>757</v>
      </c>
      <c r="D308">
        <v>10070</v>
      </c>
      <c r="E308" s="143">
        <v>116500</v>
      </c>
      <c r="F308" s="117">
        <v>1405</v>
      </c>
      <c r="G308" s="360" t="s">
        <v>304</v>
      </c>
      <c r="H308" s="144">
        <f>bargiri[[#This Row],[میزان بارگیری شده]]*bargiri[[#This Row],[فی]]</f>
        <v>1173155000</v>
      </c>
      <c r="I308" s="360">
        <f>IF(year=bargiri[[#This Row],[سال]],1,0)</f>
        <v>1</v>
      </c>
      <c r="J308" s="360" t="str">
        <f>VLOOKUP(bargiri[[#This Row],[شماره پیش فاکتور]],invoice[],16,0)</f>
        <v>تعادلی</v>
      </c>
      <c r="K308" s="252">
        <f>bargiri[[#This Row],[فی]]*bargiri[[#This Row],[میزان بارگیری شده]]</f>
        <v>1173155000</v>
      </c>
      <c r="X308" s="1"/>
      <c r="Y308" s="1"/>
      <c r="Z308" s="1"/>
    </row>
    <row r="309" spans="1:26" ht="18.600000000000001">
      <c r="A309" s="360" t="s">
        <v>1134</v>
      </c>
      <c r="B309" s="360" t="s">
        <v>117</v>
      </c>
      <c r="C309" s="355" t="s">
        <v>1013</v>
      </c>
      <c r="D309">
        <v>7920</v>
      </c>
      <c r="E309" s="143">
        <v>120000</v>
      </c>
      <c r="F309" s="117">
        <v>1405</v>
      </c>
      <c r="G309" s="360" t="s">
        <v>304</v>
      </c>
      <c r="H309" s="144">
        <f>bargiri[[#This Row],[میزان بارگیری شده]]*bargiri[[#This Row],[فی]]</f>
        <v>950400000</v>
      </c>
      <c r="I309" s="360">
        <f>IF(year=bargiri[[#This Row],[سال]],1,0)</f>
        <v>1</v>
      </c>
      <c r="J309" s="360" t="str">
        <f>VLOOKUP(bargiri[[#This Row],[شماره پیش فاکتور]],invoice[],16,0)</f>
        <v>عادی</v>
      </c>
      <c r="K309" s="252">
        <f>bargiri[[#This Row],[فی]]*bargiri[[#This Row],[میزان بارگیری شده]]</f>
        <v>950400000</v>
      </c>
      <c r="X309" s="1"/>
      <c r="Y309" s="1"/>
      <c r="Z309" s="1"/>
    </row>
    <row r="310" spans="1:26" ht="18.600000000000001">
      <c r="A310" s="360" t="s">
        <v>1135</v>
      </c>
      <c r="B310" s="360" t="s">
        <v>109</v>
      </c>
      <c r="C310" s="355" t="s">
        <v>1036</v>
      </c>
      <c r="D310">
        <v>18010</v>
      </c>
      <c r="E310" s="143">
        <v>240000</v>
      </c>
      <c r="F310" s="117">
        <v>1405</v>
      </c>
      <c r="G310" s="360" t="s">
        <v>304</v>
      </c>
      <c r="H310" s="144">
        <f>bargiri[[#This Row],[میزان بارگیری شده]]*bargiri[[#This Row],[فی]]</f>
        <v>4322400000</v>
      </c>
      <c r="I310" s="360">
        <f>IF(year=bargiri[[#This Row],[سال]],1,0)</f>
        <v>1</v>
      </c>
      <c r="J310" s="360" t="str">
        <f>VLOOKUP(bargiri[[#This Row],[شماره پیش فاکتور]],invoice[],16,0)</f>
        <v>انجمن</v>
      </c>
      <c r="K310" s="252">
        <f>bargiri[[#This Row],[فی]]*bargiri[[#This Row],[میزان بارگیری شده]]</f>
        <v>4322400000</v>
      </c>
      <c r="X310" s="1"/>
      <c r="Y310" s="1"/>
      <c r="Z310" s="1"/>
    </row>
    <row r="311" spans="1:26" ht="18.600000000000001">
      <c r="A311" s="360" t="s">
        <v>1135</v>
      </c>
      <c r="B311" s="360" t="s">
        <v>101</v>
      </c>
      <c r="C311" s="355" t="s">
        <v>1103</v>
      </c>
      <c r="D311">
        <v>10100</v>
      </c>
      <c r="E311" s="143">
        <v>240000</v>
      </c>
      <c r="F311" s="117">
        <v>1405</v>
      </c>
      <c r="G311" s="360" t="s">
        <v>304</v>
      </c>
      <c r="H311" s="144">
        <f>bargiri[[#This Row],[میزان بارگیری شده]]*bargiri[[#This Row],[فی]]</f>
        <v>2424000000</v>
      </c>
      <c r="I311" s="360">
        <f>IF(year=bargiri[[#This Row],[سال]],1,0)</f>
        <v>1</v>
      </c>
      <c r="J311" s="360" t="str">
        <f>VLOOKUP(bargiri[[#This Row],[شماره پیش فاکتور]],invoice[],16,0)</f>
        <v>انجمن</v>
      </c>
      <c r="K311" s="252">
        <f>bargiri[[#This Row],[فی]]*bargiri[[#This Row],[میزان بارگیری شده]]</f>
        <v>2424000000</v>
      </c>
      <c r="X311" s="1"/>
      <c r="Y311" s="1"/>
      <c r="Z311" s="1"/>
    </row>
    <row r="312" spans="1:26" ht="18.600000000000001">
      <c r="A312" s="360" t="s">
        <v>1135</v>
      </c>
      <c r="B312" s="360" t="s">
        <v>99</v>
      </c>
      <c r="C312" s="355" t="s">
        <v>821</v>
      </c>
      <c r="D312">
        <v>18060</v>
      </c>
      <c r="E312" s="143">
        <v>105000</v>
      </c>
      <c r="F312" s="117">
        <v>1405</v>
      </c>
      <c r="G312" s="360" t="s">
        <v>304</v>
      </c>
      <c r="H312" s="144">
        <f>bargiri[[#This Row],[میزان بارگیری شده]]*bargiri[[#This Row],[فی]]</f>
        <v>1896300000</v>
      </c>
      <c r="I312" s="360">
        <f>IF(year=bargiri[[#This Row],[سال]],1,0)</f>
        <v>1</v>
      </c>
      <c r="J312" s="360" t="str">
        <f>VLOOKUP(bargiri[[#This Row],[شماره پیش فاکتور]],invoice[],16,0)</f>
        <v>عادی</v>
      </c>
      <c r="K312" s="252">
        <f>bargiri[[#This Row],[فی]]*bargiri[[#This Row],[میزان بارگیری شده]]</f>
        <v>1896300000</v>
      </c>
      <c r="X312" s="1"/>
      <c r="Y312" s="1"/>
      <c r="Z312" s="1"/>
    </row>
    <row r="313" spans="1:26" ht="18.600000000000001">
      <c r="A313" s="360" t="s">
        <v>1135</v>
      </c>
      <c r="B313" s="360" t="s">
        <v>101</v>
      </c>
      <c r="C313" s="355" t="s">
        <v>1103</v>
      </c>
      <c r="D313">
        <v>22240</v>
      </c>
      <c r="E313" s="143">
        <v>240000</v>
      </c>
      <c r="F313" s="117">
        <v>1405</v>
      </c>
      <c r="G313" s="360" t="s">
        <v>304</v>
      </c>
      <c r="H313" s="144">
        <f>bargiri[[#This Row],[میزان بارگیری شده]]*bargiri[[#This Row],[فی]]</f>
        <v>5337600000</v>
      </c>
      <c r="I313" s="360">
        <f>IF(year=bargiri[[#This Row],[سال]],1,0)</f>
        <v>1</v>
      </c>
      <c r="J313" s="360" t="str">
        <f>VLOOKUP(bargiri[[#This Row],[شماره پیش فاکتور]],invoice[],16,0)</f>
        <v>انجمن</v>
      </c>
      <c r="K313" s="252">
        <f>bargiri[[#This Row],[فی]]*bargiri[[#This Row],[میزان بارگیری شده]]</f>
        <v>5337600000</v>
      </c>
      <c r="X313" s="1"/>
      <c r="Y313" s="1"/>
      <c r="Z313" s="1"/>
    </row>
    <row r="314" spans="1:26" ht="18.600000000000001">
      <c r="A314" s="360" t="s">
        <v>1135</v>
      </c>
      <c r="B314" s="360" t="s">
        <v>113</v>
      </c>
      <c r="C314" s="355" t="s">
        <v>822</v>
      </c>
      <c r="D314">
        <v>19950</v>
      </c>
      <c r="E314" s="143">
        <v>105000</v>
      </c>
      <c r="F314" s="117">
        <v>1405</v>
      </c>
      <c r="G314" s="360" t="s">
        <v>304</v>
      </c>
      <c r="H314" s="144">
        <f>bargiri[[#This Row],[میزان بارگیری شده]]*bargiri[[#This Row],[فی]]</f>
        <v>2094750000</v>
      </c>
      <c r="I314" s="360">
        <f>IF(year=bargiri[[#This Row],[سال]],1,0)</f>
        <v>1</v>
      </c>
      <c r="J314" s="360" t="str">
        <f>VLOOKUP(bargiri[[#This Row],[شماره پیش فاکتور]],invoice[],16,0)</f>
        <v>عادی</v>
      </c>
      <c r="K314" s="252">
        <f>bargiri[[#This Row],[فی]]*bargiri[[#This Row],[میزان بارگیری شده]]</f>
        <v>2094750000</v>
      </c>
      <c r="X314" s="1"/>
      <c r="Y314" s="1"/>
      <c r="Z314" s="1"/>
    </row>
    <row r="315" spans="1:26" ht="18.600000000000001">
      <c r="A315" s="360" t="s">
        <v>1135</v>
      </c>
      <c r="B315" s="360" t="s">
        <v>104</v>
      </c>
      <c r="C315" s="355" t="s">
        <v>1052</v>
      </c>
      <c r="D315">
        <v>18740</v>
      </c>
      <c r="E315" s="143">
        <v>240000</v>
      </c>
      <c r="F315" s="117">
        <v>1405</v>
      </c>
      <c r="G315" s="360" t="s">
        <v>304</v>
      </c>
      <c r="H315" s="144">
        <f>bargiri[[#This Row],[میزان بارگیری شده]]*bargiri[[#This Row],[فی]]</f>
        <v>4497600000</v>
      </c>
      <c r="I315" s="360">
        <f>IF(year=bargiri[[#This Row],[سال]],1,0)</f>
        <v>1</v>
      </c>
      <c r="J315" s="360" t="str">
        <f>VLOOKUP(bargiri[[#This Row],[شماره پیش فاکتور]],invoice[],16,0)</f>
        <v>انجمن</v>
      </c>
      <c r="K315" s="252">
        <f>bargiri[[#This Row],[فی]]*bargiri[[#This Row],[میزان بارگیری شده]]</f>
        <v>4497600000</v>
      </c>
      <c r="X315" s="1"/>
      <c r="Y315" s="1"/>
      <c r="Z315" s="1"/>
    </row>
    <row r="316" spans="1:26" ht="18.600000000000001">
      <c r="A316" s="360" t="s">
        <v>1133</v>
      </c>
      <c r="B316" s="360" t="s">
        <v>104</v>
      </c>
      <c r="C316" s="355" t="s">
        <v>797</v>
      </c>
      <c r="D316">
        <v>20000</v>
      </c>
      <c r="E316" s="143">
        <v>116500</v>
      </c>
      <c r="F316" s="117">
        <v>1405</v>
      </c>
      <c r="G316" s="360" t="s">
        <v>304</v>
      </c>
      <c r="H316" s="144">
        <f>bargiri[[#This Row],[میزان بارگیری شده]]*bargiri[[#This Row],[فی]]</f>
        <v>2330000000</v>
      </c>
      <c r="I316" s="360">
        <f>IF(year=bargiri[[#This Row],[سال]],1,0)</f>
        <v>1</v>
      </c>
      <c r="J316" s="360" t="str">
        <f>VLOOKUP(bargiri[[#This Row],[شماره پیش فاکتور]],invoice[],16,0)</f>
        <v>تعادلی</v>
      </c>
      <c r="K316" s="252">
        <f>bargiri[[#This Row],[فی]]*bargiri[[#This Row],[میزان بارگیری شده]]</f>
        <v>2330000000</v>
      </c>
      <c r="X316" s="1"/>
      <c r="Y316" s="1"/>
      <c r="Z316" s="1"/>
    </row>
    <row r="317" spans="1:26" ht="18.600000000000001">
      <c r="A317" s="360" t="s">
        <v>1132</v>
      </c>
      <c r="B317" s="360" t="s">
        <v>1100</v>
      </c>
      <c r="C317" s="355" t="s">
        <v>1099</v>
      </c>
      <c r="D317">
        <v>10120</v>
      </c>
      <c r="E317" s="143">
        <v>240000</v>
      </c>
      <c r="F317" s="117">
        <v>1405</v>
      </c>
      <c r="G317" s="360" t="s">
        <v>304</v>
      </c>
      <c r="H317" s="144">
        <f>bargiri[[#This Row],[میزان بارگیری شده]]*bargiri[[#This Row],[فی]]</f>
        <v>2428800000</v>
      </c>
      <c r="I317" s="360">
        <f>IF(year=bargiri[[#This Row],[سال]],1,0)</f>
        <v>1</v>
      </c>
      <c r="J317" s="360" t="str">
        <f>VLOOKUP(bargiri[[#This Row],[شماره پیش فاکتور]],invoice[],16,0)</f>
        <v>انجمن</v>
      </c>
      <c r="K317" s="252">
        <f>bargiri[[#This Row],[فی]]*bargiri[[#This Row],[میزان بارگیری شده]]</f>
        <v>2428800000</v>
      </c>
      <c r="X317" s="1"/>
      <c r="Y317" s="1"/>
      <c r="Z317" s="1"/>
    </row>
    <row r="318" spans="1:26" ht="18.600000000000001">
      <c r="A318" s="360" t="s">
        <v>1132</v>
      </c>
      <c r="B318" s="360" t="s">
        <v>123</v>
      </c>
      <c r="C318" s="355" t="s">
        <v>1035</v>
      </c>
      <c r="D318">
        <v>7400</v>
      </c>
      <c r="E318" s="143">
        <v>240000</v>
      </c>
      <c r="F318" s="117">
        <v>1405</v>
      </c>
      <c r="G318" s="360" t="s">
        <v>304</v>
      </c>
      <c r="H318" s="144">
        <f>bargiri[[#This Row],[میزان بارگیری شده]]*bargiri[[#This Row],[فی]]</f>
        <v>1776000000</v>
      </c>
      <c r="I318" s="360">
        <f>IF(year=bargiri[[#This Row],[سال]],1,0)</f>
        <v>1</v>
      </c>
      <c r="J318" s="360" t="str">
        <f>VLOOKUP(bargiri[[#This Row],[شماره پیش فاکتور]],invoice[],16,0)</f>
        <v>انجمن</v>
      </c>
      <c r="K318" s="252">
        <f>bargiri[[#This Row],[فی]]*bargiri[[#This Row],[میزان بارگیری شده]]</f>
        <v>1776000000</v>
      </c>
      <c r="X318" s="1"/>
      <c r="Y318" s="1"/>
      <c r="Z318" s="1"/>
    </row>
    <row r="319" spans="1:26" ht="18.600000000000001">
      <c r="A319" s="360" t="s">
        <v>1131</v>
      </c>
      <c r="B319" s="360" t="s">
        <v>117</v>
      </c>
      <c r="C319" s="355" t="s">
        <v>1013</v>
      </c>
      <c r="D319">
        <v>17960</v>
      </c>
      <c r="E319" s="143">
        <v>120000</v>
      </c>
      <c r="F319" s="117">
        <v>1405</v>
      </c>
      <c r="G319" s="360" t="s">
        <v>304</v>
      </c>
      <c r="H319" s="144">
        <f>bargiri[[#This Row],[میزان بارگیری شده]]*bargiri[[#This Row],[فی]]</f>
        <v>2155200000</v>
      </c>
      <c r="I319" s="360">
        <f>IF(year=bargiri[[#This Row],[سال]],1,0)</f>
        <v>1</v>
      </c>
      <c r="J319" s="360" t="str">
        <f>VLOOKUP(bargiri[[#This Row],[شماره پیش فاکتور]],invoice[],16,0)</f>
        <v>عادی</v>
      </c>
      <c r="K319" s="252">
        <f>bargiri[[#This Row],[فی]]*bargiri[[#This Row],[میزان بارگیری شده]]</f>
        <v>2155200000</v>
      </c>
      <c r="X319" s="1"/>
      <c r="Y319" s="1"/>
      <c r="Z319" s="1"/>
    </row>
    <row r="320" spans="1:26" ht="18.600000000000001">
      <c r="A320" s="360" t="s">
        <v>1130</v>
      </c>
      <c r="B320" s="360" t="s">
        <v>99</v>
      </c>
      <c r="C320" s="355" t="s">
        <v>821</v>
      </c>
      <c r="D320">
        <v>20140</v>
      </c>
      <c r="E320" s="143">
        <v>105000</v>
      </c>
      <c r="F320" s="117">
        <v>1405</v>
      </c>
      <c r="G320" s="360" t="s">
        <v>304</v>
      </c>
      <c r="H320" s="144">
        <f>bargiri[[#This Row],[میزان بارگیری شده]]*bargiri[[#This Row],[فی]]</f>
        <v>2114700000</v>
      </c>
      <c r="I320" s="360">
        <f>IF(year=bargiri[[#This Row],[سال]],1,0)</f>
        <v>1</v>
      </c>
      <c r="J320" s="360" t="str">
        <f>VLOOKUP(bargiri[[#This Row],[شماره پیش فاکتور]],invoice[],16,0)</f>
        <v>عادی</v>
      </c>
      <c r="K320" s="252">
        <f>bargiri[[#This Row],[فی]]*bargiri[[#This Row],[میزان بارگیری شده]]</f>
        <v>2114700000</v>
      </c>
      <c r="X320" s="1"/>
      <c r="Y320" s="1"/>
      <c r="Z320" s="1"/>
    </row>
    <row r="321" spans="1:26" ht="18.600000000000001">
      <c r="A321" s="360" t="s">
        <v>1130</v>
      </c>
      <c r="B321" s="360" t="s">
        <v>1042</v>
      </c>
      <c r="C321" s="355" t="s">
        <v>1040</v>
      </c>
      <c r="D321">
        <v>22030</v>
      </c>
      <c r="E321" s="143">
        <v>240000</v>
      </c>
      <c r="F321" s="117">
        <v>1405</v>
      </c>
      <c r="G321" s="360" t="s">
        <v>304</v>
      </c>
      <c r="H321" s="144">
        <f>bargiri[[#This Row],[میزان بارگیری شده]]*bargiri[[#This Row],[فی]]</f>
        <v>5287200000</v>
      </c>
      <c r="I321" s="360">
        <f>IF(year=bargiri[[#This Row],[سال]],1,0)</f>
        <v>1</v>
      </c>
      <c r="J321" s="360" t="str">
        <f>VLOOKUP(bargiri[[#This Row],[شماره پیش فاکتور]],invoice[],16,0)</f>
        <v>انجمن</v>
      </c>
      <c r="K321" s="252">
        <f>bargiri[[#This Row],[فی]]*bargiri[[#This Row],[میزان بارگیری شده]]</f>
        <v>5287200000</v>
      </c>
      <c r="X321" s="1"/>
      <c r="Y321" s="1"/>
      <c r="Z321" s="1"/>
    </row>
    <row r="322" spans="1:26" ht="18.600000000000001">
      <c r="A322" s="360" t="s">
        <v>1130</v>
      </c>
      <c r="B322" s="360" t="s">
        <v>114</v>
      </c>
      <c r="C322" s="355" t="s">
        <v>905</v>
      </c>
      <c r="D322">
        <v>21170</v>
      </c>
      <c r="E322" s="143">
        <v>135000</v>
      </c>
      <c r="F322" s="117">
        <v>1405</v>
      </c>
      <c r="G322" s="360" t="s">
        <v>304</v>
      </c>
      <c r="H322" s="144">
        <f>bargiri[[#This Row],[میزان بارگیری شده]]*bargiri[[#This Row],[فی]]</f>
        <v>2857950000</v>
      </c>
      <c r="I322" s="360">
        <f>IF(year=bargiri[[#This Row],[سال]],1,0)</f>
        <v>1</v>
      </c>
      <c r="J322" s="360" t="str">
        <f>VLOOKUP(bargiri[[#This Row],[شماره پیش فاکتور]],invoice[],16,0)</f>
        <v>عادی</v>
      </c>
      <c r="K322" s="252">
        <f>bargiri[[#This Row],[فی]]*bargiri[[#This Row],[میزان بارگیری شده]]</f>
        <v>2857950000</v>
      </c>
      <c r="X322" s="1"/>
      <c r="Y322" s="1"/>
      <c r="Z322" s="1"/>
    </row>
    <row r="323" spans="1:26" ht="18.600000000000001">
      <c r="A323" s="360" t="s">
        <v>1130</v>
      </c>
      <c r="B323" s="360" t="s">
        <v>104</v>
      </c>
      <c r="C323" s="355" t="s">
        <v>1052</v>
      </c>
      <c r="D323">
        <v>19830</v>
      </c>
      <c r="E323" s="143">
        <v>240000</v>
      </c>
      <c r="F323" s="117">
        <v>1405</v>
      </c>
      <c r="G323" s="360" t="s">
        <v>304</v>
      </c>
      <c r="H323" s="144">
        <f>bargiri[[#This Row],[میزان بارگیری شده]]*bargiri[[#This Row],[فی]]</f>
        <v>4759200000</v>
      </c>
      <c r="I323" s="360">
        <f>IF(year=bargiri[[#This Row],[سال]],1,0)</f>
        <v>1</v>
      </c>
      <c r="J323" s="360" t="str">
        <f>VLOOKUP(bargiri[[#This Row],[شماره پیش فاکتور]],invoice[],16,0)</f>
        <v>انجمن</v>
      </c>
      <c r="K323" s="252">
        <f>bargiri[[#This Row],[فی]]*bargiri[[#This Row],[میزان بارگیری شده]]</f>
        <v>4759200000</v>
      </c>
      <c r="X323" s="1"/>
      <c r="Y323" s="1"/>
      <c r="Z323" s="1"/>
    </row>
    <row r="324" spans="1:26" ht="18.600000000000001">
      <c r="A324" s="360" t="s">
        <v>1129</v>
      </c>
      <c r="B324" s="360" t="s">
        <v>121</v>
      </c>
      <c r="C324" s="355" t="s">
        <v>635</v>
      </c>
      <c r="D324">
        <v>16290</v>
      </c>
      <c r="E324" s="143">
        <v>120000</v>
      </c>
      <c r="F324" s="117">
        <v>1405</v>
      </c>
      <c r="G324" s="360" t="s">
        <v>304</v>
      </c>
      <c r="H324" s="144">
        <f>bargiri[[#This Row],[میزان بارگیری شده]]*bargiri[[#This Row],[فی]]</f>
        <v>1954800000</v>
      </c>
      <c r="I324" s="360">
        <f>IF(year=bargiri[[#This Row],[سال]],1,0)</f>
        <v>1</v>
      </c>
      <c r="J324" s="360" t="str">
        <f>VLOOKUP(bargiri[[#This Row],[شماره پیش فاکتور]],invoice[],16,0)</f>
        <v>عادی</v>
      </c>
      <c r="K324" s="252">
        <f>bargiri[[#This Row],[فی]]*bargiri[[#This Row],[میزان بارگیری شده]]</f>
        <v>1954800000</v>
      </c>
      <c r="X324" s="1"/>
      <c r="Y324" s="1"/>
      <c r="Z324" s="1"/>
    </row>
    <row r="325" spans="1:26" ht="18.600000000000001">
      <c r="A325" s="360" t="s">
        <v>1129</v>
      </c>
      <c r="B325" s="360" t="s">
        <v>122</v>
      </c>
      <c r="C325" s="355" t="s">
        <v>1054</v>
      </c>
      <c r="D325">
        <v>15630</v>
      </c>
      <c r="E325" s="143">
        <v>240000</v>
      </c>
      <c r="F325" s="117">
        <v>1405</v>
      </c>
      <c r="G325" s="360" t="s">
        <v>304</v>
      </c>
      <c r="H325" s="144">
        <f>bargiri[[#This Row],[میزان بارگیری شده]]*bargiri[[#This Row],[فی]]</f>
        <v>3751200000</v>
      </c>
      <c r="I325" s="360">
        <f>IF(year=bargiri[[#This Row],[سال]],1,0)</f>
        <v>1</v>
      </c>
      <c r="J325" s="360" t="str">
        <f>VLOOKUP(bargiri[[#This Row],[شماره پیش فاکتور]],invoice[],16,0)</f>
        <v>انجمن</v>
      </c>
      <c r="K325" s="252">
        <f>bargiri[[#This Row],[فی]]*bargiri[[#This Row],[میزان بارگیری شده]]</f>
        <v>3751200000</v>
      </c>
      <c r="X325" s="1"/>
      <c r="Y325" s="1"/>
      <c r="Z325" s="1"/>
    </row>
    <row r="326" spans="1:26" ht="18.600000000000001">
      <c r="A326" s="360" t="s">
        <v>1129</v>
      </c>
      <c r="B326" s="360" t="s">
        <v>122</v>
      </c>
      <c r="C326" s="355" t="s">
        <v>633</v>
      </c>
      <c r="D326">
        <v>5110</v>
      </c>
      <c r="E326" s="143">
        <v>120000</v>
      </c>
      <c r="F326" s="117">
        <v>1405</v>
      </c>
      <c r="G326" s="360" t="s">
        <v>304</v>
      </c>
      <c r="H326" s="144">
        <f>bargiri[[#This Row],[میزان بارگیری شده]]*bargiri[[#This Row],[فی]]</f>
        <v>613200000</v>
      </c>
      <c r="I326" s="360">
        <f>IF(year=bargiri[[#This Row],[سال]],1,0)</f>
        <v>1</v>
      </c>
      <c r="J326" s="360" t="str">
        <f>VLOOKUP(bargiri[[#This Row],[شماره پیش فاکتور]],invoice[],16,0)</f>
        <v>عادی</v>
      </c>
      <c r="K326" s="252">
        <f>bargiri[[#This Row],[فی]]*bargiri[[#This Row],[میزان بارگیری شده]]</f>
        <v>613200000</v>
      </c>
      <c r="X326" s="1"/>
      <c r="Y326" s="1"/>
      <c r="Z326" s="1"/>
    </row>
    <row r="327" spans="1:26" ht="18.600000000000001">
      <c r="A327" s="360" t="s">
        <v>1129</v>
      </c>
      <c r="B327" s="360" t="s">
        <v>125</v>
      </c>
      <c r="C327" s="355" t="s">
        <v>1009</v>
      </c>
      <c r="D327">
        <v>14220</v>
      </c>
      <c r="E327" s="143">
        <v>120000</v>
      </c>
      <c r="F327" s="117">
        <v>1405</v>
      </c>
      <c r="G327" s="360" t="s">
        <v>304</v>
      </c>
      <c r="H327" s="144">
        <f>bargiri[[#This Row],[میزان بارگیری شده]]*bargiri[[#This Row],[فی]]</f>
        <v>1706400000</v>
      </c>
      <c r="I327" s="360">
        <f>IF(year=bargiri[[#This Row],[سال]],1,0)</f>
        <v>1</v>
      </c>
      <c r="J327" s="360" t="str">
        <f>VLOOKUP(bargiri[[#This Row],[شماره پیش فاکتور]],invoice[],16,0)</f>
        <v>عادی</v>
      </c>
      <c r="K327" s="252">
        <f>bargiri[[#This Row],[فی]]*bargiri[[#This Row],[میزان بارگیری شده]]</f>
        <v>1706400000</v>
      </c>
      <c r="X327" s="1"/>
      <c r="Y327" s="1"/>
      <c r="Z327" s="1"/>
    </row>
    <row r="328" spans="1:26" ht="18.600000000000001">
      <c r="A328" s="360" t="s">
        <v>1129</v>
      </c>
      <c r="B328" s="360" t="s">
        <v>116</v>
      </c>
      <c r="C328" s="355" t="s">
        <v>959</v>
      </c>
      <c r="D328">
        <v>6670</v>
      </c>
      <c r="E328" s="143">
        <v>167500</v>
      </c>
      <c r="F328" s="117">
        <v>1405</v>
      </c>
      <c r="G328" s="360" t="s">
        <v>304</v>
      </c>
      <c r="H328" s="144">
        <f>bargiri[[#This Row],[میزان بارگیری شده]]*bargiri[[#This Row],[فی]]</f>
        <v>1117225000</v>
      </c>
      <c r="I328" s="360">
        <f>IF(year=bargiri[[#This Row],[سال]],1,0)</f>
        <v>1</v>
      </c>
      <c r="J328" s="360" t="str">
        <f>VLOOKUP(bargiri[[#This Row],[شماره پیش فاکتور]],invoice[],16,0)</f>
        <v>بورس</v>
      </c>
      <c r="K328" s="252">
        <f>bargiri[[#This Row],[فی]]*bargiri[[#This Row],[میزان بارگیری شده]]</f>
        <v>1117225000</v>
      </c>
      <c r="X328" s="1"/>
      <c r="Y328" s="1"/>
      <c r="Z328" s="1"/>
    </row>
    <row r="329" spans="1:26" ht="18.600000000000001">
      <c r="A329" s="360" t="s">
        <v>1129</v>
      </c>
      <c r="B329" s="360" t="s">
        <v>116</v>
      </c>
      <c r="C329" s="355" t="s">
        <v>925</v>
      </c>
      <c r="D329">
        <v>14060</v>
      </c>
      <c r="E329" s="143">
        <v>116500</v>
      </c>
      <c r="F329" s="117">
        <v>1405</v>
      </c>
      <c r="G329" s="360" t="s">
        <v>304</v>
      </c>
      <c r="H329" s="144">
        <f>bargiri[[#This Row],[میزان بارگیری شده]]*bargiri[[#This Row],[فی]]</f>
        <v>1637990000</v>
      </c>
      <c r="I329" s="360">
        <f>IF(year=bargiri[[#This Row],[سال]],1,0)</f>
        <v>1</v>
      </c>
      <c r="J329" s="360" t="str">
        <f>VLOOKUP(bargiri[[#This Row],[شماره پیش فاکتور]],invoice[],16,0)</f>
        <v>تعادلی</v>
      </c>
      <c r="K329" s="252">
        <f>bargiri[[#This Row],[فی]]*bargiri[[#This Row],[میزان بارگیری شده]]</f>
        <v>1637990000</v>
      </c>
      <c r="X329" s="1"/>
      <c r="Y329" s="1"/>
      <c r="Z329" s="1"/>
    </row>
    <row r="330" spans="1:26" ht="18.600000000000001">
      <c r="A330" s="360" t="s">
        <v>1129</v>
      </c>
      <c r="B330" s="360" t="s">
        <v>113</v>
      </c>
      <c r="C330" s="355" t="s">
        <v>822</v>
      </c>
      <c r="D330">
        <v>20770</v>
      </c>
      <c r="E330" s="143">
        <v>105000</v>
      </c>
      <c r="F330" s="117">
        <v>1405</v>
      </c>
      <c r="G330" s="360" t="s">
        <v>304</v>
      </c>
      <c r="H330" s="144">
        <f>bargiri[[#This Row],[میزان بارگیری شده]]*bargiri[[#This Row],[فی]]</f>
        <v>2180850000</v>
      </c>
      <c r="I330" s="360">
        <f>IF(year=bargiri[[#This Row],[سال]],1,0)</f>
        <v>1</v>
      </c>
      <c r="J330" s="360" t="str">
        <f>VLOOKUP(bargiri[[#This Row],[شماره پیش فاکتور]],invoice[],16,0)</f>
        <v>عادی</v>
      </c>
      <c r="K330" s="252">
        <f>bargiri[[#This Row],[فی]]*bargiri[[#This Row],[میزان بارگیری شده]]</f>
        <v>2180850000</v>
      </c>
      <c r="X330" s="1"/>
      <c r="Y330" s="1"/>
      <c r="Z330" s="1"/>
    </row>
    <row r="331" spans="1:26" ht="18.600000000000001">
      <c r="A331" s="360" t="s">
        <v>1128</v>
      </c>
      <c r="B331" s="360" t="s">
        <v>103</v>
      </c>
      <c r="C331" s="355" t="s">
        <v>1051</v>
      </c>
      <c r="D331">
        <v>20050</v>
      </c>
      <c r="E331" s="143">
        <v>240000</v>
      </c>
      <c r="F331" s="117">
        <v>1405</v>
      </c>
      <c r="G331" s="360" t="s">
        <v>304</v>
      </c>
      <c r="H331" s="144">
        <f>bargiri[[#This Row],[میزان بارگیری شده]]*bargiri[[#This Row],[فی]]</f>
        <v>4812000000</v>
      </c>
      <c r="I331" s="360">
        <f>IF(year=bargiri[[#This Row],[سال]],1,0)</f>
        <v>1</v>
      </c>
      <c r="J331" s="360" t="str">
        <f>VLOOKUP(bargiri[[#This Row],[شماره پیش فاکتور]],invoice[],16,0)</f>
        <v>انجمن</v>
      </c>
      <c r="K331" s="252">
        <f>bargiri[[#This Row],[فی]]*bargiri[[#This Row],[میزان بارگیری شده]]</f>
        <v>4812000000</v>
      </c>
      <c r="X331" s="1"/>
      <c r="Y331" s="1"/>
      <c r="Z331" s="1"/>
    </row>
    <row r="332" spans="1:26" ht="18.600000000000001">
      <c r="A332" s="360" t="s">
        <v>1128</v>
      </c>
      <c r="B332" s="360" t="s">
        <v>99</v>
      </c>
      <c r="C332" s="355" t="s">
        <v>821</v>
      </c>
      <c r="D332">
        <v>21640</v>
      </c>
      <c r="E332" s="143">
        <v>105000</v>
      </c>
      <c r="F332" s="117">
        <v>1405</v>
      </c>
      <c r="G332" s="360" t="s">
        <v>304</v>
      </c>
      <c r="H332" s="144">
        <f>bargiri[[#This Row],[میزان بارگیری شده]]*bargiri[[#This Row],[فی]]</f>
        <v>2272200000</v>
      </c>
      <c r="I332" s="360">
        <f>IF(year=bargiri[[#This Row],[سال]],1,0)</f>
        <v>1</v>
      </c>
      <c r="J332" s="360" t="str">
        <f>VLOOKUP(bargiri[[#This Row],[شماره پیش فاکتور]],invoice[],16,0)</f>
        <v>عادی</v>
      </c>
      <c r="K332" s="252">
        <f>bargiri[[#This Row],[فی]]*bargiri[[#This Row],[میزان بارگیری شده]]</f>
        <v>2272200000</v>
      </c>
      <c r="X332" s="1"/>
      <c r="Y332" s="1"/>
      <c r="Z332" s="1"/>
    </row>
    <row r="333" spans="1:26" ht="18.600000000000001">
      <c r="A333" s="360" t="s">
        <v>1128</v>
      </c>
      <c r="B333" s="360" t="s">
        <v>118</v>
      </c>
      <c r="C333" s="355" t="s">
        <v>1097</v>
      </c>
      <c r="D333">
        <v>19980</v>
      </c>
      <c r="E333" s="143">
        <v>125844</v>
      </c>
      <c r="F333" s="117">
        <v>1405</v>
      </c>
      <c r="G333" s="360" t="s">
        <v>304</v>
      </c>
      <c r="H333" s="144">
        <f>bargiri[[#This Row],[میزان بارگیری شده]]*bargiri[[#This Row],[فی]]</f>
        <v>2514363120</v>
      </c>
      <c r="I333" s="360">
        <f>IF(year=bargiri[[#This Row],[سال]],1,0)</f>
        <v>1</v>
      </c>
      <c r="J333" s="360" t="str">
        <f>VLOOKUP(bargiri[[#This Row],[شماره پیش فاکتور]],invoice[],16,0)</f>
        <v>عادی</v>
      </c>
      <c r="K333" s="252">
        <f>bargiri[[#This Row],[فی]]*bargiri[[#This Row],[میزان بارگیری شده]]</f>
        <v>2514363120</v>
      </c>
      <c r="X333" s="1"/>
      <c r="Y333" s="1"/>
      <c r="Z333" s="1"/>
    </row>
    <row r="334" spans="1:26" ht="18.600000000000001">
      <c r="A334" s="360" t="s">
        <v>1125</v>
      </c>
      <c r="B334" s="360" t="s">
        <v>100</v>
      </c>
      <c r="C334" s="355" t="s">
        <v>1049</v>
      </c>
      <c r="D334">
        <v>6680</v>
      </c>
      <c r="E334" s="143">
        <v>240000</v>
      </c>
      <c r="F334" s="117">
        <v>1405</v>
      </c>
      <c r="G334" s="360" t="s">
        <v>304</v>
      </c>
      <c r="H334" s="144">
        <f>bargiri[[#This Row],[میزان بارگیری شده]]*bargiri[[#This Row],[فی]]</f>
        <v>1603200000</v>
      </c>
      <c r="I334" s="360">
        <f>IF(year=bargiri[[#This Row],[سال]],1,0)</f>
        <v>1</v>
      </c>
      <c r="J334" s="360" t="str">
        <f>VLOOKUP(bargiri[[#This Row],[شماره پیش فاکتور]],invoice[],16,0)</f>
        <v>انجمن</v>
      </c>
      <c r="K334" s="252">
        <f>bargiri[[#This Row],[فی]]*bargiri[[#This Row],[میزان بارگیری شده]]</f>
        <v>1603200000</v>
      </c>
      <c r="X334" s="1"/>
      <c r="Y334" s="1"/>
      <c r="Z334" s="1"/>
    </row>
    <row r="335" spans="1:26" ht="18.600000000000001">
      <c r="A335" s="360" t="s">
        <v>1125</v>
      </c>
      <c r="B335" s="360" t="s">
        <v>123</v>
      </c>
      <c r="C335" s="355" t="s">
        <v>1035</v>
      </c>
      <c r="D335">
        <v>7370</v>
      </c>
      <c r="E335" s="143">
        <v>240000</v>
      </c>
      <c r="F335" s="117">
        <v>1405</v>
      </c>
      <c r="G335" s="360" t="s">
        <v>304</v>
      </c>
      <c r="H335" s="144">
        <f>bargiri[[#This Row],[میزان بارگیری شده]]*bargiri[[#This Row],[فی]]</f>
        <v>1768800000</v>
      </c>
      <c r="I335" s="360">
        <f>IF(year=bargiri[[#This Row],[سال]],1,0)</f>
        <v>1</v>
      </c>
      <c r="J335" s="360" t="str">
        <f>VLOOKUP(bargiri[[#This Row],[شماره پیش فاکتور]],invoice[],16,0)</f>
        <v>انجمن</v>
      </c>
      <c r="K335" s="252">
        <f>bargiri[[#This Row],[فی]]*bargiri[[#This Row],[میزان بارگیری شده]]</f>
        <v>1768800000</v>
      </c>
      <c r="X335" s="1"/>
      <c r="Y335" s="1"/>
      <c r="Z335" s="1"/>
    </row>
    <row r="336" spans="1:26" ht="18.600000000000001">
      <c r="A336" s="360" t="s">
        <v>1126</v>
      </c>
      <c r="B336" s="360" t="s">
        <v>106</v>
      </c>
      <c r="C336" s="355" t="s">
        <v>913</v>
      </c>
      <c r="D336">
        <v>18300</v>
      </c>
      <c r="E336" s="143">
        <v>125000</v>
      </c>
      <c r="F336" s="117">
        <v>1405</v>
      </c>
      <c r="G336" s="360" t="s">
        <v>304</v>
      </c>
      <c r="H336" s="144">
        <f>bargiri[[#This Row],[میزان بارگیری شده]]*bargiri[[#This Row],[فی]]</f>
        <v>2287500000</v>
      </c>
      <c r="I336" s="360">
        <f>IF(year=bargiri[[#This Row],[سال]],1,0)</f>
        <v>1</v>
      </c>
      <c r="J336" s="360" t="str">
        <f>VLOOKUP(bargiri[[#This Row],[شماره پیش فاکتور]],invoice[],16,0)</f>
        <v>عادی</v>
      </c>
      <c r="K336" s="252">
        <f>bargiri[[#This Row],[فی]]*bargiri[[#This Row],[میزان بارگیری شده]]</f>
        <v>2287500000</v>
      </c>
      <c r="X336" s="1"/>
      <c r="Y336" s="1"/>
      <c r="Z336" s="1"/>
    </row>
    <row r="337" spans="1:26" ht="18.600000000000001">
      <c r="A337" s="360" t="s">
        <v>1126</v>
      </c>
      <c r="B337" s="360" t="s">
        <v>118</v>
      </c>
      <c r="C337" s="355" t="s">
        <v>1097</v>
      </c>
      <c r="D337">
        <v>20590</v>
      </c>
      <c r="E337" s="143">
        <v>125844</v>
      </c>
      <c r="F337" s="117">
        <v>1405</v>
      </c>
      <c r="G337" s="360" t="s">
        <v>304</v>
      </c>
      <c r="H337" s="144">
        <f>bargiri[[#This Row],[میزان بارگیری شده]]*bargiri[[#This Row],[فی]]</f>
        <v>2591127960</v>
      </c>
      <c r="I337" s="360">
        <f>IF(year=bargiri[[#This Row],[سال]],1,0)</f>
        <v>1</v>
      </c>
      <c r="J337" s="360" t="str">
        <f>VLOOKUP(bargiri[[#This Row],[شماره پیش فاکتور]],invoice[],16,0)</f>
        <v>عادی</v>
      </c>
      <c r="K337" s="252">
        <f>bargiri[[#This Row],[فی]]*bargiri[[#This Row],[میزان بارگیری شده]]</f>
        <v>2591127960</v>
      </c>
      <c r="X337" s="1"/>
      <c r="Y337" s="1"/>
      <c r="Z337" s="1"/>
    </row>
    <row r="338" spans="1:26" ht="18.600000000000001">
      <c r="A338" s="360" t="s">
        <v>1126</v>
      </c>
      <c r="B338" s="360" t="s">
        <v>118</v>
      </c>
      <c r="C338" s="355" t="s">
        <v>1097</v>
      </c>
      <c r="D338">
        <v>20490</v>
      </c>
      <c r="E338" s="143">
        <v>125844</v>
      </c>
      <c r="F338" s="117">
        <v>1405</v>
      </c>
      <c r="G338" s="360" t="s">
        <v>304</v>
      </c>
      <c r="H338" s="144">
        <f>bargiri[[#This Row],[میزان بارگیری شده]]*bargiri[[#This Row],[فی]]</f>
        <v>2578543560</v>
      </c>
      <c r="I338" s="360">
        <f>IF(year=bargiri[[#This Row],[سال]],1,0)</f>
        <v>1</v>
      </c>
      <c r="J338" s="360" t="str">
        <f>VLOOKUP(bargiri[[#This Row],[شماره پیش فاکتور]],invoice[],16,0)</f>
        <v>عادی</v>
      </c>
      <c r="K338" s="252">
        <f>bargiri[[#This Row],[فی]]*bargiri[[#This Row],[میزان بارگیری شده]]</f>
        <v>2578543560</v>
      </c>
      <c r="X338" s="1"/>
      <c r="Y338" s="1"/>
      <c r="Z338" s="1"/>
    </row>
    <row r="339" spans="1:26" ht="18.600000000000001">
      <c r="A339" s="360" t="s">
        <v>1126</v>
      </c>
      <c r="B339" s="360" t="s">
        <v>118</v>
      </c>
      <c r="C339" s="355" t="s">
        <v>1097</v>
      </c>
      <c r="D339">
        <v>20630</v>
      </c>
      <c r="E339" s="143">
        <v>125844</v>
      </c>
      <c r="F339" s="117">
        <v>1405</v>
      </c>
      <c r="G339" s="360" t="s">
        <v>304</v>
      </c>
      <c r="H339" s="144">
        <f>bargiri[[#This Row],[میزان بارگیری شده]]*bargiri[[#This Row],[فی]]</f>
        <v>2596161720</v>
      </c>
      <c r="I339" s="360">
        <f>IF(year=bargiri[[#This Row],[سال]],1,0)</f>
        <v>1</v>
      </c>
      <c r="J339" s="360" t="str">
        <f>VLOOKUP(bargiri[[#This Row],[شماره پیش فاکتور]],invoice[],16,0)</f>
        <v>عادی</v>
      </c>
      <c r="K339" s="252">
        <f>bargiri[[#This Row],[فی]]*bargiri[[#This Row],[میزان بارگیری شده]]</f>
        <v>2596161720</v>
      </c>
      <c r="X339" s="1"/>
      <c r="Y339" s="1"/>
      <c r="Z339" s="1"/>
    </row>
    <row r="340" spans="1:26" ht="18.600000000000001">
      <c r="A340" s="360" t="s">
        <v>1126</v>
      </c>
      <c r="B340" s="360" t="s">
        <v>118</v>
      </c>
      <c r="C340" s="355" t="s">
        <v>1097</v>
      </c>
      <c r="D340">
        <v>20540</v>
      </c>
      <c r="E340" s="143">
        <v>125844</v>
      </c>
      <c r="F340" s="117">
        <v>1405</v>
      </c>
      <c r="G340" s="360" t="s">
        <v>304</v>
      </c>
      <c r="H340" s="144">
        <f>bargiri[[#This Row],[میزان بارگیری شده]]*bargiri[[#This Row],[فی]]</f>
        <v>2584835760</v>
      </c>
      <c r="I340" s="360">
        <f>IF(year=bargiri[[#This Row],[سال]],1,0)</f>
        <v>1</v>
      </c>
      <c r="J340" s="360" t="str">
        <f>VLOOKUP(bargiri[[#This Row],[شماره پیش فاکتور]],invoice[],16,0)</f>
        <v>عادی</v>
      </c>
      <c r="K340" s="252">
        <f>bargiri[[#This Row],[فی]]*bargiri[[#This Row],[میزان بارگیری شده]]</f>
        <v>2584835760</v>
      </c>
      <c r="X340" s="1"/>
      <c r="Y340" s="1"/>
      <c r="Z340" s="1"/>
    </row>
    <row r="341" spans="1:26" ht="18.600000000000001">
      <c r="A341" s="360" t="s">
        <v>1126</v>
      </c>
      <c r="B341" s="360" t="s">
        <v>116</v>
      </c>
      <c r="C341" s="355" t="s">
        <v>925</v>
      </c>
      <c r="D341">
        <v>20090</v>
      </c>
      <c r="E341" s="143">
        <v>116500</v>
      </c>
      <c r="F341" s="117">
        <v>1405</v>
      </c>
      <c r="G341" s="360" t="s">
        <v>304</v>
      </c>
      <c r="H341" s="144">
        <f>bargiri[[#This Row],[میزان بارگیری شده]]*bargiri[[#This Row],[فی]]</f>
        <v>2340485000</v>
      </c>
      <c r="I341" s="360">
        <f>IF(year=bargiri[[#This Row],[سال]],1,0)</f>
        <v>1</v>
      </c>
      <c r="J341" s="360" t="str">
        <f>VLOOKUP(bargiri[[#This Row],[شماره پیش فاکتور]],invoice[],16,0)</f>
        <v>تعادلی</v>
      </c>
      <c r="K341" s="252">
        <f>bargiri[[#This Row],[فی]]*bargiri[[#This Row],[میزان بارگیری شده]]</f>
        <v>2340485000</v>
      </c>
      <c r="X341" s="1"/>
      <c r="Y341" s="1"/>
      <c r="Z341" s="1"/>
    </row>
    <row r="342" spans="1:26" ht="18.600000000000001">
      <c r="A342" s="360" t="s">
        <v>1126</v>
      </c>
      <c r="B342" s="360" t="s">
        <v>113</v>
      </c>
      <c r="C342" s="355" t="s">
        <v>822</v>
      </c>
      <c r="D342">
        <v>17840</v>
      </c>
      <c r="E342" s="143">
        <v>105000</v>
      </c>
      <c r="F342" s="117">
        <v>1405</v>
      </c>
      <c r="G342" s="360" t="s">
        <v>304</v>
      </c>
      <c r="H342" s="144">
        <f>bargiri[[#This Row],[میزان بارگیری شده]]*bargiri[[#This Row],[فی]]</f>
        <v>1873200000</v>
      </c>
      <c r="I342" s="360">
        <f>IF(year=bargiri[[#This Row],[سال]],1,0)</f>
        <v>1</v>
      </c>
      <c r="J342" s="360" t="str">
        <f>VLOOKUP(bargiri[[#This Row],[شماره پیش فاکتور]],invoice[],16,0)</f>
        <v>عادی</v>
      </c>
      <c r="K342" s="252">
        <f>bargiri[[#This Row],[فی]]*bargiri[[#This Row],[میزان بارگیری شده]]</f>
        <v>1873200000</v>
      </c>
      <c r="X342" s="1"/>
      <c r="Y342" s="1"/>
      <c r="Z342" s="1"/>
    </row>
    <row r="343" spans="1:26" ht="18.600000000000001">
      <c r="A343" s="360" t="s">
        <v>1127</v>
      </c>
      <c r="B343" s="360" t="s">
        <v>109</v>
      </c>
      <c r="C343" s="355" t="s">
        <v>1036</v>
      </c>
      <c r="D343">
        <v>19790</v>
      </c>
      <c r="E343" s="143">
        <v>240000</v>
      </c>
      <c r="F343" s="117">
        <v>1405</v>
      </c>
      <c r="G343" s="360" t="s">
        <v>304</v>
      </c>
      <c r="H343" s="144">
        <f>bargiri[[#This Row],[میزان بارگیری شده]]*bargiri[[#This Row],[فی]]</f>
        <v>4749600000</v>
      </c>
      <c r="I343" s="360">
        <f>IF(year=bargiri[[#This Row],[سال]],1,0)</f>
        <v>1</v>
      </c>
      <c r="J343" s="360" t="str">
        <f>VLOOKUP(bargiri[[#This Row],[شماره پیش فاکتور]],invoice[],16,0)</f>
        <v>انجمن</v>
      </c>
      <c r="K343" s="252">
        <f>bargiri[[#This Row],[فی]]*bargiri[[#This Row],[میزان بارگیری شده]]</f>
        <v>4749600000</v>
      </c>
      <c r="X343" s="1"/>
      <c r="Y343" s="1"/>
      <c r="Z343" s="1"/>
    </row>
    <row r="344" spans="1:26" ht="18.600000000000001">
      <c r="A344" s="360" t="s">
        <v>1127</v>
      </c>
      <c r="B344" s="360" t="s">
        <v>121</v>
      </c>
      <c r="C344" s="355" t="s">
        <v>1053</v>
      </c>
      <c r="D344">
        <v>20650</v>
      </c>
      <c r="E344" s="143">
        <v>240000</v>
      </c>
      <c r="F344" s="117">
        <v>1405</v>
      </c>
      <c r="G344" s="360" t="s">
        <v>304</v>
      </c>
      <c r="H344" s="144">
        <f>bargiri[[#This Row],[میزان بارگیری شده]]*bargiri[[#This Row],[فی]]</f>
        <v>4956000000</v>
      </c>
      <c r="I344" s="360">
        <f>IF(year=bargiri[[#This Row],[سال]],1,0)</f>
        <v>1</v>
      </c>
      <c r="J344" s="360" t="str">
        <f>VLOOKUP(bargiri[[#This Row],[شماره پیش فاکتور]],invoice[],16,0)</f>
        <v>انجمن</v>
      </c>
      <c r="K344" s="252">
        <f>bargiri[[#This Row],[فی]]*bargiri[[#This Row],[میزان بارگیری شده]]</f>
        <v>4956000000</v>
      </c>
      <c r="X344" s="1"/>
      <c r="Y344" s="1"/>
      <c r="Z344" s="1"/>
    </row>
    <row r="345" spans="1:26" ht="18.600000000000001">
      <c r="A345" s="360" t="s">
        <v>1127</v>
      </c>
      <c r="B345" s="360" t="s">
        <v>99</v>
      </c>
      <c r="C345" s="355" t="s">
        <v>821</v>
      </c>
      <c r="D345">
        <v>19050</v>
      </c>
      <c r="E345" s="143">
        <v>105000</v>
      </c>
      <c r="F345" s="117">
        <v>1405</v>
      </c>
      <c r="G345" s="360" t="s">
        <v>304</v>
      </c>
      <c r="H345" s="144">
        <f>bargiri[[#This Row],[میزان بارگیری شده]]*bargiri[[#This Row],[فی]]</f>
        <v>2000250000</v>
      </c>
      <c r="I345" s="360">
        <f>IF(year=bargiri[[#This Row],[سال]],1,0)</f>
        <v>1</v>
      </c>
      <c r="J345" s="360" t="str">
        <f>VLOOKUP(bargiri[[#This Row],[شماره پیش فاکتور]],invoice[],16,0)</f>
        <v>عادی</v>
      </c>
      <c r="K345" s="252">
        <f>bargiri[[#This Row],[فی]]*bargiri[[#This Row],[میزان بارگیری شده]]</f>
        <v>2000250000</v>
      </c>
      <c r="X345" s="1"/>
      <c r="Y345" s="1"/>
      <c r="Z345" s="1"/>
    </row>
    <row r="346" spans="1:26" ht="18.600000000000001">
      <c r="A346" s="360" t="s">
        <v>1127</v>
      </c>
      <c r="B346" s="360" t="s">
        <v>117</v>
      </c>
      <c r="C346" s="355" t="s">
        <v>757</v>
      </c>
      <c r="D346">
        <v>19930</v>
      </c>
      <c r="E346" s="143">
        <v>116500</v>
      </c>
      <c r="F346" s="117">
        <v>1405</v>
      </c>
      <c r="G346" s="360" t="s">
        <v>304</v>
      </c>
      <c r="H346" s="144">
        <f>bargiri[[#This Row],[میزان بارگیری شده]]*bargiri[[#This Row],[فی]]</f>
        <v>2321845000</v>
      </c>
      <c r="I346" s="360">
        <f>IF(year=bargiri[[#This Row],[سال]],1,0)</f>
        <v>1</v>
      </c>
      <c r="J346" s="360" t="str">
        <f>VLOOKUP(bargiri[[#This Row],[شماره پیش فاکتور]],invoice[],16,0)</f>
        <v>تعادلی</v>
      </c>
      <c r="K346" s="252">
        <f>bargiri[[#This Row],[فی]]*bargiri[[#This Row],[میزان بارگیری شده]]</f>
        <v>2321845000</v>
      </c>
      <c r="X346" s="1"/>
      <c r="Y346" s="1"/>
      <c r="Z346" s="1"/>
    </row>
    <row r="347" spans="1:26" ht="18.600000000000001">
      <c r="A347" s="360" t="s">
        <v>1123</v>
      </c>
      <c r="B347" s="360" t="s">
        <v>113</v>
      </c>
      <c r="C347" s="355" t="s">
        <v>822</v>
      </c>
      <c r="D347">
        <v>18680</v>
      </c>
      <c r="E347" s="143">
        <v>105000</v>
      </c>
      <c r="F347" s="117">
        <v>1405</v>
      </c>
      <c r="G347" s="360" t="s">
        <v>304</v>
      </c>
      <c r="H347" s="144">
        <f>bargiri[[#This Row],[میزان بارگیری شده]]*bargiri[[#This Row],[فی]]</f>
        <v>1961400000</v>
      </c>
      <c r="I347" s="360">
        <f>IF(year=bargiri[[#This Row],[سال]],1,0)</f>
        <v>1</v>
      </c>
      <c r="J347" s="360" t="str">
        <f>VLOOKUP(bargiri[[#This Row],[شماره پیش فاکتور]],invoice[],16,0)</f>
        <v>عادی</v>
      </c>
      <c r="K347" s="252">
        <f>bargiri[[#This Row],[فی]]*bargiri[[#This Row],[میزان بارگیری شده]]</f>
        <v>1961400000</v>
      </c>
      <c r="X347" s="1"/>
      <c r="Y347" s="1"/>
      <c r="Z347" s="1"/>
    </row>
    <row r="348" spans="1:26" ht="18.600000000000001">
      <c r="A348" s="360" t="s">
        <v>1123</v>
      </c>
      <c r="B348" s="360" t="s">
        <v>116</v>
      </c>
      <c r="C348" s="355" t="s">
        <v>925</v>
      </c>
      <c r="D348">
        <v>19990</v>
      </c>
      <c r="E348" s="143">
        <v>116500</v>
      </c>
      <c r="F348" s="117">
        <v>1405</v>
      </c>
      <c r="G348" s="360" t="s">
        <v>304</v>
      </c>
      <c r="H348" s="144">
        <f>bargiri[[#This Row],[میزان بارگیری شده]]*bargiri[[#This Row],[فی]]</f>
        <v>2328835000</v>
      </c>
      <c r="I348" s="360">
        <f>IF(year=bargiri[[#This Row],[سال]],1,0)</f>
        <v>1</v>
      </c>
      <c r="J348" s="360" t="str">
        <f>VLOOKUP(bargiri[[#This Row],[شماره پیش فاکتور]],invoice[],16,0)</f>
        <v>تعادلی</v>
      </c>
      <c r="K348" s="252">
        <f>bargiri[[#This Row],[فی]]*bargiri[[#This Row],[میزان بارگیری شده]]</f>
        <v>2328835000</v>
      </c>
      <c r="X348" s="1"/>
      <c r="Y348" s="1"/>
      <c r="Z348" s="1"/>
    </row>
    <row r="349" spans="1:26" ht="18.600000000000001">
      <c r="A349" s="360" t="s">
        <v>1122</v>
      </c>
      <c r="B349" s="360" t="s">
        <v>121</v>
      </c>
      <c r="C349" s="355" t="s">
        <v>719</v>
      </c>
      <c r="D349">
        <v>1910</v>
      </c>
      <c r="E349" s="143">
        <v>167500</v>
      </c>
      <c r="F349" s="117">
        <v>1405</v>
      </c>
      <c r="G349" s="360" t="s">
        <v>304</v>
      </c>
      <c r="H349" s="144">
        <f>bargiri[[#This Row],[میزان بارگیری شده]]*bargiri[[#This Row],[فی]]</f>
        <v>319925000</v>
      </c>
      <c r="I349" s="360">
        <f>IF(year=bargiri[[#This Row],[سال]],1,0)</f>
        <v>1</v>
      </c>
      <c r="J349" s="360" t="str">
        <f>VLOOKUP(bargiri[[#This Row],[شماره پیش فاکتور]],invoice[],16,0)</f>
        <v>بورس</v>
      </c>
      <c r="K349" s="252">
        <f>bargiri[[#This Row],[فی]]*bargiri[[#This Row],[میزان بارگیری شده]]</f>
        <v>319925000</v>
      </c>
      <c r="X349" s="1"/>
      <c r="Y349" s="1"/>
      <c r="Z349" s="1"/>
    </row>
    <row r="350" spans="1:26" ht="18.600000000000001">
      <c r="A350" s="360" t="s">
        <v>1122</v>
      </c>
      <c r="B350" s="360" t="s">
        <v>121</v>
      </c>
      <c r="C350" s="355" t="s">
        <v>1053</v>
      </c>
      <c r="D350">
        <v>18100</v>
      </c>
      <c r="E350" s="143">
        <v>240000</v>
      </c>
      <c r="F350" s="117">
        <v>1405</v>
      </c>
      <c r="G350" s="360" t="s">
        <v>304</v>
      </c>
      <c r="H350" s="144">
        <f>bargiri[[#This Row],[میزان بارگیری شده]]*bargiri[[#This Row],[فی]]</f>
        <v>4344000000</v>
      </c>
      <c r="I350" s="360">
        <f>IF(year=bargiri[[#This Row],[سال]],1,0)</f>
        <v>1</v>
      </c>
      <c r="J350" s="360" t="str">
        <f>VLOOKUP(bargiri[[#This Row],[شماره پیش فاکتور]],invoice[],16,0)</f>
        <v>انجمن</v>
      </c>
      <c r="K350" s="252">
        <f>bargiri[[#This Row],[فی]]*bargiri[[#This Row],[میزان بارگیری شده]]</f>
        <v>4344000000</v>
      </c>
      <c r="X350" s="1"/>
      <c r="Y350" s="1"/>
      <c r="Z350" s="1"/>
    </row>
    <row r="351" spans="1:26" ht="18.600000000000001">
      <c r="A351" s="360" t="s">
        <v>1122</v>
      </c>
      <c r="B351" s="360" t="s">
        <v>106</v>
      </c>
      <c r="C351" s="355" t="s">
        <v>913</v>
      </c>
      <c r="D351">
        <v>21160</v>
      </c>
      <c r="E351" s="143">
        <v>125000</v>
      </c>
      <c r="F351" s="117">
        <v>1405</v>
      </c>
      <c r="G351" s="360" t="s">
        <v>304</v>
      </c>
      <c r="H351" s="144">
        <f>bargiri[[#This Row],[میزان بارگیری شده]]*bargiri[[#This Row],[فی]]</f>
        <v>2645000000</v>
      </c>
      <c r="I351" s="360">
        <f>IF(year=bargiri[[#This Row],[سال]],1,0)</f>
        <v>1</v>
      </c>
      <c r="J351" s="360" t="str">
        <f>VLOOKUP(bargiri[[#This Row],[شماره پیش فاکتور]],invoice[],16,0)</f>
        <v>عادی</v>
      </c>
      <c r="K351" s="252">
        <f>bargiri[[#This Row],[فی]]*bargiri[[#This Row],[میزان بارگیری شده]]</f>
        <v>2645000000</v>
      </c>
      <c r="X351" s="1"/>
      <c r="Y351" s="1"/>
      <c r="Z351" s="1"/>
    </row>
    <row r="352" spans="1:26" ht="18.600000000000001">
      <c r="A352" s="360" t="s">
        <v>1122</v>
      </c>
      <c r="B352" s="360" t="s">
        <v>116</v>
      </c>
      <c r="C352" s="355" t="s">
        <v>899</v>
      </c>
      <c r="D352">
        <v>11205</v>
      </c>
      <c r="E352" s="143">
        <v>116500</v>
      </c>
      <c r="F352" s="117">
        <v>1405</v>
      </c>
      <c r="G352" s="360" t="s">
        <v>304</v>
      </c>
      <c r="H352" s="144">
        <f>bargiri[[#This Row],[میزان بارگیری شده]]*bargiri[[#This Row],[فی]]</f>
        <v>1305382500</v>
      </c>
      <c r="I352" s="360">
        <f>IF(year=bargiri[[#This Row],[سال]],1,0)</f>
        <v>1</v>
      </c>
      <c r="J352" s="360" t="str">
        <f>VLOOKUP(bargiri[[#This Row],[شماره پیش فاکتور]],invoice[],16,0)</f>
        <v>تعادلی</v>
      </c>
      <c r="K352" s="252">
        <f>bargiri[[#This Row],[فی]]*bargiri[[#This Row],[میزان بارگیری شده]]</f>
        <v>1305382500</v>
      </c>
      <c r="X352" s="1"/>
      <c r="Y352" s="1"/>
      <c r="Z352" s="1"/>
    </row>
    <row r="353" spans="1:26" ht="18.600000000000001">
      <c r="A353" s="360" t="s">
        <v>1122</v>
      </c>
      <c r="B353" s="360" t="s">
        <v>116</v>
      </c>
      <c r="C353" s="355" t="s">
        <v>959</v>
      </c>
      <c r="D353">
        <v>8855</v>
      </c>
      <c r="E353" s="143">
        <v>167500</v>
      </c>
      <c r="F353" s="117">
        <v>1405</v>
      </c>
      <c r="G353" s="360" t="s">
        <v>304</v>
      </c>
      <c r="H353" s="144">
        <f>bargiri[[#This Row],[میزان بارگیری شده]]*bargiri[[#This Row],[فی]]</f>
        <v>1483212500</v>
      </c>
      <c r="I353" s="360">
        <f>IF(year=bargiri[[#This Row],[سال]],1,0)</f>
        <v>1</v>
      </c>
      <c r="J353" s="360" t="str">
        <f>VLOOKUP(bargiri[[#This Row],[شماره پیش فاکتور]],invoice[],16,0)</f>
        <v>بورس</v>
      </c>
      <c r="K353" s="252">
        <f>bargiri[[#This Row],[فی]]*bargiri[[#This Row],[میزان بارگیری شده]]</f>
        <v>1483212500</v>
      </c>
      <c r="X353" s="1"/>
      <c r="Y353" s="1"/>
      <c r="Z353" s="1"/>
    </row>
    <row r="354" spans="1:26" ht="18.600000000000001">
      <c r="A354" s="360" t="s">
        <v>1122</v>
      </c>
      <c r="B354" s="360" t="s">
        <v>104</v>
      </c>
      <c r="C354" s="355" t="s">
        <v>1052</v>
      </c>
      <c r="D354">
        <v>19770</v>
      </c>
      <c r="E354" s="143">
        <v>240000</v>
      </c>
      <c r="F354" s="117">
        <v>1405</v>
      </c>
      <c r="G354" s="360" t="s">
        <v>304</v>
      </c>
      <c r="H354" s="144">
        <f>bargiri[[#This Row],[میزان بارگیری شده]]*bargiri[[#This Row],[فی]]</f>
        <v>4744800000</v>
      </c>
      <c r="I354" s="360">
        <f>IF(year=bargiri[[#This Row],[سال]],1,0)</f>
        <v>1</v>
      </c>
      <c r="J354" s="360" t="str">
        <f>VLOOKUP(bargiri[[#This Row],[شماره پیش فاکتور]],invoice[],16,0)</f>
        <v>انجمن</v>
      </c>
      <c r="K354" s="252">
        <f>bargiri[[#This Row],[فی]]*bargiri[[#This Row],[میزان بارگیری شده]]</f>
        <v>4744800000</v>
      </c>
      <c r="X354" s="1"/>
      <c r="Y354" s="1"/>
      <c r="Z354" s="1"/>
    </row>
    <row r="355" spans="1:26" ht="18.600000000000001">
      <c r="A355" s="360" t="s">
        <v>1121</v>
      </c>
      <c r="B355" s="360" t="s">
        <v>121</v>
      </c>
      <c r="C355" s="355" t="s">
        <v>1053</v>
      </c>
      <c r="D355">
        <v>17660</v>
      </c>
      <c r="E355" s="143">
        <v>240000</v>
      </c>
      <c r="F355" s="117">
        <v>1405</v>
      </c>
      <c r="G355" s="360" t="s">
        <v>304</v>
      </c>
      <c r="H355" s="144">
        <f>bargiri[[#This Row],[میزان بارگیری شده]]*bargiri[[#This Row],[فی]]</f>
        <v>4238400000</v>
      </c>
      <c r="I355" s="360">
        <f>IF(year=bargiri[[#This Row],[سال]],1,0)</f>
        <v>1</v>
      </c>
      <c r="J355" s="360" t="str">
        <f>VLOOKUP(bargiri[[#This Row],[شماره پیش فاکتور]],invoice[],16,0)</f>
        <v>انجمن</v>
      </c>
      <c r="K355" s="252">
        <f>bargiri[[#This Row],[فی]]*bargiri[[#This Row],[میزان بارگیری شده]]</f>
        <v>4238400000</v>
      </c>
      <c r="X355" s="1"/>
      <c r="Y355" s="1"/>
      <c r="Z355" s="1"/>
    </row>
    <row r="356" spans="1:26" ht="18.600000000000001">
      <c r="A356" s="360" t="s">
        <v>1102</v>
      </c>
      <c r="B356" s="360" t="s">
        <v>101</v>
      </c>
      <c r="C356" s="355" t="s">
        <v>973</v>
      </c>
      <c r="D356">
        <v>11615</v>
      </c>
      <c r="E356" s="143">
        <v>116500</v>
      </c>
      <c r="F356" s="117">
        <v>1405</v>
      </c>
      <c r="G356" s="360" t="s">
        <v>304</v>
      </c>
      <c r="H356" s="144">
        <f>bargiri[[#This Row],[میزان بارگیری شده]]*bargiri[[#This Row],[فی]]</f>
        <v>1353147500</v>
      </c>
      <c r="I356" s="360">
        <f>IF(year=bargiri[[#This Row],[سال]],1,0)</f>
        <v>1</v>
      </c>
      <c r="J356" s="360" t="str">
        <f>VLOOKUP(bargiri[[#This Row],[شماره پیش فاکتور]],invoice[],16,0)</f>
        <v>تعادلی</v>
      </c>
      <c r="K356" s="252">
        <f>bargiri[[#This Row],[فی]]*bargiri[[#This Row],[میزان بارگیری شده]]</f>
        <v>1353147500</v>
      </c>
      <c r="X356" s="1"/>
      <c r="Y356" s="1"/>
      <c r="Z356" s="1"/>
    </row>
    <row r="357" spans="1:26" ht="18.600000000000001">
      <c r="A357" s="360" t="s">
        <v>1102</v>
      </c>
      <c r="B357" s="360" t="s">
        <v>101</v>
      </c>
      <c r="C357" s="355" t="s">
        <v>1103</v>
      </c>
      <c r="D357">
        <v>10745</v>
      </c>
      <c r="E357" s="143">
        <v>240000</v>
      </c>
      <c r="F357" s="117">
        <v>1405</v>
      </c>
      <c r="G357" s="360" t="s">
        <v>304</v>
      </c>
      <c r="H357" s="144">
        <f>bargiri[[#This Row],[میزان بارگیری شده]]*bargiri[[#This Row],[فی]]</f>
        <v>2578800000</v>
      </c>
      <c r="I357" s="360">
        <f>IF(year=bargiri[[#This Row],[سال]],1,0)</f>
        <v>1</v>
      </c>
      <c r="J357" s="360" t="str">
        <f>VLOOKUP(bargiri[[#This Row],[شماره پیش فاکتور]],invoice[],16,0)</f>
        <v>انجمن</v>
      </c>
      <c r="K357" s="252">
        <f>bargiri[[#This Row],[فی]]*bargiri[[#This Row],[میزان بارگیری شده]]</f>
        <v>2578800000</v>
      </c>
      <c r="X357" s="1"/>
      <c r="Y357" s="1"/>
      <c r="Z357" s="1"/>
    </row>
    <row r="358" spans="1:26" ht="18.600000000000001">
      <c r="A358" s="360" t="s">
        <v>1102</v>
      </c>
      <c r="B358" s="360" t="s">
        <v>117</v>
      </c>
      <c r="C358" s="355" t="s">
        <v>725</v>
      </c>
      <c r="D358">
        <v>20</v>
      </c>
      <c r="E358" s="143">
        <v>116500</v>
      </c>
      <c r="F358" s="117">
        <v>1405</v>
      </c>
      <c r="G358" s="360" t="s">
        <v>304</v>
      </c>
      <c r="H358" s="144">
        <f>bargiri[[#This Row],[میزان بارگیری شده]]*bargiri[[#This Row],[فی]]</f>
        <v>2330000</v>
      </c>
      <c r="I358" s="360">
        <f>IF(year=bargiri[[#This Row],[سال]],1,0)</f>
        <v>1</v>
      </c>
      <c r="J358" s="360" t="str">
        <f>VLOOKUP(bargiri[[#This Row],[شماره پیش فاکتور]],invoice[],16,0)</f>
        <v>تعادلی</v>
      </c>
      <c r="K358" s="252">
        <f>bargiri[[#This Row],[فی]]*bargiri[[#This Row],[میزان بارگیری شده]]</f>
        <v>2330000</v>
      </c>
      <c r="X358" s="1"/>
      <c r="Y358" s="1"/>
      <c r="Z358" s="1"/>
    </row>
    <row r="359" spans="1:26" ht="18.600000000000001">
      <c r="A359" s="360" t="s">
        <v>1102</v>
      </c>
      <c r="B359" s="360" t="s">
        <v>117</v>
      </c>
      <c r="C359" s="355" t="s">
        <v>1013</v>
      </c>
      <c r="D359">
        <v>20070</v>
      </c>
      <c r="E359" s="143">
        <v>120000</v>
      </c>
      <c r="F359" s="117">
        <v>1405</v>
      </c>
      <c r="G359" s="360" t="s">
        <v>304</v>
      </c>
      <c r="H359" s="144">
        <f>bargiri[[#This Row],[میزان بارگیری شده]]*bargiri[[#This Row],[فی]]</f>
        <v>2408400000</v>
      </c>
      <c r="I359" s="360">
        <f>IF(year=bargiri[[#This Row],[سال]],1,0)</f>
        <v>1</v>
      </c>
      <c r="J359" s="360" t="str">
        <f>VLOOKUP(bargiri[[#This Row],[شماره پیش فاکتور]],invoice[],16,0)</f>
        <v>عادی</v>
      </c>
      <c r="K359" s="252">
        <f>bargiri[[#This Row],[فی]]*bargiri[[#This Row],[میزان بارگیری شده]]</f>
        <v>2408400000</v>
      </c>
      <c r="X359" s="1"/>
      <c r="Y359" s="1"/>
      <c r="Z359" s="1"/>
    </row>
    <row r="360" spans="1:26" ht="18.600000000000001">
      <c r="A360" s="360" t="s">
        <v>1104</v>
      </c>
      <c r="B360" s="360" t="s">
        <v>116</v>
      </c>
      <c r="C360" s="355" t="s">
        <v>899</v>
      </c>
      <c r="D360">
        <v>15010</v>
      </c>
      <c r="E360" s="143">
        <v>116500</v>
      </c>
      <c r="F360" s="117">
        <v>1405</v>
      </c>
      <c r="G360" s="360" t="s">
        <v>304</v>
      </c>
      <c r="H360" s="144">
        <f>bargiri[[#This Row],[میزان بارگیری شده]]*bargiri[[#This Row],[فی]]</f>
        <v>1748665000</v>
      </c>
      <c r="I360" s="360">
        <f>IF(year=bargiri[[#This Row],[سال]],1,0)</f>
        <v>1</v>
      </c>
      <c r="J360" s="360" t="str">
        <f>VLOOKUP(bargiri[[#This Row],[شماره پیش فاکتور]],invoice[],16,0)</f>
        <v>تعادلی</v>
      </c>
      <c r="K360" s="252">
        <f>bargiri[[#This Row],[فی]]*bargiri[[#This Row],[میزان بارگیری شده]]</f>
        <v>1748665000</v>
      </c>
      <c r="X360" s="1"/>
      <c r="Y360" s="1"/>
      <c r="Z360" s="1"/>
    </row>
    <row r="361" spans="1:26" ht="18.600000000000001">
      <c r="A361" s="360" t="s">
        <v>1104</v>
      </c>
      <c r="B361" s="360" t="s">
        <v>116</v>
      </c>
      <c r="C361" s="355" t="s">
        <v>899</v>
      </c>
      <c r="D361">
        <v>8070</v>
      </c>
      <c r="E361" s="143">
        <v>116500</v>
      </c>
      <c r="F361" s="117">
        <v>1405</v>
      </c>
      <c r="G361" s="360" t="s">
        <v>304</v>
      </c>
      <c r="H361" s="144">
        <f>bargiri[[#This Row],[میزان بارگیری شده]]*bargiri[[#This Row],[فی]]</f>
        <v>940155000</v>
      </c>
      <c r="I361" s="360">
        <f>IF(year=bargiri[[#This Row],[سال]],1,0)</f>
        <v>1</v>
      </c>
      <c r="J361" s="360" t="str">
        <f>VLOOKUP(bargiri[[#This Row],[شماره پیش فاکتور]],invoice[],16,0)</f>
        <v>تعادلی</v>
      </c>
      <c r="K361" s="252">
        <f>bargiri[[#This Row],[فی]]*bargiri[[#This Row],[میزان بارگیری شده]]</f>
        <v>940155000</v>
      </c>
      <c r="X361" s="1"/>
      <c r="Y361" s="1"/>
      <c r="Z361" s="1"/>
    </row>
    <row r="362" spans="1:26" ht="18.600000000000001">
      <c r="A362" s="360" t="s">
        <v>1104</v>
      </c>
      <c r="B362" s="360" t="s">
        <v>99</v>
      </c>
      <c r="C362" s="355" t="s">
        <v>821</v>
      </c>
      <c r="D362">
        <v>19120</v>
      </c>
      <c r="E362" s="143">
        <v>105000</v>
      </c>
      <c r="F362" s="117">
        <v>1405</v>
      </c>
      <c r="G362" s="360" t="s">
        <v>304</v>
      </c>
      <c r="H362" s="144">
        <f>bargiri[[#This Row],[میزان بارگیری شده]]*bargiri[[#This Row],[فی]]</f>
        <v>2007600000</v>
      </c>
      <c r="I362" s="360">
        <f>IF(year=bargiri[[#This Row],[سال]],1,0)</f>
        <v>1</v>
      </c>
      <c r="J362" s="360" t="str">
        <f>VLOOKUP(bargiri[[#This Row],[شماره پیش فاکتور]],invoice[],16,0)</f>
        <v>عادی</v>
      </c>
      <c r="K362" s="252">
        <f>bargiri[[#This Row],[فی]]*bargiri[[#This Row],[میزان بارگیری شده]]</f>
        <v>2007600000</v>
      </c>
      <c r="X362" s="1"/>
      <c r="Y362" s="1"/>
      <c r="Z362" s="1"/>
    </row>
    <row r="363" spans="1:26" ht="18.600000000000001">
      <c r="A363" s="360" t="s">
        <v>1104</v>
      </c>
      <c r="B363" s="360" t="s">
        <v>118</v>
      </c>
      <c r="C363" s="355" t="s">
        <v>1097</v>
      </c>
      <c r="D363">
        <v>20570</v>
      </c>
      <c r="E363" s="143">
        <v>125844</v>
      </c>
      <c r="F363" s="117">
        <v>1405</v>
      </c>
      <c r="G363" s="360" t="s">
        <v>304</v>
      </c>
      <c r="H363" s="144">
        <f>bargiri[[#This Row],[میزان بارگیری شده]]*bargiri[[#This Row],[فی]]</f>
        <v>2588611080</v>
      </c>
      <c r="I363" s="360">
        <f>IF(year=bargiri[[#This Row],[سال]],1,0)</f>
        <v>1</v>
      </c>
      <c r="J363" s="360" t="str">
        <f>VLOOKUP(bargiri[[#This Row],[شماره پیش فاکتور]],invoice[],16,0)</f>
        <v>عادی</v>
      </c>
      <c r="K363" s="252">
        <f>bargiri[[#This Row],[فی]]*bargiri[[#This Row],[میزان بارگیری شده]]</f>
        <v>2588611080</v>
      </c>
      <c r="X363" s="1"/>
      <c r="Y363" s="1"/>
      <c r="Z363" s="1"/>
    </row>
    <row r="364" spans="1:26" ht="18.600000000000001">
      <c r="A364" s="360" t="s">
        <v>1104</v>
      </c>
      <c r="B364" s="360" t="s">
        <v>118</v>
      </c>
      <c r="C364" s="355" t="s">
        <v>1097</v>
      </c>
      <c r="D364">
        <v>20560</v>
      </c>
      <c r="E364" s="143">
        <v>125844</v>
      </c>
      <c r="F364" s="117">
        <v>1405</v>
      </c>
      <c r="G364" s="360" t="s">
        <v>304</v>
      </c>
      <c r="H364" s="144">
        <f>bargiri[[#This Row],[میزان بارگیری شده]]*bargiri[[#This Row],[فی]]</f>
        <v>2587352640</v>
      </c>
      <c r="I364" s="360">
        <f>IF(year=bargiri[[#This Row],[سال]],1,0)</f>
        <v>1</v>
      </c>
      <c r="J364" s="360" t="str">
        <f>VLOOKUP(bargiri[[#This Row],[شماره پیش فاکتور]],invoice[],16,0)</f>
        <v>عادی</v>
      </c>
      <c r="K364" s="252">
        <f>bargiri[[#This Row],[فی]]*bargiri[[#This Row],[میزان بارگیری شده]]</f>
        <v>2587352640</v>
      </c>
      <c r="X364" s="1"/>
      <c r="Y364" s="1"/>
      <c r="Z364" s="1"/>
    </row>
    <row r="365" spans="1:26" ht="18.600000000000001">
      <c r="A365" s="360" t="s">
        <v>1104</v>
      </c>
      <c r="B365" s="360" t="s">
        <v>118</v>
      </c>
      <c r="C365" s="355" t="s">
        <v>1097</v>
      </c>
      <c r="D365">
        <v>20530</v>
      </c>
      <c r="E365" s="143">
        <v>125844</v>
      </c>
      <c r="F365" s="117">
        <v>1405</v>
      </c>
      <c r="G365" s="360" t="s">
        <v>304</v>
      </c>
      <c r="H365" s="144">
        <f>bargiri[[#This Row],[میزان بارگیری شده]]*bargiri[[#This Row],[فی]]</f>
        <v>2583577320</v>
      </c>
      <c r="I365" s="360">
        <f>IF(year=bargiri[[#This Row],[سال]],1,0)</f>
        <v>1</v>
      </c>
      <c r="J365" s="360" t="str">
        <f>VLOOKUP(bargiri[[#This Row],[شماره پیش فاکتور]],invoice[],16,0)</f>
        <v>عادی</v>
      </c>
      <c r="K365" s="252">
        <f>bargiri[[#This Row],[فی]]*bargiri[[#This Row],[میزان بارگیری شده]]</f>
        <v>2583577320</v>
      </c>
      <c r="X365" s="1"/>
      <c r="Y365" s="1"/>
      <c r="Z365" s="1"/>
    </row>
    <row r="366" spans="1:26" ht="18.600000000000001">
      <c r="A366" s="360" t="s">
        <v>1104</v>
      </c>
      <c r="B366" s="360" t="s">
        <v>118</v>
      </c>
      <c r="C366" s="355" t="s">
        <v>1097</v>
      </c>
      <c r="D366">
        <v>20460</v>
      </c>
      <c r="E366" s="143">
        <v>125844</v>
      </c>
      <c r="F366" s="117">
        <v>1405</v>
      </c>
      <c r="G366" s="360" t="s">
        <v>304</v>
      </c>
      <c r="H366" s="144">
        <f>bargiri[[#This Row],[میزان بارگیری شده]]*bargiri[[#This Row],[فی]]</f>
        <v>2574768240</v>
      </c>
      <c r="I366" s="360">
        <f>IF(year=bargiri[[#This Row],[سال]],1,0)</f>
        <v>1</v>
      </c>
      <c r="J366" s="360" t="str">
        <f>VLOOKUP(bargiri[[#This Row],[شماره پیش فاکتور]],invoice[],16,0)</f>
        <v>عادی</v>
      </c>
      <c r="K366" s="252">
        <f>bargiri[[#This Row],[فی]]*bargiri[[#This Row],[میزان بارگیری شده]]</f>
        <v>2574768240</v>
      </c>
      <c r="X366" s="1"/>
      <c r="Y366" s="1"/>
      <c r="Z366" s="1"/>
    </row>
    <row r="367" spans="1:26" ht="18.600000000000001">
      <c r="A367" s="360" t="s">
        <v>1104</v>
      </c>
      <c r="B367" s="360" t="s">
        <v>99</v>
      </c>
      <c r="C367" s="355" t="s">
        <v>821</v>
      </c>
      <c r="D367">
        <v>19960</v>
      </c>
      <c r="E367" s="143">
        <v>105000</v>
      </c>
      <c r="F367" s="117">
        <v>1405</v>
      </c>
      <c r="G367" s="360" t="s">
        <v>304</v>
      </c>
      <c r="H367" s="144">
        <f>bargiri[[#This Row],[میزان بارگیری شده]]*bargiri[[#This Row],[فی]]</f>
        <v>2095800000</v>
      </c>
      <c r="I367" s="360">
        <f>IF(year=bargiri[[#This Row],[سال]],1,0)</f>
        <v>1</v>
      </c>
      <c r="J367" s="360" t="str">
        <f>VLOOKUP(bargiri[[#This Row],[شماره پیش فاکتور]],invoice[],16,0)</f>
        <v>عادی</v>
      </c>
      <c r="K367" s="252">
        <f>bargiri[[#This Row],[فی]]*bargiri[[#This Row],[میزان بارگیری شده]]</f>
        <v>2095800000</v>
      </c>
      <c r="X367" s="1"/>
      <c r="Y367" s="1"/>
      <c r="Z367" s="1"/>
    </row>
    <row r="368" spans="1:26" ht="18.600000000000001">
      <c r="A368" s="360" t="s">
        <v>1101</v>
      </c>
      <c r="B368" s="360" t="s">
        <v>1100</v>
      </c>
      <c r="C368" s="355" t="s">
        <v>1099</v>
      </c>
      <c r="D368">
        <v>9980</v>
      </c>
      <c r="E368" s="143">
        <v>240000</v>
      </c>
      <c r="F368" s="117">
        <v>1405</v>
      </c>
      <c r="G368" s="360" t="s">
        <v>311</v>
      </c>
      <c r="H368" s="144">
        <f>bargiri[[#This Row],[میزان بارگیری شده]]*bargiri[[#This Row],[فی]]</f>
        <v>2395200000</v>
      </c>
      <c r="I368" s="360">
        <f>IF(year=bargiri[[#This Row],[سال]],1,0)</f>
        <v>1</v>
      </c>
      <c r="J368" s="360" t="str">
        <f>VLOOKUP(bargiri[[#This Row],[شماره پیش فاکتور]],invoice[],16,0)</f>
        <v>انجمن</v>
      </c>
      <c r="K368" s="252">
        <f>bargiri[[#This Row],[فی]]*bargiri[[#This Row],[میزان بارگیری شده]]</f>
        <v>2395200000</v>
      </c>
      <c r="X368" s="1"/>
      <c r="Y368" s="1"/>
      <c r="Z368" s="1"/>
    </row>
    <row r="369" spans="1:26" ht="18.600000000000001">
      <c r="A369" s="360" t="s">
        <v>1101</v>
      </c>
      <c r="B369" s="360" t="s">
        <v>118</v>
      </c>
      <c r="C369" s="355" t="s">
        <v>1097</v>
      </c>
      <c r="D369">
        <v>20880</v>
      </c>
      <c r="E369" s="143">
        <v>125844</v>
      </c>
      <c r="F369" s="117">
        <v>1405</v>
      </c>
      <c r="G369" s="360" t="s">
        <v>311</v>
      </c>
      <c r="H369" s="144">
        <f>bargiri[[#This Row],[میزان بارگیری شده]]*bargiri[[#This Row],[فی]]</f>
        <v>2627622720</v>
      </c>
      <c r="I369" s="360">
        <f>IF(year=bargiri[[#This Row],[سال]],1,0)</f>
        <v>1</v>
      </c>
      <c r="J369" s="360" t="str">
        <f>VLOOKUP(bargiri[[#This Row],[شماره پیش فاکتور]],invoice[],16,0)</f>
        <v>عادی</v>
      </c>
      <c r="K369" s="252">
        <f>bargiri[[#This Row],[فی]]*bargiri[[#This Row],[میزان بارگیری شده]]</f>
        <v>2627622720</v>
      </c>
      <c r="X369" s="1"/>
      <c r="Y369" s="1"/>
      <c r="Z369" s="1"/>
    </row>
    <row r="370" spans="1:26" ht="18.600000000000001">
      <c r="A370" s="360" t="s">
        <v>1101</v>
      </c>
      <c r="B370" s="360" t="s">
        <v>118</v>
      </c>
      <c r="C370" s="355" t="s">
        <v>1097</v>
      </c>
      <c r="D370">
        <v>20950</v>
      </c>
      <c r="E370" s="143">
        <v>125844</v>
      </c>
      <c r="F370" s="117">
        <v>1405</v>
      </c>
      <c r="G370" s="360" t="s">
        <v>311</v>
      </c>
      <c r="H370" s="144">
        <f>bargiri[[#This Row],[میزان بارگیری شده]]*bargiri[[#This Row],[فی]]</f>
        <v>2636431800</v>
      </c>
      <c r="I370" s="360">
        <f>IF(year=bargiri[[#This Row],[سال]],1,0)</f>
        <v>1</v>
      </c>
      <c r="J370" s="360" t="str">
        <f>VLOOKUP(bargiri[[#This Row],[شماره پیش فاکتور]],invoice[],16,0)</f>
        <v>عادی</v>
      </c>
      <c r="K370" s="252">
        <f>bargiri[[#This Row],[فی]]*bargiri[[#This Row],[میزان بارگیری شده]]</f>
        <v>2636431800</v>
      </c>
      <c r="X370" s="1"/>
      <c r="Y370" s="1"/>
      <c r="Z370" s="1"/>
    </row>
    <row r="371" spans="1:26" ht="18.600000000000001">
      <c r="A371" s="360" t="s">
        <v>1101</v>
      </c>
      <c r="B371" s="360" t="s">
        <v>118</v>
      </c>
      <c r="C371" s="355" t="s">
        <v>1097</v>
      </c>
      <c r="D371">
        <v>20690</v>
      </c>
      <c r="E371" s="143">
        <v>125844</v>
      </c>
      <c r="F371" s="117">
        <v>1405</v>
      </c>
      <c r="G371" s="360" t="s">
        <v>311</v>
      </c>
      <c r="H371" s="144">
        <f>bargiri[[#This Row],[میزان بارگیری شده]]*bargiri[[#This Row],[فی]]</f>
        <v>2603712360</v>
      </c>
      <c r="I371" s="360">
        <f>IF(year=bargiri[[#This Row],[سال]],1,0)</f>
        <v>1</v>
      </c>
      <c r="J371" s="360" t="str">
        <f>VLOOKUP(bargiri[[#This Row],[شماره پیش فاکتور]],invoice[],16,0)</f>
        <v>عادی</v>
      </c>
      <c r="K371" s="252">
        <f>bargiri[[#This Row],[فی]]*bargiri[[#This Row],[میزان بارگیری شده]]</f>
        <v>2603712360</v>
      </c>
      <c r="X371" s="1"/>
      <c r="Y371" s="1"/>
      <c r="Z371" s="1"/>
    </row>
    <row r="372" spans="1:26" ht="18.600000000000001">
      <c r="A372" s="360" t="s">
        <v>1101</v>
      </c>
      <c r="B372" s="360" t="s">
        <v>118</v>
      </c>
      <c r="C372" s="355" t="s">
        <v>1097</v>
      </c>
      <c r="D372">
        <v>20470</v>
      </c>
      <c r="E372" s="143">
        <v>125844</v>
      </c>
      <c r="F372" s="117">
        <v>1405</v>
      </c>
      <c r="G372" s="360" t="s">
        <v>311</v>
      </c>
      <c r="H372" s="144">
        <f>bargiri[[#This Row],[میزان بارگیری شده]]*bargiri[[#This Row],[فی]]</f>
        <v>2576026680</v>
      </c>
      <c r="I372" s="360">
        <f>IF(year=bargiri[[#This Row],[سال]],1,0)</f>
        <v>1</v>
      </c>
      <c r="J372" s="360" t="str">
        <f>VLOOKUP(bargiri[[#This Row],[شماره پیش فاکتور]],invoice[],16,0)</f>
        <v>عادی</v>
      </c>
      <c r="K372" s="252">
        <f>bargiri[[#This Row],[فی]]*bargiri[[#This Row],[میزان بارگیری شده]]</f>
        <v>2576026680</v>
      </c>
      <c r="X372" s="1"/>
      <c r="Y372" s="1"/>
      <c r="Z372" s="1"/>
    </row>
    <row r="373" spans="1:26" ht="18.600000000000001">
      <c r="A373" s="360" t="s">
        <v>1101</v>
      </c>
      <c r="B373" s="360" t="s">
        <v>113</v>
      </c>
      <c r="C373" s="355" t="s">
        <v>822</v>
      </c>
      <c r="D373">
        <v>19920</v>
      </c>
      <c r="E373" s="143">
        <v>105000</v>
      </c>
      <c r="F373" s="117">
        <v>1405</v>
      </c>
      <c r="G373" s="360" t="s">
        <v>311</v>
      </c>
      <c r="H373" s="144">
        <f>bargiri[[#This Row],[میزان بارگیری شده]]*bargiri[[#This Row],[فی]]</f>
        <v>2091600000</v>
      </c>
      <c r="I373" s="360">
        <f>IF(year=bargiri[[#This Row],[سال]],1,0)</f>
        <v>1</v>
      </c>
      <c r="J373" s="360" t="str">
        <f>VLOOKUP(bargiri[[#This Row],[شماره پیش فاکتور]],invoice[],16,0)</f>
        <v>عادی</v>
      </c>
      <c r="K373" s="252">
        <f>bargiri[[#This Row],[فی]]*bargiri[[#This Row],[میزان بارگیری شده]]</f>
        <v>2091600000</v>
      </c>
      <c r="X373" s="1"/>
      <c r="Y373" s="1"/>
      <c r="Z373" s="1"/>
    </row>
    <row r="374" spans="1:26" ht="18.600000000000001">
      <c r="A374" s="360" t="s">
        <v>1101</v>
      </c>
      <c r="B374" s="360" t="s">
        <v>104</v>
      </c>
      <c r="C374" s="355" t="s">
        <v>710</v>
      </c>
      <c r="D374">
        <v>5050</v>
      </c>
      <c r="E374" s="143">
        <v>116500</v>
      </c>
      <c r="F374" s="117">
        <v>1405</v>
      </c>
      <c r="G374" s="360" t="s">
        <v>311</v>
      </c>
      <c r="H374" s="144">
        <f>bargiri[[#This Row],[میزان بارگیری شده]]*bargiri[[#This Row],[فی]]</f>
        <v>588325000</v>
      </c>
      <c r="I374" s="360">
        <f>IF(year=bargiri[[#This Row],[سال]],1,0)</f>
        <v>1</v>
      </c>
      <c r="J374" s="360" t="str">
        <f>VLOOKUP(bargiri[[#This Row],[شماره پیش فاکتور]],invoice[],16,0)</f>
        <v>تعادلی</v>
      </c>
      <c r="K374" s="252">
        <f>bargiri[[#This Row],[فی]]*bargiri[[#This Row],[میزان بارگیری شده]]</f>
        <v>588325000</v>
      </c>
      <c r="X374" s="1"/>
      <c r="Y374" s="1"/>
      <c r="Z374" s="1"/>
    </row>
    <row r="375" spans="1:26" ht="18.600000000000001">
      <c r="A375" s="360" t="s">
        <v>1101</v>
      </c>
      <c r="B375" s="360" t="s">
        <v>104</v>
      </c>
      <c r="C375" s="355" t="s">
        <v>1052</v>
      </c>
      <c r="D375">
        <v>14750</v>
      </c>
      <c r="E375" s="143">
        <v>240000</v>
      </c>
      <c r="F375" s="117">
        <v>1405</v>
      </c>
      <c r="G375" s="360" t="s">
        <v>311</v>
      </c>
      <c r="H375" s="144">
        <f>bargiri[[#This Row],[میزان بارگیری شده]]*bargiri[[#This Row],[فی]]</f>
        <v>3540000000</v>
      </c>
      <c r="I375" s="360">
        <f>IF(year=bargiri[[#This Row],[سال]],1,0)</f>
        <v>1</v>
      </c>
      <c r="J375" s="360" t="str">
        <f>VLOOKUP(bargiri[[#This Row],[شماره پیش فاکتور]],invoice[],16,0)</f>
        <v>انجمن</v>
      </c>
      <c r="K375" s="252">
        <f>bargiri[[#This Row],[فی]]*bargiri[[#This Row],[میزان بارگیری شده]]</f>
        <v>3540000000</v>
      </c>
      <c r="X375" s="1"/>
      <c r="Y375" s="1"/>
      <c r="Z375" s="1"/>
    </row>
    <row r="376" spans="1:26" ht="18.600000000000001">
      <c r="A376" s="360" t="s">
        <v>1101</v>
      </c>
      <c r="B376" s="360" t="s">
        <v>102</v>
      </c>
      <c r="C376" s="355" t="s">
        <v>1011</v>
      </c>
      <c r="D376">
        <v>9580</v>
      </c>
      <c r="E376" s="143">
        <v>120000</v>
      </c>
      <c r="F376" s="117">
        <v>1405</v>
      </c>
      <c r="G376" s="360" t="s">
        <v>311</v>
      </c>
      <c r="H376" s="144">
        <f>bargiri[[#This Row],[میزان بارگیری شده]]*bargiri[[#This Row],[فی]]</f>
        <v>1149600000</v>
      </c>
      <c r="I376" s="360">
        <f>IF(year=bargiri[[#This Row],[سال]],1,0)</f>
        <v>1</v>
      </c>
      <c r="J376" s="360" t="str">
        <f>VLOOKUP(bargiri[[#This Row],[شماره پیش فاکتور]],invoice[],16,0)</f>
        <v>عادی</v>
      </c>
      <c r="K376" s="252">
        <f>bargiri[[#This Row],[فی]]*bargiri[[#This Row],[میزان بارگیری شده]]</f>
        <v>1149600000</v>
      </c>
      <c r="X376" s="1"/>
      <c r="Y376" s="1"/>
      <c r="Z376" s="1"/>
    </row>
    <row r="377" spans="1:26" ht="18.600000000000001">
      <c r="A377" s="360" t="s">
        <v>1101</v>
      </c>
      <c r="B377" s="360" t="s">
        <v>125</v>
      </c>
      <c r="C377" s="355" t="s">
        <v>1009</v>
      </c>
      <c r="D377">
        <v>14530</v>
      </c>
      <c r="E377" s="143">
        <v>120000</v>
      </c>
      <c r="F377" s="117">
        <v>1405</v>
      </c>
      <c r="G377" s="360" t="s">
        <v>311</v>
      </c>
      <c r="H377" s="144">
        <f>bargiri[[#This Row],[میزان بارگیری شده]]*bargiri[[#This Row],[فی]]</f>
        <v>1743600000</v>
      </c>
      <c r="I377" s="360">
        <f>IF(year=bargiri[[#This Row],[سال]],1,0)</f>
        <v>1</v>
      </c>
      <c r="J377" s="360" t="str">
        <f>VLOOKUP(bargiri[[#This Row],[شماره پیش فاکتور]],invoice[],16,0)</f>
        <v>عادی</v>
      </c>
      <c r="K377" s="252">
        <f>bargiri[[#This Row],[فی]]*bargiri[[#This Row],[میزان بارگیری شده]]</f>
        <v>1743600000</v>
      </c>
      <c r="X377" s="1"/>
      <c r="Y377" s="1"/>
      <c r="Z377" s="1"/>
    </row>
    <row r="378" spans="1:26" ht="18.600000000000001">
      <c r="A378" s="360" t="s">
        <v>1101</v>
      </c>
      <c r="B378" s="360" t="s">
        <v>121</v>
      </c>
      <c r="C378" s="355" t="s">
        <v>635</v>
      </c>
      <c r="D378">
        <v>20010</v>
      </c>
      <c r="E378" s="143">
        <v>120000</v>
      </c>
      <c r="F378" s="117">
        <v>1405</v>
      </c>
      <c r="G378" s="360" t="s">
        <v>311</v>
      </c>
      <c r="H378" s="144">
        <f>bargiri[[#This Row],[میزان بارگیری شده]]*bargiri[[#This Row],[فی]]</f>
        <v>2401200000</v>
      </c>
      <c r="I378" s="360">
        <f>IF(year=bargiri[[#This Row],[سال]],1,0)</f>
        <v>1</v>
      </c>
      <c r="J378" s="360" t="str">
        <f>VLOOKUP(bargiri[[#This Row],[شماره پیش فاکتور]],invoice[],16,0)</f>
        <v>عادی</v>
      </c>
      <c r="K378" s="252">
        <f>bargiri[[#This Row],[فی]]*bargiri[[#This Row],[میزان بارگیری شده]]</f>
        <v>2401200000</v>
      </c>
      <c r="X378" s="1"/>
      <c r="Y378" s="1"/>
      <c r="Z378" s="1"/>
    </row>
    <row r="379" spans="1:26" ht="18.600000000000001">
      <c r="A379" s="360" t="s">
        <v>1098</v>
      </c>
      <c r="B379" s="360" t="s">
        <v>121</v>
      </c>
      <c r="C379" s="355" t="s">
        <v>635</v>
      </c>
      <c r="D379">
        <v>19870</v>
      </c>
      <c r="E379" s="143">
        <v>120000</v>
      </c>
      <c r="F379" s="117">
        <v>1405</v>
      </c>
      <c r="G379" s="360" t="s">
        <v>311</v>
      </c>
      <c r="H379" s="144">
        <f>bargiri[[#This Row],[میزان بارگیری شده]]*bargiri[[#This Row],[فی]]</f>
        <v>2384400000</v>
      </c>
      <c r="I379" s="360">
        <f>IF(year=bargiri[[#This Row],[سال]],1,0)</f>
        <v>1</v>
      </c>
      <c r="J379" s="360" t="str">
        <f>VLOOKUP(bargiri[[#This Row],[شماره پیش فاکتور]],invoice[],16,0)</f>
        <v>عادی</v>
      </c>
      <c r="K379" s="252">
        <f>bargiri[[#This Row],[فی]]*bargiri[[#This Row],[میزان بارگیری شده]]</f>
        <v>2384400000</v>
      </c>
      <c r="X379" s="1"/>
      <c r="Y379" s="1"/>
      <c r="Z379" s="1"/>
    </row>
    <row r="380" spans="1:26" ht="18.600000000000001">
      <c r="A380" s="360" t="s">
        <v>1098</v>
      </c>
      <c r="B380" s="360" t="s">
        <v>116</v>
      </c>
      <c r="C380" s="355" t="s">
        <v>899</v>
      </c>
      <c r="D380">
        <v>8890</v>
      </c>
      <c r="E380" s="143">
        <v>116500</v>
      </c>
      <c r="F380" s="117">
        <v>1405</v>
      </c>
      <c r="G380" s="360" t="s">
        <v>311</v>
      </c>
      <c r="H380" s="144">
        <f>bargiri[[#This Row],[میزان بارگیری شده]]*bargiri[[#This Row],[فی]]</f>
        <v>1035685000</v>
      </c>
      <c r="I380" s="360">
        <f>IF(year=bargiri[[#This Row],[سال]],1,0)</f>
        <v>1</v>
      </c>
      <c r="J380" s="360" t="str">
        <f>VLOOKUP(bargiri[[#This Row],[شماره پیش فاکتور]],invoice[],16,0)</f>
        <v>تعادلی</v>
      </c>
      <c r="K380" s="252">
        <f>bargiri[[#This Row],[فی]]*bargiri[[#This Row],[میزان بارگیری شده]]</f>
        <v>1035685000</v>
      </c>
      <c r="X380" s="1"/>
      <c r="Y380" s="1"/>
      <c r="Z380" s="1"/>
    </row>
    <row r="381" spans="1:26" ht="18.600000000000001">
      <c r="A381" s="360" t="s">
        <v>1098</v>
      </c>
      <c r="B381" s="360" t="s">
        <v>123</v>
      </c>
      <c r="C381" s="355" t="s">
        <v>1035</v>
      </c>
      <c r="D381">
        <v>7270</v>
      </c>
      <c r="E381" s="143">
        <v>240000</v>
      </c>
      <c r="F381" s="117">
        <v>1405</v>
      </c>
      <c r="G381" s="360" t="s">
        <v>311</v>
      </c>
      <c r="H381" s="144">
        <f>bargiri[[#This Row],[میزان بارگیری شده]]*bargiri[[#This Row],[فی]]</f>
        <v>1744800000</v>
      </c>
      <c r="I381" s="360">
        <f>IF(year=bargiri[[#This Row],[سال]],1,0)</f>
        <v>1</v>
      </c>
      <c r="J381" s="360" t="str">
        <f>VLOOKUP(bargiri[[#This Row],[شماره پیش فاکتور]],invoice[],16,0)</f>
        <v>انجمن</v>
      </c>
      <c r="K381" s="252">
        <f>bargiri[[#This Row],[فی]]*bargiri[[#This Row],[میزان بارگیری شده]]</f>
        <v>1744800000</v>
      </c>
      <c r="X381" s="1"/>
      <c r="Y381" s="1"/>
      <c r="Z381" s="1"/>
    </row>
    <row r="382" spans="1:26" ht="18.600000000000001">
      <c r="A382" s="360" t="s">
        <v>1094</v>
      </c>
      <c r="B382" s="360" t="s">
        <v>118</v>
      </c>
      <c r="C382" s="355" t="s">
        <v>1097</v>
      </c>
      <c r="D382">
        <v>20490</v>
      </c>
      <c r="E382" s="143">
        <v>125844</v>
      </c>
      <c r="F382" s="117">
        <v>1405</v>
      </c>
      <c r="G382" s="360" t="s">
        <v>311</v>
      </c>
      <c r="H382" s="144">
        <f>bargiri[[#This Row],[میزان بارگیری شده]]*bargiri[[#This Row],[فی]]</f>
        <v>2578543560</v>
      </c>
      <c r="I382" s="360">
        <f>IF(year=bargiri[[#This Row],[سال]],1,0)</f>
        <v>1</v>
      </c>
      <c r="J382" s="360" t="str">
        <f>VLOOKUP(bargiri[[#This Row],[شماره پیش فاکتور]],invoice[],16,0)</f>
        <v>عادی</v>
      </c>
      <c r="K382" s="252">
        <f>bargiri[[#This Row],[فی]]*bargiri[[#This Row],[میزان بارگیری شده]]</f>
        <v>2578543560</v>
      </c>
      <c r="X382" s="1"/>
      <c r="Y382" s="1"/>
      <c r="Z382" s="1"/>
    </row>
    <row r="383" spans="1:26" ht="18.600000000000001">
      <c r="A383" s="360" t="s">
        <v>1094</v>
      </c>
      <c r="B383" s="360" t="s">
        <v>118</v>
      </c>
      <c r="C383" s="355" t="s">
        <v>1097</v>
      </c>
      <c r="D383">
        <v>20580</v>
      </c>
      <c r="E383" s="143">
        <v>125844</v>
      </c>
      <c r="F383" s="117">
        <v>1405</v>
      </c>
      <c r="G383" s="360" t="s">
        <v>311</v>
      </c>
      <c r="H383" s="144">
        <f>bargiri[[#This Row],[میزان بارگیری شده]]*bargiri[[#This Row],[فی]]</f>
        <v>2589869520</v>
      </c>
      <c r="I383" s="360">
        <f>IF(year=bargiri[[#This Row],[سال]],1,0)</f>
        <v>1</v>
      </c>
      <c r="J383" s="360" t="str">
        <f>VLOOKUP(bargiri[[#This Row],[شماره پیش فاکتور]],invoice[],16,0)</f>
        <v>عادی</v>
      </c>
      <c r="K383" s="252">
        <f>bargiri[[#This Row],[فی]]*bargiri[[#This Row],[میزان بارگیری شده]]</f>
        <v>2589869520</v>
      </c>
      <c r="X383" s="1"/>
      <c r="Y383" s="1"/>
      <c r="Z383" s="1"/>
    </row>
    <row r="384" spans="1:26" ht="18.600000000000001">
      <c r="A384" s="360" t="s">
        <v>1094</v>
      </c>
      <c r="B384" s="360" t="s">
        <v>118</v>
      </c>
      <c r="C384" s="355" t="s">
        <v>1097</v>
      </c>
      <c r="D384">
        <v>20400</v>
      </c>
      <c r="E384" s="143">
        <v>125844</v>
      </c>
      <c r="F384" s="117">
        <v>1405</v>
      </c>
      <c r="G384" s="360" t="s">
        <v>311</v>
      </c>
      <c r="H384" s="144">
        <f>bargiri[[#This Row],[میزان بارگیری شده]]*bargiri[[#This Row],[فی]]</f>
        <v>2567217600</v>
      </c>
      <c r="I384" s="360">
        <f>IF(year=bargiri[[#This Row],[سال]],1,0)</f>
        <v>1</v>
      </c>
      <c r="J384" s="360" t="str">
        <f>VLOOKUP(bargiri[[#This Row],[شماره پیش فاکتور]],invoice[],16,0)</f>
        <v>عادی</v>
      </c>
      <c r="K384" s="252">
        <f>bargiri[[#This Row],[فی]]*bargiri[[#This Row],[میزان بارگیری شده]]</f>
        <v>2567217600</v>
      </c>
      <c r="X384" s="1"/>
      <c r="Y384" s="1"/>
      <c r="Z384" s="1"/>
    </row>
    <row r="385" spans="1:26" ht="18.600000000000001">
      <c r="A385" s="360" t="s">
        <v>1094</v>
      </c>
      <c r="B385" s="360" t="s">
        <v>118</v>
      </c>
      <c r="C385" s="355" t="s">
        <v>1097</v>
      </c>
      <c r="D385">
        <v>20390</v>
      </c>
      <c r="E385" s="143">
        <v>125844</v>
      </c>
      <c r="F385" s="117">
        <v>1405</v>
      </c>
      <c r="G385" s="360" t="s">
        <v>311</v>
      </c>
      <c r="H385" s="144">
        <f>bargiri[[#This Row],[میزان بارگیری شده]]*bargiri[[#This Row],[فی]]</f>
        <v>2565959160</v>
      </c>
      <c r="I385" s="360">
        <f>IF(year=bargiri[[#This Row],[سال]],1,0)</f>
        <v>1</v>
      </c>
      <c r="J385" s="360" t="str">
        <f>VLOOKUP(bargiri[[#This Row],[شماره پیش فاکتور]],invoice[],16,0)</f>
        <v>عادی</v>
      </c>
      <c r="K385" s="252">
        <f>bargiri[[#This Row],[فی]]*bargiri[[#This Row],[میزان بارگیری شده]]</f>
        <v>2565959160</v>
      </c>
      <c r="X385" s="1"/>
      <c r="Y385" s="1"/>
      <c r="Z385" s="1"/>
    </row>
    <row r="386" spans="1:26" ht="18.600000000000001">
      <c r="A386" s="360" t="s">
        <v>1095</v>
      </c>
      <c r="B386" s="360" t="s">
        <v>118</v>
      </c>
      <c r="C386" s="355" t="s">
        <v>1097</v>
      </c>
      <c r="D386">
        <v>19830</v>
      </c>
      <c r="E386" s="143">
        <v>125844</v>
      </c>
      <c r="F386" s="117">
        <v>1405</v>
      </c>
      <c r="G386" s="360" t="s">
        <v>311</v>
      </c>
      <c r="H386" s="144">
        <f>bargiri[[#This Row],[میزان بارگیری شده]]*bargiri[[#This Row],[فی]]</f>
        <v>2495486520</v>
      </c>
      <c r="I386" s="360">
        <f>IF(year=bargiri[[#This Row],[سال]],1,0)</f>
        <v>1</v>
      </c>
      <c r="J386" s="360" t="str">
        <f>VLOOKUP(bargiri[[#This Row],[شماره پیش فاکتور]],invoice[],16,0)</f>
        <v>عادی</v>
      </c>
      <c r="K386" s="252">
        <f>bargiri[[#This Row],[فی]]*bargiri[[#This Row],[میزان بارگیری شده]]</f>
        <v>2495486520</v>
      </c>
      <c r="X386" s="1"/>
      <c r="Y386" s="1"/>
      <c r="Z386" s="1"/>
    </row>
    <row r="387" spans="1:26" ht="18.600000000000001">
      <c r="A387" s="360" t="s">
        <v>1095</v>
      </c>
      <c r="B387" s="360" t="s">
        <v>118</v>
      </c>
      <c r="C387" s="355" t="s">
        <v>1097</v>
      </c>
      <c r="D387">
        <v>20120</v>
      </c>
      <c r="E387" s="143">
        <v>125844</v>
      </c>
      <c r="F387" s="117">
        <v>1405</v>
      </c>
      <c r="G387" s="360" t="s">
        <v>311</v>
      </c>
      <c r="H387" s="144">
        <f>bargiri[[#This Row],[میزان بارگیری شده]]*bargiri[[#This Row],[فی]]</f>
        <v>2531981280</v>
      </c>
      <c r="I387" s="360">
        <f>IF(year=bargiri[[#This Row],[سال]],1,0)</f>
        <v>1</v>
      </c>
      <c r="J387" s="360" t="str">
        <f>VLOOKUP(bargiri[[#This Row],[شماره پیش فاکتور]],invoice[],16,0)</f>
        <v>عادی</v>
      </c>
      <c r="K387" s="252">
        <f>bargiri[[#This Row],[فی]]*bargiri[[#This Row],[میزان بارگیری شده]]</f>
        <v>2531981280</v>
      </c>
      <c r="X387" s="1"/>
      <c r="Y387" s="1"/>
      <c r="Z387" s="1"/>
    </row>
    <row r="388" spans="1:26" ht="18.600000000000001">
      <c r="A388" s="360" t="s">
        <v>1095</v>
      </c>
      <c r="B388" s="360" t="s">
        <v>118</v>
      </c>
      <c r="C388" s="355" t="s">
        <v>1097</v>
      </c>
      <c r="D388">
        <v>19910</v>
      </c>
      <c r="E388" s="143">
        <v>125844</v>
      </c>
      <c r="F388" s="117">
        <v>1405</v>
      </c>
      <c r="G388" s="360" t="s">
        <v>311</v>
      </c>
      <c r="H388" s="144">
        <f>bargiri[[#This Row],[میزان بارگیری شده]]*bargiri[[#This Row],[فی]]</f>
        <v>2505554040</v>
      </c>
      <c r="I388" s="360">
        <f>IF(year=bargiri[[#This Row],[سال]],1,0)</f>
        <v>1</v>
      </c>
      <c r="J388" s="360" t="str">
        <f>VLOOKUP(bargiri[[#This Row],[شماره پیش فاکتور]],invoice[],16,0)</f>
        <v>عادی</v>
      </c>
      <c r="K388" s="252">
        <f>bargiri[[#This Row],[فی]]*bargiri[[#This Row],[میزان بارگیری شده]]</f>
        <v>2505554040</v>
      </c>
      <c r="X388" s="1"/>
      <c r="Y388" s="1"/>
      <c r="Z388" s="1"/>
    </row>
    <row r="389" spans="1:26" ht="18.600000000000001">
      <c r="A389" s="360" t="s">
        <v>1095</v>
      </c>
      <c r="B389" s="360" t="s">
        <v>118</v>
      </c>
      <c r="C389" s="355" t="s">
        <v>1097</v>
      </c>
      <c r="D389">
        <v>20010</v>
      </c>
      <c r="E389" s="143">
        <v>125844</v>
      </c>
      <c r="F389" s="117">
        <v>1405</v>
      </c>
      <c r="G389" s="360" t="s">
        <v>311</v>
      </c>
      <c r="H389" s="144">
        <f>bargiri[[#This Row],[میزان بارگیری شده]]*bargiri[[#This Row],[فی]]</f>
        <v>2518138440</v>
      </c>
      <c r="I389" s="360">
        <f>IF(year=bargiri[[#This Row],[سال]],1,0)</f>
        <v>1</v>
      </c>
      <c r="J389" s="360" t="str">
        <f>VLOOKUP(bargiri[[#This Row],[شماره پیش فاکتور]],invoice[],16,0)</f>
        <v>عادی</v>
      </c>
      <c r="K389" s="252">
        <f>bargiri[[#This Row],[فی]]*bargiri[[#This Row],[میزان بارگیری شده]]</f>
        <v>2518138440</v>
      </c>
      <c r="X389" s="1"/>
      <c r="Y389" s="1"/>
      <c r="Z389" s="1"/>
    </row>
    <row r="390" spans="1:26" ht="18.600000000000001">
      <c r="A390" s="360" t="s">
        <v>1092</v>
      </c>
      <c r="B390" s="360" t="s">
        <v>118</v>
      </c>
      <c r="C390" s="355" t="s">
        <v>1097</v>
      </c>
      <c r="D390">
        <v>20240</v>
      </c>
      <c r="E390" s="143">
        <v>125844</v>
      </c>
      <c r="F390" s="117">
        <v>1405</v>
      </c>
      <c r="G390" s="360" t="s">
        <v>311</v>
      </c>
      <c r="H390" s="144">
        <f>bargiri[[#This Row],[میزان بارگیری شده]]*bargiri[[#This Row],[فی]]</f>
        <v>2547082560</v>
      </c>
      <c r="I390" s="360">
        <f>IF(year=bargiri[[#This Row],[سال]],1,0)</f>
        <v>1</v>
      </c>
      <c r="J390" s="360" t="str">
        <f>VLOOKUP(bargiri[[#This Row],[شماره پیش فاکتور]],invoice[],16,0)</f>
        <v>عادی</v>
      </c>
      <c r="K390" s="252">
        <f>bargiri[[#This Row],[فی]]*bargiri[[#This Row],[میزان بارگیری شده]]</f>
        <v>2547082560</v>
      </c>
      <c r="X390" s="1"/>
      <c r="Y390" s="1"/>
      <c r="Z390" s="1"/>
    </row>
    <row r="391" spans="1:26" ht="18.600000000000001">
      <c r="A391" s="360" t="s">
        <v>1092</v>
      </c>
      <c r="B391" s="360" t="s">
        <v>118</v>
      </c>
      <c r="C391" s="355" t="s">
        <v>1097</v>
      </c>
      <c r="D391">
        <v>20090</v>
      </c>
      <c r="E391" s="143">
        <v>125844</v>
      </c>
      <c r="F391" s="117">
        <v>1405</v>
      </c>
      <c r="G391" s="360" t="s">
        <v>311</v>
      </c>
      <c r="H391" s="144">
        <f>bargiri[[#This Row],[میزان بارگیری شده]]*bargiri[[#This Row],[فی]]</f>
        <v>2528205960</v>
      </c>
      <c r="I391" s="360">
        <f>IF(year=bargiri[[#This Row],[سال]],1,0)</f>
        <v>1</v>
      </c>
      <c r="J391" s="360" t="str">
        <f>VLOOKUP(bargiri[[#This Row],[شماره پیش فاکتور]],invoice[],16,0)</f>
        <v>عادی</v>
      </c>
      <c r="K391" s="252">
        <f>bargiri[[#This Row],[فی]]*bargiri[[#This Row],[میزان بارگیری شده]]</f>
        <v>2528205960</v>
      </c>
      <c r="X391" s="1"/>
      <c r="Y391" s="1"/>
      <c r="Z391" s="1"/>
    </row>
    <row r="392" spans="1:26" ht="18.600000000000001">
      <c r="A392" s="360" t="s">
        <v>1092</v>
      </c>
      <c r="B392" s="360" t="s">
        <v>118</v>
      </c>
      <c r="C392" s="355" t="s">
        <v>1090</v>
      </c>
      <c r="D392">
        <v>7780</v>
      </c>
      <c r="E392" s="143">
        <v>131890</v>
      </c>
      <c r="F392" s="117">
        <v>1405</v>
      </c>
      <c r="G392" s="360" t="s">
        <v>311</v>
      </c>
      <c r="H392" s="144">
        <f>bargiri[[#This Row],[میزان بارگیری شده]]*bargiri[[#This Row],[فی]]</f>
        <v>1026104200</v>
      </c>
      <c r="I392" s="360">
        <f>IF(year=bargiri[[#This Row],[سال]],1,0)</f>
        <v>1</v>
      </c>
      <c r="J392" s="360" t="str">
        <f>VLOOKUP(bargiri[[#This Row],[شماره پیش فاکتور]],invoice[],16,0)</f>
        <v>عادی</v>
      </c>
      <c r="K392" s="252">
        <f>bargiri[[#This Row],[فی]]*bargiri[[#This Row],[میزان بارگیری شده]]</f>
        <v>1026104200</v>
      </c>
      <c r="X392" s="1"/>
      <c r="Y392" s="1"/>
      <c r="Z392" s="1"/>
    </row>
    <row r="393" spans="1:26" ht="18.600000000000001">
      <c r="A393" s="360" t="s">
        <v>1092</v>
      </c>
      <c r="B393" s="360" t="s">
        <v>118</v>
      </c>
      <c r="C393" s="355" t="s">
        <v>1097</v>
      </c>
      <c r="D393">
        <v>12480</v>
      </c>
      <c r="E393" s="143">
        <v>125844</v>
      </c>
      <c r="F393" s="117">
        <v>1405</v>
      </c>
      <c r="G393" s="360" t="s">
        <v>311</v>
      </c>
      <c r="H393" s="144">
        <f>bargiri[[#This Row],[میزان بارگیری شده]]*bargiri[[#This Row],[فی]]</f>
        <v>1570533120</v>
      </c>
      <c r="I393" s="360">
        <f>IF(year=bargiri[[#This Row],[سال]],1,0)</f>
        <v>1</v>
      </c>
      <c r="J393" s="360" t="str">
        <f>VLOOKUP(bargiri[[#This Row],[شماره پیش فاکتور]],invoice[],16,0)</f>
        <v>عادی</v>
      </c>
      <c r="K393" s="252">
        <f>bargiri[[#This Row],[فی]]*bargiri[[#This Row],[میزان بارگیری شده]]</f>
        <v>1570533120</v>
      </c>
      <c r="X393" s="1"/>
      <c r="Y393" s="1"/>
      <c r="Z393" s="1"/>
    </row>
    <row r="394" spans="1:26" ht="18.600000000000001">
      <c r="A394" s="360" t="s">
        <v>1094</v>
      </c>
      <c r="B394" s="360" t="s">
        <v>113</v>
      </c>
      <c r="C394" s="355" t="s">
        <v>822</v>
      </c>
      <c r="D394">
        <v>18020</v>
      </c>
      <c r="E394" s="143">
        <v>105000</v>
      </c>
      <c r="F394" s="117">
        <v>1405</v>
      </c>
      <c r="G394" s="360" t="s">
        <v>311</v>
      </c>
      <c r="H394" s="144">
        <f>bargiri[[#This Row],[میزان بارگیری شده]]*bargiri[[#This Row],[فی]]</f>
        <v>1892100000</v>
      </c>
      <c r="I394" s="360">
        <f>IF(year=bargiri[[#This Row],[سال]],1,0)</f>
        <v>1</v>
      </c>
      <c r="J394" s="360" t="str">
        <f>VLOOKUP(bargiri[[#This Row],[شماره پیش فاکتور]],invoice[],16,0)</f>
        <v>عادی</v>
      </c>
      <c r="K394" s="252">
        <f>bargiri[[#This Row],[فی]]*bargiri[[#This Row],[میزان بارگیری شده]]</f>
        <v>1892100000</v>
      </c>
      <c r="X394" s="1"/>
      <c r="Y394" s="1"/>
      <c r="Z394" s="1"/>
    </row>
    <row r="395" spans="1:26" ht="18.600000000000001">
      <c r="A395" s="360" t="s">
        <v>1094</v>
      </c>
      <c r="B395" s="360" t="s">
        <v>104</v>
      </c>
      <c r="C395" s="355" t="s">
        <v>710</v>
      </c>
      <c r="D395">
        <v>14950</v>
      </c>
      <c r="E395" s="143">
        <v>116500</v>
      </c>
      <c r="F395" s="117">
        <v>1405</v>
      </c>
      <c r="G395" s="360" t="s">
        <v>311</v>
      </c>
      <c r="H395" s="144">
        <f>bargiri[[#This Row],[میزان بارگیری شده]]*bargiri[[#This Row],[فی]]</f>
        <v>1741675000</v>
      </c>
      <c r="I395" s="360">
        <f>IF(year=bargiri[[#This Row],[سال]],1,0)</f>
        <v>1</v>
      </c>
      <c r="J395" s="360" t="str">
        <f>VLOOKUP(bargiri[[#This Row],[شماره پیش فاکتور]],invoice[],16,0)</f>
        <v>تعادلی</v>
      </c>
      <c r="K395" s="252">
        <f>bargiri[[#This Row],[فی]]*bargiri[[#This Row],[میزان بارگیری شده]]</f>
        <v>1741675000</v>
      </c>
      <c r="X395" s="1"/>
      <c r="Y395" s="1"/>
      <c r="Z395" s="1"/>
    </row>
    <row r="396" spans="1:26" ht="18.600000000000001">
      <c r="A396" s="360" t="s">
        <v>1094</v>
      </c>
      <c r="B396" s="360" t="s">
        <v>99</v>
      </c>
      <c r="C396" s="355" t="s">
        <v>821</v>
      </c>
      <c r="D396">
        <v>20000</v>
      </c>
      <c r="E396" s="143">
        <v>105000</v>
      </c>
      <c r="F396" s="117">
        <v>1405</v>
      </c>
      <c r="G396" s="360" t="s">
        <v>311</v>
      </c>
      <c r="H396" s="144">
        <f>bargiri[[#This Row],[میزان بارگیری شده]]*bargiri[[#This Row],[فی]]</f>
        <v>2100000000</v>
      </c>
      <c r="I396" s="360">
        <f>IF(year=bargiri[[#This Row],[سال]],1,0)</f>
        <v>1</v>
      </c>
      <c r="J396" s="360" t="str">
        <f>VLOOKUP(bargiri[[#This Row],[شماره پیش فاکتور]],invoice[],16,0)</f>
        <v>عادی</v>
      </c>
      <c r="K396" s="252">
        <f>bargiri[[#This Row],[فی]]*bargiri[[#This Row],[میزان بارگیری شده]]</f>
        <v>2100000000</v>
      </c>
      <c r="X396" s="1"/>
      <c r="Y396" s="1"/>
      <c r="Z396" s="1"/>
    </row>
    <row r="397" spans="1:26" ht="18.600000000000001">
      <c r="A397" s="360" t="s">
        <v>1095</v>
      </c>
      <c r="B397" s="360" t="s">
        <v>116</v>
      </c>
      <c r="C397" s="355" t="s">
        <v>862</v>
      </c>
      <c r="D397">
        <v>1345</v>
      </c>
      <c r="E397" s="143">
        <v>116500</v>
      </c>
      <c r="F397" s="117">
        <v>1405</v>
      </c>
      <c r="G397" s="360" t="s">
        <v>311</v>
      </c>
      <c r="H397" s="144">
        <f>bargiri[[#This Row],[میزان بارگیری شده]]*bargiri[[#This Row],[فی]]</f>
        <v>156692500</v>
      </c>
      <c r="I397" s="360">
        <f>IF(year=bargiri[[#This Row],[سال]],1,0)</f>
        <v>1</v>
      </c>
      <c r="J397" s="360" t="str">
        <f>VLOOKUP(bargiri[[#This Row],[شماره پیش فاکتور]],invoice[],16,0)</f>
        <v>تعادلی</v>
      </c>
      <c r="K397" s="252">
        <f>bargiri[[#This Row],[فی]]*bargiri[[#This Row],[میزان بارگیری شده]]</f>
        <v>156692500</v>
      </c>
      <c r="X397" s="1"/>
      <c r="Y397" s="1"/>
      <c r="Z397" s="1"/>
    </row>
    <row r="398" spans="1:26" ht="18.600000000000001">
      <c r="A398" s="360" t="s">
        <v>1095</v>
      </c>
      <c r="B398" s="360" t="s">
        <v>116</v>
      </c>
      <c r="C398" s="355" t="s">
        <v>899</v>
      </c>
      <c r="D398">
        <v>6825</v>
      </c>
      <c r="E398" s="143">
        <v>116500</v>
      </c>
      <c r="F398" s="117">
        <v>1405</v>
      </c>
      <c r="G398" s="360" t="s">
        <v>311</v>
      </c>
      <c r="H398" s="144">
        <f>bargiri[[#This Row],[میزان بارگیری شده]]*bargiri[[#This Row],[فی]]</f>
        <v>795112500</v>
      </c>
      <c r="I398" s="360">
        <f>IF(year=bargiri[[#This Row],[سال]],1,0)</f>
        <v>1</v>
      </c>
      <c r="J398" s="360" t="str">
        <f>VLOOKUP(bargiri[[#This Row],[شماره پیش فاکتور]],invoice[],16,0)</f>
        <v>تعادلی</v>
      </c>
      <c r="K398" s="252">
        <f>bargiri[[#This Row],[فی]]*bargiri[[#This Row],[میزان بارگیری شده]]</f>
        <v>795112500</v>
      </c>
      <c r="X398" s="1"/>
      <c r="Y398" s="1"/>
      <c r="Z398" s="1"/>
    </row>
    <row r="399" spans="1:26" ht="18.600000000000001">
      <c r="A399" s="360" t="s">
        <v>1095</v>
      </c>
      <c r="B399" s="360" t="s">
        <v>104</v>
      </c>
      <c r="C399" s="355" t="s">
        <v>982</v>
      </c>
      <c r="D399">
        <v>2180</v>
      </c>
      <c r="E399" s="143">
        <v>167500</v>
      </c>
      <c r="F399" s="117">
        <v>1405</v>
      </c>
      <c r="G399" s="360" t="s">
        <v>311</v>
      </c>
      <c r="H399" s="144">
        <f>bargiri[[#This Row],[میزان بارگیری شده]]*bargiri[[#This Row],[فی]]</f>
        <v>365150000</v>
      </c>
      <c r="I399" s="360">
        <f>IF(year=bargiri[[#This Row],[سال]],1,0)</f>
        <v>1</v>
      </c>
      <c r="J399" s="360" t="str">
        <f>VLOOKUP(bargiri[[#This Row],[شماره پیش فاکتور]],invoice[],16,0)</f>
        <v>بورس</v>
      </c>
      <c r="K399" s="252">
        <f>bargiri[[#This Row],[فی]]*bargiri[[#This Row],[میزان بارگیری شده]]</f>
        <v>365150000</v>
      </c>
      <c r="X399" s="1"/>
      <c r="Y399" s="1"/>
      <c r="Z399" s="1"/>
    </row>
    <row r="400" spans="1:26" ht="18.600000000000001">
      <c r="A400" s="360" t="s">
        <v>1095</v>
      </c>
      <c r="B400" s="360" t="s">
        <v>104</v>
      </c>
      <c r="C400" s="355" t="s">
        <v>686</v>
      </c>
      <c r="D400">
        <v>6520</v>
      </c>
      <c r="E400" s="143">
        <v>116500</v>
      </c>
      <c r="F400" s="117">
        <v>1405</v>
      </c>
      <c r="G400" s="360" t="s">
        <v>311</v>
      </c>
      <c r="H400" s="144">
        <f>bargiri[[#This Row],[میزان بارگیری شده]]*bargiri[[#This Row],[فی]]</f>
        <v>759580000</v>
      </c>
      <c r="I400" s="360">
        <f>IF(year=bargiri[[#This Row],[سال]],1,0)</f>
        <v>1</v>
      </c>
      <c r="J400" s="360" t="str">
        <f>VLOOKUP(bargiri[[#This Row],[شماره پیش فاکتور]],invoice[],16,0)</f>
        <v>تعادلی</v>
      </c>
      <c r="K400" s="252">
        <f>bargiri[[#This Row],[فی]]*bargiri[[#This Row],[میزان بارگیری شده]]</f>
        <v>759580000</v>
      </c>
      <c r="X400" s="1"/>
      <c r="Y400" s="1"/>
      <c r="Z400" s="1"/>
    </row>
    <row r="401" spans="1:26" ht="18.600000000000001">
      <c r="A401" s="360" t="s">
        <v>1095</v>
      </c>
      <c r="B401" s="360" t="s">
        <v>104</v>
      </c>
      <c r="C401" s="355" t="s">
        <v>1052</v>
      </c>
      <c r="D401">
        <v>9270</v>
      </c>
      <c r="E401" s="143">
        <v>240000</v>
      </c>
      <c r="F401" s="117">
        <v>1405</v>
      </c>
      <c r="G401" s="360" t="s">
        <v>311</v>
      </c>
      <c r="H401" s="144">
        <f>bargiri[[#This Row],[میزان بارگیری شده]]*bargiri[[#This Row],[فی]]</f>
        <v>2224800000</v>
      </c>
      <c r="I401" s="360">
        <f>IF(year=bargiri[[#This Row],[سال]],1,0)</f>
        <v>1</v>
      </c>
      <c r="J401" s="360" t="str">
        <f>VLOOKUP(bargiri[[#This Row],[شماره پیش فاکتور]],invoice[],16,0)</f>
        <v>انجمن</v>
      </c>
      <c r="K401" s="252">
        <f>bargiri[[#This Row],[فی]]*bargiri[[#This Row],[میزان بارگیری شده]]</f>
        <v>2224800000</v>
      </c>
      <c r="X401" s="1"/>
      <c r="Y401" s="1"/>
      <c r="Z401" s="1"/>
    </row>
    <row r="402" spans="1:26" ht="18.600000000000001">
      <c r="A402" s="360" t="s">
        <v>1095</v>
      </c>
      <c r="B402" s="360" t="s">
        <v>113</v>
      </c>
      <c r="C402" s="355" t="s">
        <v>822</v>
      </c>
      <c r="D402">
        <v>19860</v>
      </c>
      <c r="E402" s="143">
        <v>105000</v>
      </c>
      <c r="F402" s="117">
        <v>1405</v>
      </c>
      <c r="G402" s="360" t="s">
        <v>311</v>
      </c>
      <c r="H402" s="144">
        <f>bargiri[[#This Row],[میزان بارگیری شده]]*bargiri[[#This Row],[فی]]</f>
        <v>2085300000</v>
      </c>
      <c r="I402" s="360">
        <f>IF(year=bargiri[[#This Row],[سال]],1,0)</f>
        <v>1</v>
      </c>
      <c r="J402" s="360" t="str">
        <f>VLOOKUP(bargiri[[#This Row],[شماره پیش فاکتور]],invoice[],16,0)</f>
        <v>عادی</v>
      </c>
      <c r="K402" s="252">
        <f>bargiri[[#This Row],[فی]]*bargiri[[#This Row],[میزان بارگیری شده]]</f>
        <v>2085300000</v>
      </c>
      <c r="X402" s="1"/>
      <c r="Y402" s="1"/>
      <c r="Z402" s="1"/>
    </row>
    <row r="403" spans="1:26" ht="18.600000000000001">
      <c r="A403" s="360" t="s">
        <v>1092</v>
      </c>
      <c r="B403" s="360" t="s">
        <v>118</v>
      </c>
      <c r="C403" s="355" t="s">
        <v>1090</v>
      </c>
      <c r="D403">
        <v>19910</v>
      </c>
      <c r="E403" s="143">
        <v>131890</v>
      </c>
      <c r="F403" s="117">
        <v>1405</v>
      </c>
      <c r="G403" s="360" t="s">
        <v>311</v>
      </c>
      <c r="H403" s="144">
        <f>bargiri[[#This Row],[میزان بارگیری شده]]*bargiri[[#This Row],[فی]]</f>
        <v>2625929900</v>
      </c>
      <c r="I403" s="360">
        <f>IF(year=bargiri[[#This Row],[سال]],1,0)</f>
        <v>1</v>
      </c>
      <c r="J403" s="360" t="str">
        <f>VLOOKUP(bargiri[[#This Row],[شماره پیش فاکتور]],invoice[],16,0)</f>
        <v>عادی</v>
      </c>
      <c r="K403" s="252">
        <f>bargiri[[#This Row],[فی]]*bargiri[[#This Row],[میزان بارگیری شده]]</f>
        <v>2625929900</v>
      </c>
      <c r="X403" s="1"/>
      <c r="Y403" s="1"/>
      <c r="Z403" s="1"/>
    </row>
    <row r="404" spans="1:26" ht="18.600000000000001">
      <c r="A404" s="360" t="s">
        <v>1093</v>
      </c>
      <c r="B404" s="360" t="s">
        <v>118</v>
      </c>
      <c r="C404" s="355" t="s">
        <v>1090</v>
      </c>
      <c r="D404">
        <v>20550</v>
      </c>
      <c r="E404" s="143">
        <v>131890</v>
      </c>
      <c r="F404" s="117">
        <v>1405</v>
      </c>
      <c r="G404" s="360" t="s">
        <v>311</v>
      </c>
      <c r="H404" s="144">
        <f>bargiri[[#This Row],[میزان بارگیری شده]]*bargiri[[#This Row],[فی]]</f>
        <v>2710339500</v>
      </c>
      <c r="I404" s="360">
        <f>IF(year=bargiri[[#This Row],[سال]],1,0)</f>
        <v>1</v>
      </c>
      <c r="J404" s="360" t="str">
        <f>VLOOKUP(bargiri[[#This Row],[شماره پیش فاکتور]],invoice[],16,0)</f>
        <v>عادی</v>
      </c>
      <c r="K404" s="252">
        <f>bargiri[[#This Row],[فی]]*bargiri[[#This Row],[میزان بارگیری شده]]</f>
        <v>2710339500</v>
      </c>
      <c r="X404" s="1"/>
      <c r="Y404" s="1"/>
      <c r="Z404" s="1"/>
    </row>
    <row r="405" spans="1:26" ht="18.600000000000001">
      <c r="A405" s="360" t="s">
        <v>1093</v>
      </c>
      <c r="B405" s="360" t="s">
        <v>118</v>
      </c>
      <c r="C405" s="355" t="s">
        <v>1090</v>
      </c>
      <c r="D405">
        <v>21070</v>
      </c>
      <c r="E405" s="143">
        <v>131890</v>
      </c>
      <c r="F405" s="117">
        <v>1405</v>
      </c>
      <c r="G405" s="360" t="s">
        <v>311</v>
      </c>
      <c r="H405" s="144">
        <f>bargiri[[#This Row],[میزان بارگیری شده]]*bargiri[[#This Row],[فی]]</f>
        <v>2778922300</v>
      </c>
      <c r="I405" s="360">
        <f>IF(year=bargiri[[#This Row],[سال]],1,0)</f>
        <v>1</v>
      </c>
      <c r="J405" s="360" t="str">
        <f>VLOOKUP(bargiri[[#This Row],[شماره پیش فاکتور]],invoice[],16,0)</f>
        <v>عادی</v>
      </c>
      <c r="K405" s="252">
        <f>bargiri[[#This Row],[فی]]*bargiri[[#This Row],[میزان بارگیری شده]]</f>
        <v>2778922300</v>
      </c>
      <c r="X405" s="1"/>
      <c r="Y405" s="1"/>
      <c r="Z405" s="1"/>
    </row>
    <row r="406" spans="1:26" ht="18.600000000000001">
      <c r="A406" s="360" t="s">
        <v>1093</v>
      </c>
      <c r="B406" s="360" t="s">
        <v>118</v>
      </c>
      <c r="C406" s="355" t="s">
        <v>1090</v>
      </c>
      <c r="D406">
        <v>20660</v>
      </c>
      <c r="E406" s="143">
        <v>131890</v>
      </c>
      <c r="F406" s="117">
        <v>1405</v>
      </c>
      <c r="G406" s="360" t="s">
        <v>311</v>
      </c>
      <c r="H406" s="144">
        <f>bargiri[[#This Row],[میزان بارگیری شده]]*bargiri[[#This Row],[فی]]</f>
        <v>2724847400</v>
      </c>
      <c r="I406" s="360">
        <f>IF(year=bargiri[[#This Row],[سال]],1,0)</f>
        <v>1</v>
      </c>
      <c r="J406" s="360" t="str">
        <f>VLOOKUP(bargiri[[#This Row],[شماره پیش فاکتور]],invoice[],16,0)</f>
        <v>عادی</v>
      </c>
      <c r="K406" s="252">
        <f>bargiri[[#This Row],[فی]]*bargiri[[#This Row],[میزان بارگیری شده]]</f>
        <v>2724847400</v>
      </c>
      <c r="X406" s="1"/>
      <c r="Y406" s="1"/>
      <c r="Z406" s="1"/>
    </row>
    <row r="407" spans="1:26" ht="18.600000000000001">
      <c r="A407" s="360" t="s">
        <v>1093</v>
      </c>
      <c r="B407" s="360" t="s">
        <v>118</v>
      </c>
      <c r="C407" s="355" t="s">
        <v>1090</v>
      </c>
      <c r="D407">
        <v>20910</v>
      </c>
      <c r="E407" s="143">
        <v>131890</v>
      </c>
      <c r="F407" s="117">
        <v>1405</v>
      </c>
      <c r="G407" s="360" t="s">
        <v>311</v>
      </c>
      <c r="H407" s="144">
        <f>bargiri[[#This Row],[میزان بارگیری شده]]*bargiri[[#This Row],[فی]]</f>
        <v>2757819900</v>
      </c>
      <c r="I407" s="360">
        <f>IF(year=bargiri[[#This Row],[سال]],1,0)</f>
        <v>1</v>
      </c>
      <c r="J407" s="360" t="str">
        <f>VLOOKUP(bargiri[[#This Row],[شماره پیش فاکتور]],invoice[],16,0)</f>
        <v>عادی</v>
      </c>
      <c r="K407" s="252">
        <f>bargiri[[#This Row],[فی]]*bargiri[[#This Row],[میزان بارگیری شده]]</f>
        <v>2757819900</v>
      </c>
      <c r="X407" s="1"/>
      <c r="Y407" s="1"/>
      <c r="Z407" s="1"/>
    </row>
    <row r="408" spans="1:26" ht="18.600000000000001">
      <c r="A408" s="360" t="s">
        <v>1087</v>
      </c>
      <c r="B408" s="360" t="s">
        <v>118</v>
      </c>
      <c r="C408" s="355" t="s">
        <v>1090</v>
      </c>
      <c r="D408">
        <v>20990</v>
      </c>
      <c r="E408" s="143">
        <v>131890</v>
      </c>
      <c r="F408" s="117">
        <v>1405</v>
      </c>
      <c r="G408" s="360" t="s">
        <v>311</v>
      </c>
      <c r="H408" s="144">
        <f>bargiri[[#This Row],[میزان بارگیری شده]]*bargiri[[#This Row],[فی]]</f>
        <v>2768371100</v>
      </c>
      <c r="I408" s="360">
        <f>IF(year=bargiri[[#This Row],[سال]],1,0)</f>
        <v>1</v>
      </c>
      <c r="J408" s="360" t="str">
        <f>VLOOKUP(bargiri[[#This Row],[شماره پیش فاکتور]],invoice[],16,0)</f>
        <v>عادی</v>
      </c>
      <c r="K408" s="252">
        <f>bargiri[[#This Row],[فی]]*bargiri[[#This Row],[میزان بارگیری شده]]</f>
        <v>2768371100</v>
      </c>
      <c r="X408" s="1"/>
      <c r="Y408" s="1"/>
      <c r="Z408" s="1"/>
    </row>
    <row r="409" spans="1:26" ht="18.600000000000001">
      <c r="A409" s="360" t="s">
        <v>1087</v>
      </c>
      <c r="B409" s="360" t="s">
        <v>118</v>
      </c>
      <c r="C409" s="355" t="s">
        <v>1090</v>
      </c>
      <c r="D409">
        <v>20870</v>
      </c>
      <c r="E409" s="143">
        <v>131890</v>
      </c>
      <c r="F409" s="117">
        <v>1405</v>
      </c>
      <c r="G409" s="360" t="s">
        <v>311</v>
      </c>
      <c r="H409" s="144">
        <f>bargiri[[#This Row],[میزان بارگیری شده]]*bargiri[[#This Row],[فی]]</f>
        <v>2752544300</v>
      </c>
      <c r="I409" s="360">
        <f>IF(year=bargiri[[#This Row],[سال]],1,0)</f>
        <v>1</v>
      </c>
      <c r="J409" s="360" t="str">
        <f>VLOOKUP(bargiri[[#This Row],[شماره پیش فاکتور]],invoice[],16,0)</f>
        <v>عادی</v>
      </c>
      <c r="K409" s="252">
        <f>bargiri[[#This Row],[فی]]*bargiri[[#This Row],[میزان بارگیری شده]]</f>
        <v>2752544300</v>
      </c>
      <c r="X409" s="1"/>
      <c r="Y409" s="1"/>
      <c r="Z409" s="1"/>
    </row>
    <row r="410" spans="1:26" ht="18.600000000000001">
      <c r="A410" s="360" t="s">
        <v>1087</v>
      </c>
      <c r="B410" s="360" t="s">
        <v>118</v>
      </c>
      <c r="C410" s="355" t="s">
        <v>1090</v>
      </c>
      <c r="D410">
        <v>20500</v>
      </c>
      <c r="E410" s="143">
        <v>131890</v>
      </c>
      <c r="F410" s="117">
        <v>1405</v>
      </c>
      <c r="G410" s="360" t="s">
        <v>311</v>
      </c>
      <c r="H410" s="144">
        <f>bargiri[[#This Row],[میزان بارگیری شده]]*bargiri[[#This Row],[فی]]</f>
        <v>2703745000</v>
      </c>
      <c r="I410" s="360">
        <f>IF(year=bargiri[[#This Row],[سال]],1,0)</f>
        <v>1</v>
      </c>
      <c r="J410" s="360" t="str">
        <f>VLOOKUP(bargiri[[#This Row],[شماره پیش فاکتور]],invoice[],16,0)</f>
        <v>عادی</v>
      </c>
      <c r="K410" s="252">
        <f>bargiri[[#This Row],[فی]]*bargiri[[#This Row],[میزان بارگیری شده]]</f>
        <v>2703745000</v>
      </c>
      <c r="X410" s="1"/>
      <c r="Y410" s="1"/>
      <c r="Z410" s="1"/>
    </row>
    <row r="411" spans="1:26" ht="18.600000000000001">
      <c r="A411" s="360" t="s">
        <v>1087</v>
      </c>
      <c r="B411" s="360" t="s">
        <v>118</v>
      </c>
      <c r="C411" s="355" t="s">
        <v>1090</v>
      </c>
      <c r="D411">
        <v>20300</v>
      </c>
      <c r="E411" s="143">
        <v>131890</v>
      </c>
      <c r="F411" s="117">
        <v>1405</v>
      </c>
      <c r="G411" s="360" t="s">
        <v>311</v>
      </c>
      <c r="H411" s="144">
        <f>bargiri[[#This Row],[میزان بارگیری شده]]*bargiri[[#This Row],[فی]]</f>
        <v>2677367000</v>
      </c>
      <c r="I411" s="360">
        <f>IF(year=bargiri[[#This Row],[سال]],1,0)</f>
        <v>1</v>
      </c>
      <c r="J411" s="360" t="str">
        <f>VLOOKUP(bargiri[[#This Row],[شماره پیش فاکتور]],invoice[],16,0)</f>
        <v>عادی</v>
      </c>
      <c r="K411" s="252">
        <f>bargiri[[#This Row],[فی]]*bargiri[[#This Row],[میزان بارگیری شده]]</f>
        <v>2677367000</v>
      </c>
      <c r="X411" s="1"/>
      <c r="Y411" s="1"/>
      <c r="Z411" s="1"/>
    </row>
    <row r="412" spans="1:26" ht="18.600000000000001">
      <c r="A412" s="360" t="s">
        <v>1085</v>
      </c>
      <c r="B412" s="360" t="s">
        <v>118</v>
      </c>
      <c r="C412" s="355" t="s">
        <v>1090</v>
      </c>
      <c r="D412">
        <v>21110</v>
      </c>
      <c r="E412" s="143">
        <v>131890</v>
      </c>
      <c r="F412" s="117">
        <v>1405</v>
      </c>
      <c r="G412" s="360" t="s">
        <v>311</v>
      </c>
      <c r="H412" s="144">
        <f>bargiri[[#This Row],[میزان بارگیری شده]]*bargiri[[#This Row],[فی]]</f>
        <v>2784197900</v>
      </c>
      <c r="I412" s="360">
        <f>IF(year=bargiri[[#This Row],[سال]],1,0)</f>
        <v>1</v>
      </c>
      <c r="J412" s="360" t="str">
        <f>VLOOKUP(bargiri[[#This Row],[شماره پیش فاکتور]],invoice[],16,0)</f>
        <v>عادی</v>
      </c>
      <c r="K412" s="252">
        <f>bargiri[[#This Row],[فی]]*bargiri[[#This Row],[میزان بارگیری شده]]</f>
        <v>2784197900</v>
      </c>
      <c r="X412" s="1"/>
      <c r="Y412" s="1"/>
      <c r="Z412" s="1"/>
    </row>
    <row r="413" spans="1:26" ht="18.600000000000001">
      <c r="A413" s="360" t="s">
        <v>1085</v>
      </c>
      <c r="B413" s="360" t="s">
        <v>118</v>
      </c>
      <c r="C413" s="355" t="s">
        <v>1090</v>
      </c>
      <c r="D413">
        <v>21040</v>
      </c>
      <c r="E413" s="143">
        <v>131890</v>
      </c>
      <c r="F413" s="117">
        <v>1405</v>
      </c>
      <c r="G413" s="360" t="s">
        <v>311</v>
      </c>
      <c r="H413" s="144">
        <f>bargiri[[#This Row],[میزان بارگیری شده]]*bargiri[[#This Row],[فی]]</f>
        <v>2774965600</v>
      </c>
      <c r="I413" s="360">
        <f>IF(year=bargiri[[#This Row],[سال]],1,0)</f>
        <v>1</v>
      </c>
      <c r="J413" s="360" t="str">
        <f>VLOOKUP(bargiri[[#This Row],[شماره پیش فاکتور]],invoice[],16,0)</f>
        <v>عادی</v>
      </c>
      <c r="K413" s="252">
        <f>bargiri[[#This Row],[فی]]*bargiri[[#This Row],[میزان بارگیری شده]]</f>
        <v>2774965600</v>
      </c>
      <c r="X413" s="1"/>
      <c r="Y413" s="1"/>
      <c r="Z413" s="1"/>
    </row>
    <row r="414" spans="1:26" ht="18.600000000000001">
      <c r="A414" s="360" t="s">
        <v>1082</v>
      </c>
      <c r="B414" s="360" t="s">
        <v>118</v>
      </c>
      <c r="C414" s="355" t="s">
        <v>1090</v>
      </c>
      <c r="D414">
        <v>20040</v>
      </c>
      <c r="E414" s="143">
        <v>131890</v>
      </c>
      <c r="F414" s="117">
        <v>1405</v>
      </c>
      <c r="G414" s="360" t="s">
        <v>311</v>
      </c>
      <c r="H414" s="144">
        <f>bargiri[[#This Row],[میزان بارگیری شده]]*bargiri[[#This Row],[فی]]</f>
        <v>2643075600</v>
      </c>
      <c r="I414" s="360">
        <f>IF(year=bargiri[[#This Row],[سال]],1,0)</f>
        <v>1</v>
      </c>
      <c r="J414" s="360" t="str">
        <f>VLOOKUP(bargiri[[#This Row],[شماره پیش فاکتور]],invoice[],16,0)</f>
        <v>عادی</v>
      </c>
      <c r="K414" s="252">
        <f>bargiri[[#This Row],[فی]]*bargiri[[#This Row],[میزان بارگیری شده]]</f>
        <v>2643075600</v>
      </c>
      <c r="X414" s="1"/>
      <c r="Y414" s="1"/>
      <c r="Z414" s="1"/>
    </row>
    <row r="415" spans="1:26" ht="18.600000000000001">
      <c r="A415" s="360" t="s">
        <v>1082</v>
      </c>
      <c r="B415" s="360" t="s">
        <v>118</v>
      </c>
      <c r="C415" s="355" t="s">
        <v>1090</v>
      </c>
      <c r="D415">
        <v>19930</v>
      </c>
      <c r="E415" s="143">
        <v>131890</v>
      </c>
      <c r="F415" s="117">
        <v>1405</v>
      </c>
      <c r="G415" s="360" t="s">
        <v>311</v>
      </c>
      <c r="H415" s="144">
        <f>bargiri[[#This Row],[میزان بارگیری شده]]*bargiri[[#This Row],[فی]]</f>
        <v>2628567700</v>
      </c>
      <c r="I415" s="360">
        <f>IF(year=bargiri[[#This Row],[سال]],1,0)</f>
        <v>1</v>
      </c>
      <c r="J415" s="360" t="str">
        <f>VLOOKUP(bargiri[[#This Row],[شماره پیش فاکتور]],invoice[],16,0)</f>
        <v>عادی</v>
      </c>
      <c r="K415" s="252">
        <f>bargiri[[#This Row],[فی]]*bargiri[[#This Row],[میزان بارگیری شده]]</f>
        <v>2628567700</v>
      </c>
      <c r="X415" s="1"/>
      <c r="Y415" s="1"/>
      <c r="Z415" s="1"/>
    </row>
    <row r="416" spans="1:26" ht="18.600000000000001">
      <c r="A416" s="360" t="s">
        <v>1082</v>
      </c>
      <c r="B416" s="360" t="s">
        <v>118</v>
      </c>
      <c r="C416" s="355" t="s">
        <v>1090</v>
      </c>
      <c r="D416">
        <v>20000</v>
      </c>
      <c r="E416" s="143">
        <v>131890</v>
      </c>
      <c r="F416" s="117">
        <v>1405</v>
      </c>
      <c r="G416" s="360" t="s">
        <v>311</v>
      </c>
      <c r="H416" s="144">
        <f>bargiri[[#This Row],[میزان بارگیری شده]]*bargiri[[#This Row],[فی]]</f>
        <v>2637800000</v>
      </c>
      <c r="I416" s="360">
        <f>IF(year=bargiri[[#This Row],[سال]],1,0)</f>
        <v>1</v>
      </c>
      <c r="J416" s="360" t="str">
        <f>VLOOKUP(bargiri[[#This Row],[شماره پیش فاکتور]],invoice[],16,0)</f>
        <v>عادی</v>
      </c>
      <c r="K416" s="252">
        <f>bargiri[[#This Row],[فی]]*bargiri[[#This Row],[میزان بارگیری شده]]</f>
        <v>2637800000</v>
      </c>
      <c r="X416" s="1"/>
      <c r="Y416" s="1"/>
      <c r="Z416" s="1"/>
    </row>
    <row r="417" spans="1:26" ht="18.600000000000001">
      <c r="A417" s="360" t="s">
        <v>1082</v>
      </c>
      <c r="B417" s="360" t="s">
        <v>118</v>
      </c>
      <c r="C417" s="355" t="s">
        <v>1090</v>
      </c>
      <c r="D417">
        <v>20110</v>
      </c>
      <c r="E417" s="143">
        <v>131890</v>
      </c>
      <c r="F417" s="117">
        <v>1405</v>
      </c>
      <c r="G417" s="360" t="s">
        <v>311</v>
      </c>
      <c r="H417" s="144">
        <f>bargiri[[#This Row],[میزان بارگیری شده]]*bargiri[[#This Row],[فی]]</f>
        <v>2652307900</v>
      </c>
      <c r="I417" s="360">
        <f>IF(year=bargiri[[#This Row],[سال]],1,0)</f>
        <v>1</v>
      </c>
      <c r="J417" s="360" t="str">
        <f>VLOOKUP(bargiri[[#This Row],[شماره پیش فاکتور]],invoice[],16,0)</f>
        <v>عادی</v>
      </c>
      <c r="K417" s="252">
        <f>bargiri[[#This Row],[فی]]*bargiri[[#This Row],[میزان بارگیری شده]]</f>
        <v>2652307900</v>
      </c>
      <c r="X417" s="1"/>
      <c r="Y417" s="1"/>
      <c r="Z417" s="1"/>
    </row>
    <row r="418" spans="1:26" ht="18.600000000000001">
      <c r="A418" s="360" t="s">
        <v>1078</v>
      </c>
      <c r="B418" s="360" t="s">
        <v>118</v>
      </c>
      <c r="C418" s="355" t="s">
        <v>1090</v>
      </c>
      <c r="D418">
        <v>20490</v>
      </c>
      <c r="E418" s="143">
        <v>131890</v>
      </c>
      <c r="F418" s="117">
        <v>1405</v>
      </c>
      <c r="G418" s="360" t="s">
        <v>311</v>
      </c>
      <c r="H418" s="144">
        <f>bargiri[[#This Row],[میزان بارگیری شده]]*bargiri[[#This Row],[فی]]</f>
        <v>2702426100</v>
      </c>
      <c r="I418" s="360">
        <f>IF(year=bargiri[[#This Row],[سال]],1,0)</f>
        <v>1</v>
      </c>
      <c r="J418" s="360" t="str">
        <f>VLOOKUP(bargiri[[#This Row],[شماره پیش فاکتور]],invoice[],16,0)</f>
        <v>عادی</v>
      </c>
      <c r="K418" s="252">
        <f>bargiri[[#This Row],[فی]]*bargiri[[#This Row],[میزان بارگیری شده]]</f>
        <v>2702426100</v>
      </c>
      <c r="X418" s="1"/>
      <c r="Y418" s="1"/>
      <c r="Z418" s="1"/>
    </row>
    <row r="419" spans="1:26" ht="18.600000000000001">
      <c r="A419" s="360" t="s">
        <v>1078</v>
      </c>
      <c r="B419" s="360" t="s">
        <v>118</v>
      </c>
      <c r="C419" s="355" t="s">
        <v>1090</v>
      </c>
      <c r="D419">
        <v>20940</v>
      </c>
      <c r="E419" s="143">
        <v>131890</v>
      </c>
      <c r="F419" s="117">
        <v>1405</v>
      </c>
      <c r="G419" s="360" t="s">
        <v>311</v>
      </c>
      <c r="H419" s="144">
        <f>bargiri[[#This Row],[میزان بارگیری شده]]*bargiri[[#This Row],[فی]]</f>
        <v>2761776600</v>
      </c>
      <c r="I419" s="360">
        <f>IF(year=bargiri[[#This Row],[سال]],1,0)</f>
        <v>1</v>
      </c>
      <c r="J419" s="360" t="str">
        <f>VLOOKUP(bargiri[[#This Row],[شماره پیش فاکتور]],invoice[],16,0)</f>
        <v>عادی</v>
      </c>
      <c r="K419" s="252">
        <f>bargiri[[#This Row],[فی]]*bargiri[[#This Row],[میزان بارگیری شده]]</f>
        <v>2761776600</v>
      </c>
      <c r="X419" s="1"/>
      <c r="Y419" s="1"/>
      <c r="Z419" s="1"/>
    </row>
    <row r="420" spans="1:26" ht="18.600000000000001">
      <c r="A420" s="360" t="s">
        <v>1078</v>
      </c>
      <c r="B420" s="360" t="s">
        <v>118</v>
      </c>
      <c r="C420" s="355" t="s">
        <v>1090</v>
      </c>
      <c r="D420">
        <v>20950</v>
      </c>
      <c r="E420" s="143">
        <v>131890</v>
      </c>
      <c r="F420" s="117">
        <v>1405</v>
      </c>
      <c r="G420" s="360" t="s">
        <v>311</v>
      </c>
      <c r="H420" s="144">
        <f>bargiri[[#This Row],[میزان بارگیری شده]]*bargiri[[#This Row],[فی]]</f>
        <v>2763095500</v>
      </c>
      <c r="I420" s="360">
        <f>IF(year=bargiri[[#This Row],[سال]],1,0)</f>
        <v>1</v>
      </c>
      <c r="J420" s="360" t="str">
        <f>VLOOKUP(bargiri[[#This Row],[شماره پیش فاکتور]],invoice[],16,0)</f>
        <v>عادی</v>
      </c>
      <c r="K420" s="252">
        <f>bargiri[[#This Row],[فی]]*bargiri[[#This Row],[میزان بارگیری شده]]</f>
        <v>2763095500</v>
      </c>
      <c r="X420" s="1"/>
      <c r="Y420" s="1"/>
      <c r="Z420" s="1"/>
    </row>
    <row r="421" spans="1:26" ht="18.600000000000001">
      <c r="A421" s="360" t="s">
        <v>1078</v>
      </c>
      <c r="B421" s="360" t="s">
        <v>118</v>
      </c>
      <c r="C421" s="355" t="s">
        <v>1090</v>
      </c>
      <c r="D421">
        <v>21050</v>
      </c>
      <c r="E421" s="143">
        <v>131890</v>
      </c>
      <c r="F421" s="117">
        <v>1405</v>
      </c>
      <c r="G421" s="360" t="s">
        <v>311</v>
      </c>
      <c r="H421" s="144">
        <f>bargiri[[#This Row],[میزان بارگیری شده]]*bargiri[[#This Row],[فی]]</f>
        <v>2776284500</v>
      </c>
      <c r="I421" s="360">
        <f>IF(year=bargiri[[#This Row],[سال]],1,0)</f>
        <v>1</v>
      </c>
      <c r="J421" s="360" t="str">
        <f>VLOOKUP(bargiri[[#This Row],[شماره پیش فاکتور]],invoice[],16,0)</f>
        <v>عادی</v>
      </c>
      <c r="K421" s="252">
        <f>bargiri[[#This Row],[فی]]*bargiri[[#This Row],[میزان بارگیری شده]]</f>
        <v>2776284500</v>
      </c>
      <c r="X421" s="1"/>
      <c r="Y421" s="1"/>
      <c r="Z421" s="1"/>
    </row>
    <row r="422" spans="1:26" ht="18.600000000000001">
      <c r="A422" s="360" t="s">
        <v>1078</v>
      </c>
      <c r="B422" s="360" t="s">
        <v>118</v>
      </c>
      <c r="C422" s="355" t="s">
        <v>1090</v>
      </c>
      <c r="D422">
        <v>20770</v>
      </c>
      <c r="E422" s="143">
        <v>131890</v>
      </c>
      <c r="F422" s="117">
        <v>1405</v>
      </c>
      <c r="G422" s="360" t="s">
        <v>311</v>
      </c>
      <c r="H422" s="144">
        <f>bargiri[[#This Row],[میزان بارگیری شده]]*bargiri[[#This Row],[فی]]</f>
        <v>2739355300</v>
      </c>
      <c r="I422" s="360">
        <f>IF(year=bargiri[[#This Row],[سال]],1,0)</f>
        <v>1</v>
      </c>
      <c r="J422" s="360" t="str">
        <f>VLOOKUP(bargiri[[#This Row],[شماره پیش فاکتور]],invoice[],16,0)</f>
        <v>عادی</v>
      </c>
      <c r="K422" s="252">
        <f>bargiri[[#This Row],[فی]]*bargiri[[#This Row],[میزان بارگیری شده]]</f>
        <v>2739355300</v>
      </c>
      <c r="X422" s="1"/>
      <c r="Y422" s="1"/>
      <c r="Z422" s="1"/>
    </row>
    <row r="423" spans="1:26" ht="18.600000000000001">
      <c r="A423" s="360" t="s">
        <v>1079</v>
      </c>
      <c r="B423" s="360" t="s">
        <v>118</v>
      </c>
      <c r="C423" s="355" t="s">
        <v>1090</v>
      </c>
      <c r="D423">
        <v>21060</v>
      </c>
      <c r="E423" s="143">
        <v>131890</v>
      </c>
      <c r="F423" s="117">
        <v>1405</v>
      </c>
      <c r="G423" s="360" t="s">
        <v>311</v>
      </c>
      <c r="H423" s="144">
        <f>bargiri[[#This Row],[میزان بارگیری شده]]*bargiri[[#This Row],[فی]]</f>
        <v>2777603400</v>
      </c>
      <c r="I423" s="360">
        <f>IF(year=bargiri[[#This Row],[سال]],1,0)</f>
        <v>1</v>
      </c>
      <c r="J423" s="360" t="str">
        <f>VLOOKUP(bargiri[[#This Row],[شماره پیش فاکتور]],invoice[],16,0)</f>
        <v>عادی</v>
      </c>
      <c r="K423" s="252">
        <f>bargiri[[#This Row],[فی]]*bargiri[[#This Row],[میزان بارگیری شده]]</f>
        <v>2777603400</v>
      </c>
      <c r="X423" s="1"/>
      <c r="Y423" s="1"/>
      <c r="Z423" s="1"/>
    </row>
    <row r="424" spans="1:26" ht="18.600000000000001">
      <c r="A424" s="360" t="s">
        <v>1079</v>
      </c>
      <c r="B424" s="360" t="s">
        <v>118</v>
      </c>
      <c r="C424" s="355" t="s">
        <v>1090</v>
      </c>
      <c r="D424">
        <v>21030</v>
      </c>
      <c r="E424" s="143">
        <v>131890</v>
      </c>
      <c r="F424" s="117">
        <v>1405</v>
      </c>
      <c r="G424" s="360" t="s">
        <v>311</v>
      </c>
      <c r="H424" s="144">
        <f>bargiri[[#This Row],[میزان بارگیری شده]]*bargiri[[#This Row],[فی]]</f>
        <v>2773646700</v>
      </c>
      <c r="I424" s="360">
        <f>IF(year=bargiri[[#This Row],[سال]],1,0)</f>
        <v>1</v>
      </c>
      <c r="J424" s="360" t="str">
        <f>VLOOKUP(bargiri[[#This Row],[شماره پیش فاکتور]],invoice[],16,0)</f>
        <v>عادی</v>
      </c>
      <c r="K424" s="252">
        <f>bargiri[[#This Row],[فی]]*bargiri[[#This Row],[میزان بارگیری شده]]</f>
        <v>2773646700</v>
      </c>
      <c r="X424" s="1"/>
      <c r="Y424" s="1"/>
      <c r="Z424" s="1"/>
    </row>
    <row r="425" spans="1:26" ht="18.600000000000001">
      <c r="A425" s="360" t="s">
        <v>1071</v>
      </c>
      <c r="B425" s="360" t="s">
        <v>118</v>
      </c>
      <c r="C425" s="355" t="s">
        <v>1090</v>
      </c>
      <c r="D425">
        <v>20960</v>
      </c>
      <c r="E425" s="143">
        <v>131890</v>
      </c>
      <c r="F425" s="117">
        <v>1405</v>
      </c>
      <c r="G425" s="360" t="s">
        <v>311</v>
      </c>
      <c r="H425" s="144">
        <f>bargiri[[#This Row],[میزان بارگیری شده]]*bargiri[[#This Row],[فی]]</f>
        <v>2764414400</v>
      </c>
      <c r="I425" s="360">
        <f>IF(year=bargiri[[#This Row],[سال]],1,0)</f>
        <v>1</v>
      </c>
      <c r="J425" s="360" t="str">
        <f>VLOOKUP(bargiri[[#This Row],[شماره پیش فاکتور]],invoice[],16,0)</f>
        <v>عادی</v>
      </c>
      <c r="K425" s="252">
        <f>bargiri[[#This Row],[فی]]*bargiri[[#This Row],[میزان بارگیری شده]]</f>
        <v>2764414400</v>
      </c>
      <c r="X425" s="1"/>
      <c r="Y425" s="1"/>
      <c r="Z425" s="1"/>
    </row>
    <row r="426" spans="1:26" ht="18.600000000000001">
      <c r="A426" s="360" t="s">
        <v>1071</v>
      </c>
      <c r="B426" s="360" t="s">
        <v>118</v>
      </c>
      <c r="C426" s="355" t="s">
        <v>1072</v>
      </c>
      <c r="D426">
        <v>4050</v>
      </c>
      <c r="E426" s="143">
        <v>129730</v>
      </c>
      <c r="F426" s="117">
        <v>1405</v>
      </c>
      <c r="G426" s="360" t="s">
        <v>311</v>
      </c>
      <c r="H426" s="144">
        <f>bargiri[[#This Row],[میزان بارگیری شده]]*bargiri[[#This Row],[فی]]</f>
        <v>525406500</v>
      </c>
      <c r="I426" s="360">
        <f>IF(year=bargiri[[#This Row],[سال]],1,0)</f>
        <v>1</v>
      </c>
      <c r="J426" s="360" t="str">
        <f>VLOOKUP(bargiri[[#This Row],[شماره پیش فاکتور]],invoice[],16,0)</f>
        <v>عادی</v>
      </c>
      <c r="K426" s="252">
        <f>bargiri[[#This Row],[فی]]*bargiri[[#This Row],[میزان بارگیری شده]]</f>
        <v>525406500</v>
      </c>
      <c r="X426" s="1"/>
      <c r="Y426" s="1"/>
      <c r="Z426" s="1"/>
    </row>
    <row r="427" spans="1:26" ht="18.600000000000001">
      <c r="A427" s="360" t="s">
        <v>1071</v>
      </c>
      <c r="B427" s="360" t="s">
        <v>118</v>
      </c>
      <c r="C427" s="355" t="s">
        <v>1090</v>
      </c>
      <c r="D427">
        <v>16980</v>
      </c>
      <c r="E427" s="143">
        <v>131890</v>
      </c>
      <c r="F427" s="117">
        <v>1405</v>
      </c>
      <c r="G427" s="360" t="s">
        <v>311</v>
      </c>
      <c r="H427" s="144">
        <f>bargiri[[#This Row],[میزان بارگیری شده]]*bargiri[[#This Row],[فی]]</f>
        <v>2239492200</v>
      </c>
      <c r="I427" s="360">
        <f>IF(year=bargiri[[#This Row],[سال]],1,0)</f>
        <v>1</v>
      </c>
      <c r="J427" s="360" t="str">
        <f>VLOOKUP(bargiri[[#This Row],[شماره پیش فاکتور]],invoice[],16,0)</f>
        <v>عادی</v>
      </c>
      <c r="K427" s="252">
        <f>bargiri[[#This Row],[فی]]*bargiri[[#This Row],[میزان بارگیری شده]]</f>
        <v>2239492200</v>
      </c>
      <c r="X427" s="1"/>
      <c r="Y427" s="1"/>
      <c r="Z427" s="1"/>
    </row>
    <row r="428" spans="1:26" ht="18.600000000000001">
      <c r="A428" s="360" t="s">
        <v>1091</v>
      </c>
      <c r="B428" s="360" t="s">
        <v>109</v>
      </c>
      <c r="C428" s="355" t="s">
        <v>1036</v>
      </c>
      <c r="D428">
        <v>17870</v>
      </c>
      <c r="E428" s="143">
        <v>240000</v>
      </c>
      <c r="F428" s="117">
        <v>1405</v>
      </c>
      <c r="G428" s="360" t="s">
        <v>311</v>
      </c>
      <c r="H428" s="144">
        <f>bargiri[[#This Row],[میزان بارگیری شده]]*bargiri[[#This Row],[فی]]</f>
        <v>4288800000</v>
      </c>
      <c r="I428" s="360">
        <f>IF(year=bargiri[[#This Row],[سال]],1,0)</f>
        <v>1</v>
      </c>
      <c r="J428" s="360" t="str">
        <f>VLOOKUP(bargiri[[#This Row],[شماره پیش فاکتور]],invoice[],16,0)</f>
        <v>انجمن</v>
      </c>
      <c r="K428" s="252">
        <f>bargiri[[#This Row],[فی]]*bargiri[[#This Row],[میزان بارگیری شده]]</f>
        <v>4288800000</v>
      </c>
      <c r="X428" s="1"/>
      <c r="Y428" s="1"/>
      <c r="Z428" s="1"/>
    </row>
    <row r="429" spans="1:26" ht="18.600000000000001">
      <c r="A429" s="360" t="s">
        <v>1091</v>
      </c>
      <c r="B429" s="360" t="s">
        <v>116</v>
      </c>
      <c r="C429" s="355" t="s">
        <v>862</v>
      </c>
      <c r="D429">
        <v>19940</v>
      </c>
      <c r="E429" s="143">
        <v>116500</v>
      </c>
      <c r="F429" s="117">
        <v>1405</v>
      </c>
      <c r="G429" s="360" t="s">
        <v>311</v>
      </c>
      <c r="H429" s="144">
        <f>bargiri[[#This Row],[میزان بارگیری شده]]*bargiri[[#This Row],[فی]]</f>
        <v>2323010000</v>
      </c>
      <c r="I429" s="360">
        <f>IF(year=bargiri[[#This Row],[سال]],1,0)</f>
        <v>1</v>
      </c>
      <c r="J429" s="360" t="str">
        <f>VLOOKUP(bargiri[[#This Row],[شماره پیش فاکتور]],invoice[],16,0)</f>
        <v>تعادلی</v>
      </c>
      <c r="K429" s="252">
        <f>bargiri[[#This Row],[فی]]*bargiri[[#This Row],[میزان بارگیری شده]]</f>
        <v>2323010000</v>
      </c>
      <c r="X429" s="1"/>
      <c r="Y429" s="1"/>
      <c r="Z429" s="1"/>
    </row>
    <row r="430" spans="1:26" ht="18.600000000000001">
      <c r="A430" s="360" t="s">
        <v>1091</v>
      </c>
      <c r="B430" s="360" t="s">
        <v>122</v>
      </c>
      <c r="C430" s="355" t="s">
        <v>1054</v>
      </c>
      <c r="D430">
        <v>20120</v>
      </c>
      <c r="E430" s="143">
        <v>240000</v>
      </c>
      <c r="F430" s="117">
        <v>1405</v>
      </c>
      <c r="G430" s="360" t="s">
        <v>311</v>
      </c>
      <c r="H430" s="144">
        <f>bargiri[[#This Row],[میزان بارگیری شده]]*bargiri[[#This Row],[فی]]</f>
        <v>4828800000</v>
      </c>
      <c r="I430" s="360">
        <f>IF(year=bargiri[[#This Row],[سال]],1,0)</f>
        <v>1</v>
      </c>
      <c r="J430" s="360" t="str">
        <f>VLOOKUP(bargiri[[#This Row],[شماره پیش فاکتور]],invoice[],16,0)</f>
        <v>انجمن</v>
      </c>
      <c r="K430" s="252">
        <f>bargiri[[#This Row],[فی]]*bargiri[[#This Row],[میزان بارگیری شده]]</f>
        <v>4828800000</v>
      </c>
      <c r="X430" s="1"/>
      <c r="Y430" s="1"/>
      <c r="Z430" s="1"/>
    </row>
    <row r="431" spans="1:26" ht="18.600000000000001">
      <c r="A431" s="360" t="s">
        <v>1091</v>
      </c>
      <c r="B431" s="360" t="s">
        <v>123</v>
      </c>
      <c r="C431" s="355" t="s">
        <v>1035</v>
      </c>
      <c r="D431">
        <v>7280</v>
      </c>
      <c r="E431" s="143">
        <v>240000</v>
      </c>
      <c r="F431" s="117">
        <v>1405</v>
      </c>
      <c r="G431" s="360" t="s">
        <v>311</v>
      </c>
      <c r="H431" s="144">
        <f>bargiri[[#This Row],[میزان بارگیری شده]]*bargiri[[#This Row],[فی]]</f>
        <v>1747200000</v>
      </c>
      <c r="I431" s="360">
        <f>IF(year=bargiri[[#This Row],[سال]],1,0)</f>
        <v>1</v>
      </c>
      <c r="J431" s="360" t="str">
        <f>VLOOKUP(bargiri[[#This Row],[شماره پیش فاکتور]],invoice[],16,0)</f>
        <v>انجمن</v>
      </c>
      <c r="K431" s="252">
        <f>bargiri[[#This Row],[فی]]*bargiri[[#This Row],[میزان بارگیری شده]]</f>
        <v>1747200000</v>
      </c>
      <c r="X431" s="1"/>
      <c r="Y431" s="1"/>
      <c r="Z431" s="1"/>
    </row>
    <row r="432" spans="1:26" ht="18.600000000000001">
      <c r="A432" s="360" t="s">
        <v>1088</v>
      </c>
      <c r="B432" s="360" t="s">
        <v>116</v>
      </c>
      <c r="C432" s="355" t="s">
        <v>862</v>
      </c>
      <c r="D432">
        <v>17990</v>
      </c>
      <c r="E432" s="143">
        <v>116500</v>
      </c>
      <c r="F432" s="117">
        <v>1405</v>
      </c>
      <c r="G432" s="360" t="s">
        <v>311</v>
      </c>
      <c r="H432" s="144">
        <f>bargiri[[#This Row],[میزان بارگیری شده]]*bargiri[[#This Row],[فی]]</f>
        <v>2095835000</v>
      </c>
      <c r="I432" s="360">
        <f>IF(year=bargiri[[#This Row],[سال]],1,0)</f>
        <v>1</v>
      </c>
      <c r="J432" s="360" t="str">
        <f>VLOOKUP(bargiri[[#This Row],[شماره پیش فاکتور]],invoice[],16,0)</f>
        <v>تعادلی</v>
      </c>
      <c r="K432" s="252">
        <f>bargiri[[#This Row],[فی]]*bargiri[[#This Row],[میزان بارگیری شده]]</f>
        <v>2095835000</v>
      </c>
      <c r="X432" s="1"/>
      <c r="Y432" s="1"/>
      <c r="Z432" s="1"/>
    </row>
    <row r="433" spans="1:26" ht="18.600000000000001">
      <c r="A433" s="360" t="s">
        <v>1088</v>
      </c>
      <c r="B433" s="360" t="s">
        <v>125</v>
      </c>
      <c r="C433" s="355" t="s">
        <v>870</v>
      </c>
      <c r="D433">
        <v>7700</v>
      </c>
      <c r="E433" s="143">
        <v>135000</v>
      </c>
      <c r="F433" s="117">
        <v>1405</v>
      </c>
      <c r="G433" s="360" t="s">
        <v>311</v>
      </c>
      <c r="H433" s="144">
        <f>bargiri[[#This Row],[میزان بارگیری شده]]*bargiri[[#This Row],[فی]]</f>
        <v>1039500000</v>
      </c>
      <c r="I433" s="360">
        <f>IF(year=bargiri[[#This Row],[سال]],1,0)</f>
        <v>1</v>
      </c>
      <c r="J433" s="360" t="str">
        <f>VLOOKUP(bargiri[[#This Row],[شماره پیش فاکتور]],invoice[],16,0)</f>
        <v>عادی</v>
      </c>
      <c r="K433" s="252">
        <f>bargiri[[#This Row],[فی]]*bargiri[[#This Row],[میزان بارگیری شده]]</f>
        <v>1039500000</v>
      </c>
      <c r="X433" s="1"/>
      <c r="Y433" s="1"/>
      <c r="Z433" s="1"/>
    </row>
    <row r="434" spans="1:26" ht="18.600000000000001">
      <c r="A434" s="360" t="s">
        <v>1088</v>
      </c>
      <c r="B434" s="360" t="s">
        <v>125</v>
      </c>
      <c r="C434" s="355" t="s">
        <v>1009</v>
      </c>
      <c r="D434">
        <v>6490</v>
      </c>
      <c r="E434" s="143">
        <v>120000</v>
      </c>
      <c r="F434" s="117">
        <v>1405</v>
      </c>
      <c r="G434" s="360" t="s">
        <v>311</v>
      </c>
      <c r="H434" s="144">
        <f>bargiri[[#This Row],[میزان بارگیری شده]]*bargiri[[#This Row],[فی]]</f>
        <v>778800000</v>
      </c>
      <c r="I434" s="360">
        <f>IF(year=bargiri[[#This Row],[سال]],1,0)</f>
        <v>1</v>
      </c>
      <c r="J434" s="360" t="str">
        <f>VLOOKUP(bargiri[[#This Row],[شماره پیش فاکتور]],invoice[],16,0)</f>
        <v>عادی</v>
      </c>
      <c r="K434" s="252">
        <f>bargiri[[#This Row],[فی]]*bargiri[[#This Row],[میزان بارگیری شده]]</f>
        <v>778800000</v>
      </c>
      <c r="X434" s="1"/>
      <c r="Y434" s="1"/>
      <c r="Z434" s="1"/>
    </row>
    <row r="435" spans="1:26" ht="18.600000000000001">
      <c r="A435" s="360" t="s">
        <v>1089</v>
      </c>
      <c r="B435" s="360" t="s">
        <v>99</v>
      </c>
      <c r="C435" s="355" t="s">
        <v>821</v>
      </c>
      <c r="D435">
        <v>19840</v>
      </c>
      <c r="E435" s="143">
        <v>105000</v>
      </c>
      <c r="F435" s="117">
        <v>1405</v>
      </c>
      <c r="G435" s="360" t="s">
        <v>311</v>
      </c>
      <c r="H435" s="144">
        <f>bargiri[[#This Row],[میزان بارگیری شده]]*bargiri[[#This Row],[فی]]</f>
        <v>2083200000</v>
      </c>
      <c r="I435" s="360">
        <f>IF(year=bargiri[[#This Row],[سال]],1,0)</f>
        <v>1</v>
      </c>
      <c r="J435" s="360" t="str">
        <f>VLOOKUP(bargiri[[#This Row],[شماره پیش فاکتور]],invoice[],16,0)</f>
        <v>عادی</v>
      </c>
      <c r="K435" s="252">
        <f>bargiri[[#This Row],[فی]]*bargiri[[#This Row],[میزان بارگیری شده]]</f>
        <v>2083200000</v>
      </c>
      <c r="X435" s="1"/>
      <c r="Y435" s="1"/>
      <c r="Z435" s="1"/>
    </row>
    <row r="436" spans="1:26" ht="18.600000000000001">
      <c r="A436" s="360" t="s">
        <v>1089</v>
      </c>
      <c r="B436" s="360" t="s">
        <v>101</v>
      </c>
      <c r="C436" s="355" t="s">
        <v>957</v>
      </c>
      <c r="D436">
        <v>11715</v>
      </c>
      <c r="E436" s="143">
        <v>116500</v>
      </c>
      <c r="F436" s="117">
        <v>1405</v>
      </c>
      <c r="G436" s="360" t="s">
        <v>311</v>
      </c>
      <c r="H436" s="144">
        <f>bargiri[[#This Row],[میزان بارگیری شده]]*bargiri[[#This Row],[فی]]</f>
        <v>1364797500</v>
      </c>
      <c r="I436" s="360">
        <f>IF(year=bargiri[[#This Row],[سال]],1,0)</f>
        <v>1</v>
      </c>
      <c r="J436" s="360" t="str">
        <f>VLOOKUP(bargiri[[#This Row],[شماره پیش فاکتور]],invoice[],16,0)</f>
        <v>تعادلی</v>
      </c>
      <c r="K436" s="252">
        <f>bargiri[[#This Row],[فی]]*bargiri[[#This Row],[میزان بارگیری شده]]</f>
        <v>1364797500</v>
      </c>
      <c r="X436" s="1"/>
      <c r="Y436" s="1"/>
      <c r="Z436" s="1"/>
    </row>
    <row r="437" spans="1:26" ht="18.600000000000001">
      <c r="A437" s="360" t="s">
        <v>1089</v>
      </c>
      <c r="B437" s="360" t="s">
        <v>101</v>
      </c>
      <c r="C437" s="355" t="s">
        <v>973</v>
      </c>
      <c r="D437">
        <v>8385</v>
      </c>
      <c r="E437" s="143">
        <v>116500</v>
      </c>
      <c r="F437" s="117">
        <v>1405</v>
      </c>
      <c r="G437" s="360" t="s">
        <v>311</v>
      </c>
      <c r="H437" s="144">
        <f>bargiri[[#This Row],[میزان بارگیری شده]]*bargiri[[#This Row],[فی]]</f>
        <v>976852500</v>
      </c>
      <c r="I437" s="360">
        <f>IF(year=bargiri[[#This Row],[سال]],1,0)</f>
        <v>1</v>
      </c>
      <c r="J437" s="360" t="str">
        <f>VLOOKUP(bargiri[[#This Row],[شماره پیش فاکتور]],invoice[],16,0)</f>
        <v>تعادلی</v>
      </c>
      <c r="K437" s="252">
        <f>bargiri[[#This Row],[فی]]*bargiri[[#This Row],[میزان بارگیری شده]]</f>
        <v>976852500</v>
      </c>
      <c r="X437" s="1"/>
      <c r="Y437" s="1"/>
      <c r="Z437" s="1"/>
    </row>
    <row r="438" spans="1:26" ht="18.600000000000001">
      <c r="A438" s="360" t="s">
        <v>1089</v>
      </c>
      <c r="B438" s="360" t="s">
        <v>117</v>
      </c>
      <c r="C438" s="355" t="s">
        <v>725</v>
      </c>
      <c r="D438">
        <v>19980</v>
      </c>
      <c r="E438" s="143">
        <v>116500</v>
      </c>
      <c r="F438" s="117">
        <v>1405</v>
      </c>
      <c r="G438" s="360" t="s">
        <v>311</v>
      </c>
      <c r="H438" s="144">
        <f>bargiri[[#This Row],[میزان بارگیری شده]]*bargiri[[#This Row],[فی]]</f>
        <v>2327670000</v>
      </c>
      <c r="I438" s="360">
        <f>IF(year=bargiri[[#This Row],[سال]],1,0)</f>
        <v>1</v>
      </c>
      <c r="J438" s="360" t="str">
        <f>VLOOKUP(bargiri[[#This Row],[شماره پیش فاکتور]],invoice[],16,0)</f>
        <v>تعادلی</v>
      </c>
      <c r="K438" s="252">
        <f>bargiri[[#This Row],[فی]]*bargiri[[#This Row],[میزان بارگیری شده]]</f>
        <v>2327670000</v>
      </c>
      <c r="X438" s="1"/>
      <c r="Y438" s="1"/>
      <c r="Z438" s="1"/>
    </row>
    <row r="439" spans="1:26" ht="18.600000000000001">
      <c r="A439" s="360" t="s">
        <v>1089</v>
      </c>
      <c r="B439" s="360" t="s">
        <v>113</v>
      </c>
      <c r="C439" s="355" t="s">
        <v>822</v>
      </c>
      <c r="D439">
        <v>20120</v>
      </c>
      <c r="E439" s="143">
        <v>105000</v>
      </c>
      <c r="F439" s="117">
        <v>1405</v>
      </c>
      <c r="G439" s="360" t="s">
        <v>311</v>
      </c>
      <c r="H439" s="144">
        <f>bargiri[[#This Row],[میزان بارگیری شده]]*bargiri[[#This Row],[فی]]</f>
        <v>2112600000</v>
      </c>
      <c r="I439" s="360">
        <f>IF(year=bargiri[[#This Row],[سال]],1,0)</f>
        <v>1</v>
      </c>
      <c r="J439" s="360" t="str">
        <f>VLOOKUP(bargiri[[#This Row],[شماره پیش فاکتور]],invoice[],16,0)</f>
        <v>عادی</v>
      </c>
      <c r="K439" s="252">
        <f>bargiri[[#This Row],[فی]]*bargiri[[#This Row],[میزان بارگیری شده]]</f>
        <v>2112600000</v>
      </c>
      <c r="X439" s="1"/>
      <c r="Y439" s="1"/>
      <c r="Z439" s="1"/>
    </row>
    <row r="440" spans="1:26" ht="18.600000000000001">
      <c r="A440" s="360" t="s">
        <v>1089</v>
      </c>
      <c r="B440" s="360" t="s">
        <v>106</v>
      </c>
      <c r="C440" s="355" t="s">
        <v>913</v>
      </c>
      <c r="D440">
        <v>14850</v>
      </c>
      <c r="E440" s="143">
        <v>125000</v>
      </c>
      <c r="F440" s="117">
        <v>1405</v>
      </c>
      <c r="G440" s="360" t="s">
        <v>311</v>
      </c>
      <c r="H440" s="144">
        <f>bargiri[[#This Row],[میزان بارگیری شده]]*bargiri[[#This Row],[فی]]</f>
        <v>1856250000</v>
      </c>
      <c r="I440" s="360">
        <f>IF(year=bargiri[[#This Row],[سال]],1,0)</f>
        <v>1</v>
      </c>
      <c r="J440" s="360" t="str">
        <f>VLOOKUP(bargiri[[#This Row],[شماره پیش فاکتور]],invoice[],16,0)</f>
        <v>عادی</v>
      </c>
      <c r="K440" s="252">
        <f>bargiri[[#This Row],[فی]]*bargiri[[#This Row],[میزان بارگیری شده]]</f>
        <v>1856250000</v>
      </c>
      <c r="X440" s="1"/>
      <c r="Y440" s="1"/>
      <c r="Z440" s="1"/>
    </row>
    <row r="441" spans="1:26" ht="18.600000000000001">
      <c r="A441" s="360" t="s">
        <v>1086</v>
      </c>
      <c r="B441" s="360" t="s">
        <v>102</v>
      </c>
      <c r="C441" s="355" t="s">
        <v>832</v>
      </c>
      <c r="D441">
        <v>11060</v>
      </c>
      <c r="E441" s="143">
        <v>108000</v>
      </c>
      <c r="F441" s="117">
        <v>1405</v>
      </c>
      <c r="G441" s="360" t="s">
        <v>311</v>
      </c>
      <c r="H441" s="144">
        <f>bargiri[[#This Row],[میزان بارگیری شده]]*bargiri[[#This Row],[فی]]</f>
        <v>1194480000</v>
      </c>
      <c r="I441" s="360">
        <f>IF(year=bargiri[[#This Row],[سال]],1,0)</f>
        <v>1</v>
      </c>
      <c r="J441" s="360" t="str">
        <f>VLOOKUP(bargiri[[#This Row],[شماره پیش فاکتور]],invoice[],16,0)</f>
        <v>عادی</v>
      </c>
      <c r="K441" s="252">
        <f>bargiri[[#This Row],[فی]]*bargiri[[#This Row],[میزان بارگیری شده]]</f>
        <v>1194480000</v>
      </c>
      <c r="X441" s="1"/>
      <c r="Y441" s="1"/>
      <c r="Z441" s="1"/>
    </row>
    <row r="442" spans="1:26" ht="18.600000000000001">
      <c r="A442" s="360" t="s">
        <v>1086</v>
      </c>
      <c r="B442" s="360" t="s">
        <v>116</v>
      </c>
      <c r="C442" s="355" t="s">
        <v>854</v>
      </c>
      <c r="D442">
        <v>19225</v>
      </c>
      <c r="E442" s="143">
        <v>116500</v>
      </c>
      <c r="F442" s="117">
        <v>1405</v>
      </c>
      <c r="G442" s="360" t="s">
        <v>311</v>
      </c>
      <c r="H442" s="144">
        <f>bargiri[[#This Row],[میزان بارگیری شده]]*bargiri[[#This Row],[فی]]</f>
        <v>2239712500</v>
      </c>
      <c r="I442" s="360">
        <f>IF(year=bargiri[[#This Row],[سال]],1,0)</f>
        <v>1</v>
      </c>
      <c r="J442" s="360" t="str">
        <f>VLOOKUP(bargiri[[#This Row],[شماره پیش فاکتور]],invoice[],16,0)</f>
        <v>تعادلی</v>
      </c>
      <c r="K442" s="252">
        <f>bargiri[[#This Row],[فی]]*bargiri[[#This Row],[میزان بارگیری شده]]</f>
        <v>2239712500</v>
      </c>
      <c r="X442" s="1"/>
      <c r="Y442" s="1"/>
      <c r="Z442" s="1"/>
    </row>
    <row r="443" spans="1:26" ht="18.600000000000001">
      <c r="A443" s="360" t="s">
        <v>1086</v>
      </c>
      <c r="B443" s="360" t="s">
        <v>116</v>
      </c>
      <c r="C443" s="355" t="s">
        <v>862</v>
      </c>
      <c r="D443">
        <v>725</v>
      </c>
      <c r="E443" s="143">
        <v>116500</v>
      </c>
      <c r="F443" s="117">
        <v>1405</v>
      </c>
      <c r="G443" s="360" t="s">
        <v>311</v>
      </c>
      <c r="H443" s="144">
        <f>bargiri[[#This Row],[میزان بارگیری شده]]*bargiri[[#This Row],[فی]]</f>
        <v>84462500</v>
      </c>
      <c r="I443" s="360">
        <f>IF(year=bargiri[[#This Row],[سال]],1,0)</f>
        <v>1</v>
      </c>
      <c r="J443" s="360" t="str">
        <f>VLOOKUP(bargiri[[#This Row],[شماره پیش فاکتور]],invoice[],16,0)</f>
        <v>تعادلی</v>
      </c>
      <c r="K443" s="252">
        <f>bargiri[[#This Row],[فی]]*bargiri[[#This Row],[میزان بارگیری شده]]</f>
        <v>84462500</v>
      </c>
      <c r="X443" s="1"/>
      <c r="Y443" s="1"/>
      <c r="Z443" s="1"/>
    </row>
    <row r="444" spans="1:26" ht="18.600000000000001">
      <c r="A444" s="360" t="s">
        <v>1086</v>
      </c>
      <c r="B444" s="360" t="s">
        <v>103</v>
      </c>
      <c r="C444" s="355" t="s">
        <v>1051</v>
      </c>
      <c r="D444">
        <v>20030</v>
      </c>
      <c r="E444" s="143">
        <v>240000</v>
      </c>
      <c r="F444" s="117">
        <v>1405</v>
      </c>
      <c r="G444" s="360" t="s">
        <v>311</v>
      </c>
      <c r="H444" s="144">
        <f>bargiri[[#This Row],[میزان بارگیری شده]]*bargiri[[#This Row],[فی]]</f>
        <v>4807200000</v>
      </c>
      <c r="I444" s="360">
        <f>IF(year=bargiri[[#This Row],[سال]],1,0)</f>
        <v>1</v>
      </c>
      <c r="J444" s="360" t="str">
        <f>VLOOKUP(bargiri[[#This Row],[شماره پیش فاکتور]],invoice[],16,0)</f>
        <v>انجمن</v>
      </c>
      <c r="K444" s="252">
        <f>bargiri[[#This Row],[فی]]*bargiri[[#This Row],[میزان بارگیری شده]]</f>
        <v>4807200000</v>
      </c>
      <c r="X444" s="1"/>
      <c r="Y444" s="1"/>
      <c r="Z444" s="1"/>
    </row>
    <row r="445" spans="1:26" ht="18.600000000000001">
      <c r="A445" s="360" t="s">
        <v>1086</v>
      </c>
      <c r="B445" s="360" t="s">
        <v>99</v>
      </c>
      <c r="C445" s="355" t="s">
        <v>821</v>
      </c>
      <c r="D445">
        <v>20080</v>
      </c>
      <c r="E445" s="143">
        <v>105000</v>
      </c>
      <c r="F445" s="117">
        <v>1405</v>
      </c>
      <c r="G445" s="360" t="s">
        <v>311</v>
      </c>
      <c r="H445" s="144">
        <f>bargiri[[#This Row],[میزان بارگیری شده]]*bargiri[[#This Row],[فی]]</f>
        <v>2108400000</v>
      </c>
      <c r="I445" s="360">
        <f>IF(year=bargiri[[#This Row],[سال]],1,0)</f>
        <v>1</v>
      </c>
      <c r="J445" s="360" t="str">
        <f>VLOOKUP(bargiri[[#This Row],[شماره پیش فاکتور]],invoice[],16,0)</f>
        <v>عادی</v>
      </c>
      <c r="K445" s="252">
        <f>bargiri[[#This Row],[فی]]*bargiri[[#This Row],[میزان بارگیری شده]]</f>
        <v>2108400000</v>
      </c>
      <c r="X445" s="1"/>
      <c r="Y445" s="1"/>
      <c r="Z445" s="1"/>
    </row>
    <row r="446" spans="1:26" ht="18.600000000000001">
      <c r="A446" s="360" t="s">
        <v>1087</v>
      </c>
      <c r="B446" s="360" t="s">
        <v>100</v>
      </c>
      <c r="C446" s="355" t="s">
        <v>1049</v>
      </c>
      <c r="D446">
        <v>6540</v>
      </c>
      <c r="E446" s="143">
        <v>240000</v>
      </c>
      <c r="F446" s="117">
        <v>1405</v>
      </c>
      <c r="G446" s="360" t="s">
        <v>311</v>
      </c>
      <c r="H446" s="144">
        <f>bargiri[[#This Row],[میزان بارگیری شده]]*bargiri[[#This Row],[فی]]</f>
        <v>1569600000</v>
      </c>
      <c r="I446" s="360">
        <f>IF(year=bargiri[[#This Row],[سال]],1,0)</f>
        <v>1</v>
      </c>
      <c r="J446" s="360" t="str">
        <f>VLOOKUP(bargiri[[#This Row],[شماره پیش فاکتور]],invoice[],16,0)</f>
        <v>انجمن</v>
      </c>
      <c r="K446" s="252">
        <f>bargiri[[#This Row],[فی]]*bargiri[[#This Row],[میزان بارگیری شده]]</f>
        <v>1569600000</v>
      </c>
      <c r="X446" s="1"/>
      <c r="Y446" s="1"/>
      <c r="Z446" s="1"/>
    </row>
    <row r="447" spans="1:26" ht="18.600000000000001">
      <c r="A447" s="360" t="s">
        <v>1085</v>
      </c>
      <c r="B447" s="360" t="s">
        <v>123</v>
      </c>
      <c r="C447" s="355" t="s">
        <v>1035</v>
      </c>
      <c r="D447">
        <v>7310</v>
      </c>
      <c r="E447" s="143">
        <v>240000</v>
      </c>
      <c r="F447" s="117">
        <v>1405</v>
      </c>
      <c r="G447" s="360" t="s">
        <v>311</v>
      </c>
      <c r="H447" s="144">
        <f>bargiri[[#This Row],[میزان بارگیری شده]]*bargiri[[#This Row],[فی]]</f>
        <v>1754400000</v>
      </c>
      <c r="I447" s="360">
        <f>IF(year=bargiri[[#This Row],[سال]],1,0)</f>
        <v>1</v>
      </c>
      <c r="J447" s="360" t="str">
        <f>VLOOKUP(bargiri[[#This Row],[شماره پیش فاکتور]],invoice[],16,0)</f>
        <v>انجمن</v>
      </c>
      <c r="K447" s="252">
        <f>bargiri[[#This Row],[فی]]*bargiri[[#This Row],[میزان بارگیری شده]]</f>
        <v>1754400000</v>
      </c>
      <c r="X447" s="1"/>
      <c r="Y447" s="1"/>
      <c r="Z447" s="1"/>
    </row>
    <row r="448" spans="1:26" ht="18.600000000000001">
      <c r="A448" s="360" t="s">
        <v>1081</v>
      </c>
      <c r="B448" s="360" t="s">
        <v>99</v>
      </c>
      <c r="C448" s="355" t="s">
        <v>821</v>
      </c>
      <c r="D448">
        <v>20000</v>
      </c>
      <c r="E448" s="143">
        <v>105000</v>
      </c>
      <c r="F448" s="117">
        <v>1405</v>
      </c>
      <c r="G448" s="360" t="s">
        <v>311</v>
      </c>
      <c r="H448" s="144">
        <f>bargiri[[#This Row],[میزان بارگیری شده]]*bargiri[[#This Row],[فی]]</f>
        <v>2100000000</v>
      </c>
      <c r="I448" s="360">
        <f>IF(year=bargiri[[#This Row],[سال]],1,0)</f>
        <v>1</v>
      </c>
      <c r="J448" s="360" t="str">
        <f>VLOOKUP(bargiri[[#This Row],[شماره پیش فاکتور]],invoice[],16,0)</f>
        <v>عادی</v>
      </c>
      <c r="K448" s="252">
        <f>bargiri[[#This Row],[فی]]*bargiri[[#This Row],[میزان بارگیری شده]]</f>
        <v>2100000000</v>
      </c>
      <c r="X448" s="1"/>
      <c r="Y448" s="1"/>
      <c r="Z448" s="1"/>
    </row>
    <row r="449" spans="1:26" ht="18.600000000000001">
      <c r="A449" s="360" t="s">
        <v>1082</v>
      </c>
      <c r="B449" s="360" t="s">
        <v>102</v>
      </c>
      <c r="C449" s="355" t="s">
        <v>1050</v>
      </c>
      <c r="D449">
        <v>10870</v>
      </c>
      <c r="E449" s="143">
        <v>240000</v>
      </c>
      <c r="F449" s="117">
        <v>1405</v>
      </c>
      <c r="G449" s="360" t="s">
        <v>311</v>
      </c>
      <c r="H449" s="144">
        <f>bargiri[[#This Row],[میزان بارگیری شده]]*bargiri[[#This Row],[فی]]</f>
        <v>2608800000</v>
      </c>
      <c r="I449" s="360">
        <f>IF(year=bargiri[[#This Row],[سال]],1,0)</f>
        <v>1</v>
      </c>
      <c r="J449" s="360" t="str">
        <f>VLOOKUP(bargiri[[#This Row],[شماره پیش فاکتور]],invoice[],16,0)</f>
        <v>انجمن</v>
      </c>
      <c r="K449" s="252">
        <f>bargiri[[#This Row],[فی]]*bargiri[[#This Row],[میزان بارگیری شده]]</f>
        <v>2608800000</v>
      </c>
      <c r="X449" s="1"/>
      <c r="Y449" s="1"/>
      <c r="Z449" s="1"/>
    </row>
    <row r="450" spans="1:26" ht="18.600000000000001">
      <c r="A450" s="360" t="s">
        <v>1082</v>
      </c>
      <c r="B450" s="360" t="s">
        <v>106</v>
      </c>
      <c r="C450" s="355" t="s">
        <v>913</v>
      </c>
      <c r="D450">
        <v>20020</v>
      </c>
      <c r="E450" s="143">
        <v>125000</v>
      </c>
      <c r="F450" s="117">
        <v>1405</v>
      </c>
      <c r="G450" s="360" t="s">
        <v>311</v>
      </c>
      <c r="H450" s="144">
        <f>bargiri[[#This Row],[میزان بارگیری شده]]*bargiri[[#This Row],[فی]]</f>
        <v>2502500000</v>
      </c>
      <c r="I450" s="360">
        <f>IF(year=bargiri[[#This Row],[سال]],1,0)</f>
        <v>1</v>
      </c>
      <c r="J450" s="360" t="str">
        <f>VLOOKUP(bargiri[[#This Row],[شماره پیش فاکتور]],invoice[],16,0)</f>
        <v>عادی</v>
      </c>
      <c r="K450" s="252">
        <f>bargiri[[#This Row],[فی]]*bargiri[[#This Row],[میزان بارگیری شده]]</f>
        <v>2502500000</v>
      </c>
      <c r="X450" s="1"/>
      <c r="Y450" s="1"/>
      <c r="Z450" s="1"/>
    </row>
    <row r="451" spans="1:26" ht="18.600000000000001">
      <c r="A451" s="360" t="s">
        <v>1082</v>
      </c>
      <c r="B451" s="360" t="s">
        <v>117</v>
      </c>
      <c r="C451" s="355" t="s">
        <v>1013</v>
      </c>
      <c r="D451">
        <v>19980</v>
      </c>
      <c r="E451" s="143">
        <v>120000</v>
      </c>
      <c r="F451" s="117">
        <v>1405</v>
      </c>
      <c r="G451" s="360" t="s">
        <v>311</v>
      </c>
      <c r="H451" s="144">
        <f>bargiri[[#This Row],[میزان بارگیری شده]]*bargiri[[#This Row],[فی]]</f>
        <v>2397600000</v>
      </c>
      <c r="I451" s="360">
        <f>IF(year=bargiri[[#This Row],[سال]],1,0)</f>
        <v>1</v>
      </c>
      <c r="J451" s="360" t="str">
        <f>VLOOKUP(bargiri[[#This Row],[شماره پیش فاکتور]],invoice[],16,0)</f>
        <v>عادی</v>
      </c>
      <c r="K451" s="252">
        <f>bargiri[[#This Row],[فی]]*bargiri[[#This Row],[میزان بارگیری شده]]</f>
        <v>2397600000</v>
      </c>
      <c r="X451" s="1"/>
      <c r="Y451" s="1"/>
      <c r="Z451" s="1"/>
    </row>
    <row r="452" spans="1:26" ht="18.600000000000001">
      <c r="A452" s="360" t="s">
        <v>1082</v>
      </c>
      <c r="B452" s="360" t="s">
        <v>113</v>
      </c>
      <c r="C452" s="355" t="s">
        <v>822</v>
      </c>
      <c r="D452">
        <v>19890</v>
      </c>
      <c r="E452" s="143">
        <v>105000</v>
      </c>
      <c r="F452" s="117">
        <v>1405</v>
      </c>
      <c r="G452" s="360" t="s">
        <v>311</v>
      </c>
      <c r="H452" s="144">
        <f>bargiri[[#This Row],[میزان بارگیری شده]]*bargiri[[#This Row],[فی]]</f>
        <v>2088450000</v>
      </c>
      <c r="I452" s="360">
        <f>IF(year=bargiri[[#This Row],[سال]],1,0)</f>
        <v>1</v>
      </c>
      <c r="J452" s="360" t="str">
        <f>VLOOKUP(bargiri[[#This Row],[شماره پیش فاکتور]],invoice[],16,0)</f>
        <v>عادی</v>
      </c>
      <c r="K452" s="252">
        <f>bargiri[[#This Row],[فی]]*bargiri[[#This Row],[میزان بارگیری شده]]</f>
        <v>2088450000</v>
      </c>
      <c r="X452" s="1"/>
      <c r="Y452" s="1"/>
      <c r="Z452" s="1"/>
    </row>
    <row r="453" spans="1:26" ht="18.600000000000001">
      <c r="A453" s="360" t="s">
        <v>1083</v>
      </c>
      <c r="B453" s="360" t="s">
        <v>100</v>
      </c>
      <c r="C453" s="355" t="s">
        <v>1049</v>
      </c>
      <c r="D453">
        <v>18060</v>
      </c>
      <c r="E453" s="143">
        <v>240000</v>
      </c>
      <c r="F453" s="117">
        <v>1405</v>
      </c>
      <c r="G453" s="360" t="s">
        <v>311</v>
      </c>
      <c r="H453" s="144">
        <f>bargiri[[#This Row],[میزان بارگیری شده]]*bargiri[[#This Row],[فی]]</f>
        <v>4334400000</v>
      </c>
      <c r="I453" s="360">
        <f>IF(year=bargiri[[#This Row],[سال]],1,0)</f>
        <v>1</v>
      </c>
      <c r="J453" s="360" t="str">
        <f>VLOOKUP(bargiri[[#This Row],[شماره پیش فاکتور]],invoice[],16,0)</f>
        <v>انجمن</v>
      </c>
      <c r="K453" s="252">
        <f>bargiri[[#This Row],[فی]]*bargiri[[#This Row],[میزان بارگیری شده]]</f>
        <v>4334400000</v>
      </c>
      <c r="X453" s="1"/>
      <c r="Y453" s="1"/>
      <c r="Z453" s="1"/>
    </row>
    <row r="454" spans="1:26" ht="18.600000000000001">
      <c r="A454" s="360" t="s">
        <v>1083</v>
      </c>
      <c r="B454" s="360" t="s">
        <v>102</v>
      </c>
      <c r="C454" s="355" t="s">
        <v>1011</v>
      </c>
      <c r="D454">
        <v>11460</v>
      </c>
      <c r="E454" s="143">
        <v>120000</v>
      </c>
      <c r="F454" s="117">
        <v>1405</v>
      </c>
      <c r="G454" s="360" t="s">
        <v>311</v>
      </c>
      <c r="H454" s="144">
        <f>bargiri[[#This Row],[میزان بارگیری شده]]*bargiri[[#This Row],[فی]]</f>
        <v>1375200000</v>
      </c>
      <c r="I454" s="360">
        <f>IF(year=bargiri[[#This Row],[سال]],1,0)</f>
        <v>1</v>
      </c>
      <c r="J454" s="360" t="str">
        <f>VLOOKUP(bargiri[[#This Row],[شماره پیش فاکتور]],invoice[],16,0)</f>
        <v>عادی</v>
      </c>
      <c r="K454" s="252">
        <f>bargiri[[#This Row],[فی]]*bargiri[[#This Row],[میزان بارگیری شده]]</f>
        <v>1375200000</v>
      </c>
      <c r="X454" s="1"/>
      <c r="Y454" s="1"/>
      <c r="Z454" s="1"/>
    </row>
    <row r="455" spans="1:26" ht="18.600000000000001">
      <c r="A455" s="360" t="s">
        <v>1076</v>
      </c>
      <c r="B455" s="360" t="s">
        <v>99</v>
      </c>
      <c r="C455" s="355" t="s">
        <v>821</v>
      </c>
      <c r="D455">
        <v>21660</v>
      </c>
      <c r="E455" s="143">
        <v>105000</v>
      </c>
      <c r="F455" s="117">
        <v>1405</v>
      </c>
      <c r="G455" s="360" t="s">
        <v>311</v>
      </c>
      <c r="H455" s="144">
        <f>bargiri[[#This Row],[میزان بارگیری شده]]*bargiri[[#This Row],[فی]]</f>
        <v>2274300000</v>
      </c>
      <c r="I455" s="360">
        <f>IF(year=bargiri[[#This Row],[سال]],1,0)</f>
        <v>1</v>
      </c>
      <c r="J455" s="360" t="str">
        <f>VLOOKUP(bargiri[[#This Row],[شماره پیش فاکتور]],invoice[],16,0)</f>
        <v>عادی</v>
      </c>
      <c r="K455" s="252">
        <f>bargiri[[#This Row],[فی]]*bargiri[[#This Row],[میزان بارگیری شده]]</f>
        <v>2274300000</v>
      </c>
      <c r="X455" s="1"/>
      <c r="Y455" s="1"/>
      <c r="Z455" s="1"/>
    </row>
    <row r="456" spans="1:26" ht="18.600000000000001">
      <c r="A456" s="360" t="s">
        <v>1076</v>
      </c>
      <c r="B456" s="360" t="s">
        <v>98</v>
      </c>
      <c r="C456" s="355" t="s">
        <v>939</v>
      </c>
      <c r="D456">
        <v>7900</v>
      </c>
      <c r="E456" s="143">
        <v>167500</v>
      </c>
      <c r="F456" s="117">
        <v>1405</v>
      </c>
      <c r="G456" s="360" t="s">
        <v>311</v>
      </c>
      <c r="H456" s="144">
        <f>bargiri[[#This Row],[میزان بارگیری شده]]*bargiri[[#This Row],[فی]]</f>
        <v>1323250000</v>
      </c>
      <c r="I456" s="360">
        <f>IF(year=bargiri[[#This Row],[سال]],1,0)</f>
        <v>1</v>
      </c>
      <c r="J456" s="360" t="str">
        <f>VLOOKUP(bargiri[[#This Row],[شماره پیش فاکتور]],invoice[],16,0)</f>
        <v>بورس</v>
      </c>
      <c r="K456" s="252">
        <f>bargiri[[#This Row],[فی]]*bargiri[[#This Row],[میزان بارگیری شده]]</f>
        <v>1323250000</v>
      </c>
      <c r="X456" s="1"/>
      <c r="Y456" s="1"/>
      <c r="Z456" s="1"/>
    </row>
    <row r="457" spans="1:26" ht="18.600000000000001">
      <c r="A457" s="360" t="s">
        <v>1076</v>
      </c>
      <c r="B457" s="360" t="s">
        <v>98</v>
      </c>
      <c r="C457" s="355" t="s">
        <v>900</v>
      </c>
      <c r="D457">
        <v>6850</v>
      </c>
      <c r="E457" s="143">
        <v>116500</v>
      </c>
      <c r="F457" s="117">
        <v>1405</v>
      </c>
      <c r="G457" s="360" t="s">
        <v>311</v>
      </c>
      <c r="H457" s="144">
        <f>bargiri[[#This Row],[میزان بارگیری شده]]*bargiri[[#This Row],[فی]]</f>
        <v>798025000</v>
      </c>
      <c r="I457" s="360">
        <f>IF(year=bargiri[[#This Row],[سال]],1,0)</f>
        <v>1</v>
      </c>
      <c r="J457" s="360" t="str">
        <f>VLOOKUP(bargiri[[#This Row],[شماره پیش فاکتور]],invoice[],16,0)</f>
        <v>تعادلی</v>
      </c>
      <c r="K457" s="252">
        <f>bargiri[[#This Row],[فی]]*bargiri[[#This Row],[میزان بارگیری شده]]</f>
        <v>798025000</v>
      </c>
      <c r="X457" s="1"/>
      <c r="Y457" s="1"/>
      <c r="Z457" s="1"/>
    </row>
    <row r="458" spans="1:26" ht="18.600000000000001">
      <c r="A458" s="360" t="s">
        <v>1076</v>
      </c>
      <c r="B458" s="360" t="s">
        <v>98</v>
      </c>
      <c r="C458" s="355" t="s">
        <v>954</v>
      </c>
      <c r="D458">
        <v>8030</v>
      </c>
      <c r="E458" s="143">
        <v>116500</v>
      </c>
      <c r="F458" s="117">
        <v>1405</v>
      </c>
      <c r="G458" s="360" t="s">
        <v>311</v>
      </c>
      <c r="H458" s="144">
        <f>bargiri[[#This Row],[میزان بارگیری شده]]*bargiri[[#This Row],[فی]]</f>
        <v>935495000</v>
      </c>
      <c r="I458" s="360">
        <f>IF(year=bargiri[[#This Row],[سال]],1,0)</f>
        <v>1</v>
      </c>
      <c r="J458" s="360" t="str">
        <f>VLOOKUP(bargiri[[#This Row],[شماره پیش فاکتور]],invoice[],16,0)</f>
        <v>تعادلی</v>
      </c>
      <c r="K458" s="252">
        <f>bargiri[[#This Row],[فی]]*bargiri[[#This Row],[میزان بارگیری شده]]</f>
        <v>935495000</v>
      </c>
      <c r="X458" s="1"/>
      <c r="Y458" s="1"/>
      <c r="Z458" s="1"/>
    </row>
    <row r="459" spans="1:26" ht="18.600000000000001">
      <c r="A459" s="360" t="s">
        <v>1071</v>
      </c>
      <c r="B459" s="360" t="s">
        <v>118</v>
      </c>
      <c r="C459" s="355" t="s">
        <v>1072</v>
      </c>
      <c r="D459">
        <v>20920</v>
      </c>
      <c r="E459" s="143">
        <v>129730</v>
      </c>
      <c r="F459" s="117">
        <v>1405</v>
      </c>
      <c r="G459" s="360" t="s">
        <v>311</v>
      </c>
      <c r="H459" s="144">
        <f>bargiri[[#This Row],[میزان بارگیری شده]]*bargiri[[#This Row],[فی]]</f>
        <v>2713951600</v>
      </c>
      <c r="I459" s="360">
        <f>IF(year=bargiri[[#This Row],[سال]],1,0)</f>
        <v>1</v>
      </c>
      <c r="J459" s="360" t="str">
        <f>VLOOKUP(bargiri[[#This Row],[شماره پیش فاکتور]],invoice[],16,0)</f>
        <v>عادی</v>
      </c>
      <c r="K459" s="252">
        <f>bargiri[[#This Row],[فی]]*bargiri[[#This Row],[میزان بارگیری شده]]</f>
        <v>2713951600</v>
      </c>
      <c r="X459" s="1"/>
      <c r="Y459" s="1"/>
      <c r="Z459" s="1"/>
    </row>
    <row r="460" spans="1:26" ht="18.600000000000001">
      <c r="A460" s="360" t="s">
        <v>1070</v>
      </c>
      <c r="B460" s="360" t="s">
        <v>118</v>
      </c>
      <c r="C460" s="355" t="s">
        <v>1072</v>
      </c>
      <c r="D460">
        <v>21020</v>
      </c>
      <c r="E460" s="143">
        <v>129730</v>
      </c>
      <c r="F460" s="117">
        <v>1405</v>
      </c>
      <c r="G460" s="360" t="s">
        <v>311</v>
      </c>
      <c r="H460" s="144">
        <f>bargiri[[#This Row],[میزان بارگیری شده]]*bargiri[[#This Row],[فی]]</f>
        <v>2726924600</v>
      </c>
      <c r="I460" s="360">
        <f>IF(year=bargiri[[#This Row],[سال]],1,0)</f>
        <v>1</v>
      </c>
      <c r="J460" s="360" t="str">
        <f>VLOOKUP(bargiri[[#This Row],[شماره پیش فاکتور]],invoice[],16,0)</f>
        <v>عادی</v>
      </c>
      <c r="K460" s="252">
        <f>bargiri[[#This Row],[فی]]*bargiri[[#This Row],[میزان بارگیری شده]]</f>
        <v>2726924600</v>
      </c>
      <c r="X460" s="1"/>
      <c r="Y460" s="1"/>
      <c r="Z460" s="1"/>
    </row>
    <row r="461" spans="1:26" ht="18.600000000000001">
      <c r="A461" s="360" t="s">
        <v>1070</v>
      </c>
      <c r="B461" s="360" t="s">
        <v>118</v>
      </c>
      <c r="C461" s="355" t="s">
        <v>1072</v>
      </c>
      <c r="D461">
        <v>20560</v>
      </c>
      <c r="E461" s="143">
        <v>129730</v>
      </c>
      <c r="F461" s="117">
        <v>1405</v>
      </c>
      <c r="G461" s="360" t="s">
        <v>311</v>
      </c>
      <c r="H461" s="144">
        <f>bargiri[[#This Row],[میزان بارگیری شده]]*bargiri[[#This Row],[فی]]</f>
        <v>2667248800</v>
      </c>
      <c r="I461" s="360">
        <f>IF(year=bargiri[[#This Row],[سال]],1,0)</f>
        <v>1</v>
      </c>
      <c r="J461" s="360" t="str">
        <f>VLOOKUP(bargiri[[#This Row],[شماره پیش فاکتور]],invoice[],16,0)</f>
        <v>عادی</v>
      </c>
      <c r="K461" s="252">
        <f>bargiri[[#This Row],[فی]]*bargiri[[#This Row],[میزان بارگیری شده]]</f>
        <v>2667248800</v>
      </c>
      <c r="X461" s="1"/>
      <c r="Y461" s="1"/>
      <c r="Z461" s="1"/>
    </row>
    <row r="462" spans="1:26" ht="18.600000000000001">
      <c r="A462" s="360" t="s">
        <v>1070</v>
      </c>
      <c r="B462" s="360" t="s">
        <v>118</v>
      </c>
      <c r="C462" s="355" t="s">
        <v>1072</v>
      </c>
      <c r="D462">
        <v>20780</v>
      </c>
      <c r="E462" s="143">
        <v>129730</v>
      </c>
      <c r="F462" s="117">
        <v>1405</v>
      </c>
      <c r="G462" s="360" t="s">
        <v>311</v>
      </c>
      <c r="H462" s="144">
        <f>bargiri[[#This Row],[میزان بارگیری شده]]*bargiri[[#This Row],[فی]]</f>
        <v>2695789400</v>
      </c>
      <c r="I462" s="360">
        <f>IF(year=bargiri[[#This Row],[سال]],1,0)</f>
        <v>1</v>
      </c>
      <c r="J462" s="360" t="str">
        <f>VLOOKUP(bargiri[[#This Row],[شماره پیش فاکتور]],invoice[],16,0)</f>
        <v>عادی</v>
      </c>
      <c r="K462" s="252">
        <f>bargiri[[#This Row],[فی]]*bargiri[[#This Row],[میزان بارگیری شده]]</f>
        <v>2695789400</v>
      </c>
      <c r="X462" s="1"/>
      <c r="Y462" s="1"/>
      <c r="Z462" s="1"/>
    </row>
    <row r="463" spans="1:26" ht="18.600000000000001">
      <c r="A463" s="360" t="s">
        <v>1068</v>
      </c>
      <c r="B463" s="360" t="s">
        <v>118</v>
      </c>
      <c r="C463" s="355" t="s">
        <v>1072</v>
      </c>
      <c r="D463">
        <v>20510</v>
      </c>
      <c r="E463" s="143">
        <v>129730</v>
      </c>
      <c r="F463" s="117">
        <v>1405</v>
      </c>
      <c r="G463" s="360" t="s">
        <v>311</v>
      </c>
      <c r="H463" s="144">
        <f>bargiri[[#This Row],[میزان بارگیری شده]]*bargiri[[#This Row],[فی]]</f>
        <v>2660762300</v>
      </c>
      <c r="I463" s="360">
        <f>IF(year=bargiri[[#This Row],[سال]],1,0)</f>
        <v>1</v>
      </c>
      <c r="J463" s="360" t="str">
        <f>VLOOKUP(bargiri[[#This Row],[شماره پیش فاکتور]],invoice[],16,0)</f>
        <v>عادی</v>
      </c>
      <c r="K463" s="252">
        <f>bargiri[[#This Row],[فی]]*bargiri[[#This Row],[میزان بارگیری شده]]</f>
        <v>2660762300</v>
      </c>
      <c r="X463" s="1"/>
      <c r="Y463" s="1"/>
      <c r="Z463" s="1"/>
    </row>
    <row r="464" spans="1:26" ht="18.600000000000001">
      <c r="A464" s="360" t="s">
        <v>1068</v>
      </c>
      <c r="B464" s="360" t="s">
        <v>118</v>
      </c>
      <c r="C464" s="355" t="s">
        <v>1072</v>
      </c>
      <c r="D464">
        <v>21000</v>
      </c>
      <c r="E464" s="143">
        <v>129730</v>
      </c>
      <c r="F464" s="117">
        <v>1405</v>
      </c>
      <c r="G464" s="360" t="s">
        <v>311</v>
      </c>
      <c r="H464" s="144">
        <f>bargiri[[#This Row],[میزان بارگیری شده]]*bargiri[[#This Row],[فی]]</f>
        <v>2724330000</v>
      </c>
      <c r="I464" s="360">
        <f>IF(year=bargiri[[#This Row],[سال]],1,0)</f>
        <v>1</v>
      </c>
      <c r="J464" s="360" t="str">
        <f>VLOOKUP(bargiri[[#This Row],[شماره پیش فاکتور]],invoice[],16,0)</f>
        <v>عادی</v>
      </c>
      <c r="K464" s="252">
        <f>bargiri[[#This Row],[فی]]*bargiri[[#This Row],[میزان بارگیری شده]]</f>
        <v>2724330000</v>
      </c>
      <c r="X464" s="1"/>
      <c r="Y464" s="1"/>
      <c r="Z464" s="1"/>
    </row>
    <row r="465" spans="1:26" ht="18.600000000000001">
      <c r="A465" s="360" t="s">
        <v>1068</v>
      </c>
      <c r="B465" s="360" t="s">
        <v>118</v>
      </c>
      <c r="C465" s="355" t="s">
        <v>1072</v>
      </c>
      <c r="D465">
        <v>20930</v>
      </c>
      <c r="E465" s="143">
        <v>129730</v>
      </c>
      <c r="F465" s="117">
        <v>1405</v>
      </c>
      <c r="G465" s="360" t="s">
        <v>311</v>
      </c>
      <c r="H465" s="144">
        <f>bargiri[[#This Row],[میزان بارگیری شده]]*bargiri[[#This Row],[فی]]</f>
        <v>2715248900</v>
      </c>
      <c r="I465" s="360">
        <f>IF(year=bargiri[[#This Row],[سال]],1,0)</f>
        <v>1</v>
      </c>
      <c r="J465" s="360" t="str">
        <f>VLOOKUP(bargiri[[#This Row],[شماره پیش فاکتور]],invoice[],16,0)</f>
        <v>عادی</v>
      </c>
      <c r="K465" s="252">
        <f>bargiri[[#This Row],[فی]]*bargiri[[#This Row],[میزان بارگیری شده]]</f>
        <v>2715248900</v>
      </c>
      <c r="X465" s="1"/>
      <c r="Y465" s="1"/>
      <c r="Z465" s="1"/>
    </row>
    <row r="466" spans="1:26" ht="18.600000000000001">
      <c r="A466" s="360" t="s">
        <v>1068</v>
      </c>
      <c r="B466" s="360" t="s">
        <v>118</v>
      </c>
      <c r="C466" s="355" t="s">
        <v>1072</v>
      </c>
      <c r="D466">
        <v>21010</v>
      </c>
      <c r="E466" s="143">
        <v>129730</v>
      </c>
      <c r="F466" s="117">
        <v>1405</v>
      </c>
      <c r="G466" s="360" t="s">
        <v>311</v>
      </c>
      <c r="H466" s="144">
        <f>bargiri[[#This Row],[میزان بارگیری شده]]*bargiri[[#This Row],[فی]]</f>
        <v>2725627300</v>
      </c>
      <c r="I466" s="360">
        <f>IF(year=bargiri[[#This Row],[سال]],1,0)</f>
        <v>1</v>
      </c>
      <c r="J466" s="360" t="str">
        <f>VLOOKUP(bargiri[[#This Row],[شماره پیش فاکتور]],invoice[],16,0)</f>
        <v>عادی</v>
      </c>
      <c r="K466" s="252">
        <f>bargiri[[#This Row],[فی]]*bargiri[[#This Row],[میزان بارگیری شده]]</f>
        <v>2725627300</v>
      </c>
      <c r="X466" s="1"/>
      <c r="Y466" s="1"/>
      <c r="Z466" s="1"/>
    </row>
    <row r="467" spans="1:26" ht="18.600000000000001">
      <c r="A467" s="360" t="s">
        <v>1065</v>
      </c>
      <c r="B467" s="360" t="s">
        <v>118</v>
      </c>
      <c r="C467" s="355" t="s">
        <v>1072</v>
      </c>
      <c r="D467">
        <v>20000</v>
      </c>
      <c r="E467" s="143">
        <v>129730</v>
      </c>
      <c r="F467" s="117">
        <v>1405</v>
      </c>
      <c r="G467" s="360" t="s">
        <v>305</v>
      </c>
      <c r="H467" s="144">
        <f>bargiri[[#This Row],[میزان بارگیری شده]]*bargiri[[#This Row],[فی]]</f>
        <v>2594600000</v>
      </c>
      <c r="I467" s="360">
        <f>IF(year=bargiri[[#This Row],[سال]],1,0)</f>
        <v>1</v>
      </c>
      <c r="J467" s="360" t="str">
        <f>VLOOKUP(bargiri[[#This Row],[شماره پیش فاکتور]],invoice[],16,0)</f>
        <v>عادی</v>
      </c>
      <c r="K467" s="252">
        <f>bargiri[[#This Row],[فی]]*bargiri[[#This Row],[میزان بارگیری شده]]</f>
        <v>2594600000</v>
      </c>
      <c r="X467" s="1"/>
      <c r="Y467" s="1"/>
      <c r="Z467" s="1"/>
    </row>
    <row r="468" spans="1:26" ht="18.600000000000001">
      <c r="A468" s="360" t="s">
        <v>1065</v>
      </c>
      <c r="B468" s="360" t="s">
        <v>118</v>
      </c>
      <c r="C468" s="355" t="s">
        <v>1072</v>
      </c>
      <c r="D468">
        <v>20140</v>
      </c>
      <c r="E468" s="143">
        <v>129730</v>
      </c>
      <c r="F468" s="117">
        <v>1405</v>
      </c>
      <c r="G468" s="360" t="s">
        <v>305</v>
      </c>
      <c r="H468" s="144">
        <f>bargiri[[#This Row],[میزان بارگیری شده]]*bargiri[[#This Row],[فی]]</f>
        <v>2612762200</v>
      </c>
      <c r="I468" s="360">
        <f>IF(year=bargiri[[#This Row],[سال]],1,0)</f>
        <v>1</v>
      </c>
      <c r="J468" s="360" t="str">
        <f>VLOOKUP(bargiri[[#This Row],[شماره پیش فاکتور]],invoice[],16,0)</f>
        <v>عادی</v>
      </c>
      <c r="K468" s="252">
        <f>bargiri[[#This Row],[فی]]*bargiri[[#This Row],[میزان بارگیری شده]]</f>
        <v>2612762200</v>
      </c>
      <c r="X468" s="1"/>
      <c r="Y468" s="1"/>
      <c r="Z468" s="1"/>
    </row>
    <row r="469" spans="1:26" ht="18.600000000000001">
      <c r="A469" s="360" t="s">
        <v>1063</v>
      </c>
      <c r="B469" s="360" t="s">
        <v>118</v>
      </c>
      <c r="C469" s="355" t="s">
        <v>1072</v>
      </c>
      <c r="D469">
        <v>20960</v>
      </c>
      <c r="E469" s="143">
        <v>129730</v>
      </c>
      <c r="F469" s="117">
        <v>1405</v>
      </c>
      <c r="G469" s="360" t="s">
        <v>305</v>
      </c>
      <c r="H469" s="144">
        <f>bargiri[[#This Row],[میزان بارگیری شده]]*bargiri[[#This Row],[فی]]</f>
        <v>2719140800</v>
      </c>
      <c r="I469" s="360">
        <f>IF(year=bargiri[[#This Row],[سال]],1,0)</f>
        <v>1</v>
      </c>
      <c r="J469" s="360" t="str">
        <f>VLOOKUP(bargiri[[#This Row],[شماره پیش فاکتور]],invoice[],16,0)</f>
        <v>عادی</v>
      </c>
      <c r="K469" s="252">
        <f>bargiri[[#This Row],[فی]]*bargiri[[#This Row],[میزان بارگیری شده]]</f>
        <v>2719140800</v>
      </c>
      <c r="X469" s="1"/>
      <c r="Y469" s="1"/>
      <c r="Z469" s="1"/>
    </row>
    <row r="470" spans="1:26" ht="18.600000000000001">
      <c r="A470" s="360" t="s">
        <v>1063</v>
      </c>
      <c r="B470" s="360" t="s">
        <v>118</v>
      </c>
      <c r="C470" s="355" t="s">
        <v>1072</v>
      </c>
      <c r="D470">
        <v>20480</v>
      </c>
      <c r="E470" s="143">
        <v>129730</v>
      </c>
      <c r="F470" s="117">
        <v>1405</v>
      </c>
      <c r="G470" s="360" t="s">
        <v>305</v>
      </c>
      <c r="H470" s="144">
        <f>bargiri[[#This Row],[میزان بارگیری شده]]*bargiri[[#This Row],[فی]]</f>
        <v>2656870400</v>
      </c>
      <c r="I470" s="360">
        <f>IF(year=bargiri[[#This Row],[سال]],1,0)</f>
        <v>1</v>
      </c>
      <c r="J470" s="360" t="str">
        <f>VLOOKUP(bargiri[[#This Row],[شماره پیش فاکتور]],invoice[],16,0)</f>
        <v>عادی</v>
      </c>
      <c r="K470" s="252">
        <f>bargiri[[#This Row],[فی]]*bargiri[[#This Row],[میزان بارگیری شده]]</f>
        <v>2656870400</v>
      </c>
      <c r="X470" s="1"/>
      <c r="Y470" s="1"/>
      <c r="Z470" s="1"/>
    </row>
    <row r="471" spans="1:26" ht="18.600000000000001">
      <c r="A471" s="360" t="s">
        <v>1063</v>
      </c>
      <c r="B471" s="360" t="s">
        <v>118</v>
      </c>
      <c r="C471" s="355" t="s">
        <v>1072</v>
      </c>
      <c r="D471">
        <v>20850</v>
      </c>
      <c r="E471" s="143">
        <v>129730</v>
      </c>
      <c r="F471" s="117">
        <v>1405</v>
      </c>
      <c r="G471" s="360" t="s">
        <v>305</v>
      </c>
      <c r="H471" s="144">
        <f>bargiri[[#This Row],[میزان بارگیری شده]]*bargiri[[#This Row],[فی]]</f>
        <v>2704870500</v>
      </c>
      <c r="I471" s="360">
        <f>IF(year=bargiri[[#This Row],[سال]],1,0)</f>
        <v>1</v>
      </c>
      <c r="J471" s="360" t="str">
        <f>VLOOKUP(bargiri[[#This Row],[شماره پیش فاکتور]],invoice[],16,0)</f>
        <v>عادی</v>
      </c>
      <c r="K471" s="252">
        <f>bargiri[[#This Row],[فی]]*bargiri[[#This Row],[میزان بارگیری شده]]</f>
        <v>2704870500</v>
      </c>
      <c r="X471" s="1"/>
      <c r="Y471" s="1"/>
      <c r="Z471" s="1"/>
    </row>
    <row r="472" spans="1:26" ht="18.600000000000001">
      <c r="A472" s="360" t="s">
        <v>1063</v>
      </c>
      <c r="B472" s="360" t="s">
        <v>118</v>
      </c>
      <c r="C472" s="355" t="s">
        <v>1072</v>
      </c>
      <c r="D472">
        <v>20310</v>
      </c>
      <c r="E472" s="143">
        <v>129730</v>
      </c>
      <c r="F472" s="117">
        <v>1405</v>
      </c>
      <c r="G472" s="360" t="s">
        <v>305</v>
      </c>
      <c r="H472" s="144">
        <f>bargiri[[#This Row],[میزان بارگیری شده]]*bargiri[[#This Row],[فی]]</f>
        <v>2634816300</v>
      </c>
      <c r="I472" s="360">
        <f>IF(year=bargiri[[#This Row],[سال]],1,0)</f>
        <v>1</v>
      </c>
      <c r="J472" s="360" t="str">
        <f>VLOOKUP(bargiri[[#This Row],[شماره پیش فاکتور]],invoice[],16,0)</f>
        <v>عادی</v>
      </c>
      <c r="K472" s="252">
        <f>bargiri[[#This Row],[فی]]*bargiri[[#This Row],[میزان بارگیری شده]]</f>
        <v>2634816300</v>
      </c>
      <c r="X472" s="1"/>
      <c r="Y472" s="1"/>
      <c r="Z472" s="1"/>
    </row>
    <row r="473" spans="1:26" ht="18.600000000000001">
      <c r="A473" s="360" t="s">
        <v>1077</v>
      </c>
      <c r="B473" s="360" t="s">
        <v>118</v>
      </c>
      <c r="C473" s="355" t="s">
        <v>1072</v>
      </c>
      <c r="D473">
        <v>21020</v>
      </c>
      <c r="E473" s="143">
        <v>129730</v>
      </c>
      <c r="F473" s="117">
        <v>1405</v>
      </c>
      <c r="G473" s="360" t="s">
        <v>305</v>
      </c>
      <c r="H473" s="144">
        <f>bargiri[[#This Row],[میزان بارگیری شده]]*bargiri[[#This Row],[فی]]</f>
        <v>2726924600</v>
      </c>
      <c r="I473" s="360">
        <f>IF(year=bargiri[[#This Row],[سال]],1,0)</f>
        <v>1</v>
      </c>
      <c r="J473" s="360" t="str">
        <f>VLOOKUP(bargiri[[#This Row],[شماره پیش فاکتور]],invoice[],16,0)</f>
        <v>عادی</v>
      </c>
      <c r="K473" s="252">
        <f>bargiri[[#This Row],[فی]]*bargiri[[#This Row],[میزان بارگیری شده]]</f>
        <v>2726924600</v>
      </c>
      <c r="X473" s="1"/>
      <c r="Y473" s="1"/>
      <c r="Z473" s="1"/>
    </row>
    <row r="474" spans="1:26" ht="18.600000000000001">
      <c r="A474" s="360" t="s">
        <v>1077</v>
      </c>
      <c r="B474" s="360" t="s">
        <v>118</v>
      </c>
      <c r="C474" s="355" t="s">
        <v>1072</v>
      </c>
      <c r="D474">
        <v>20600</v>
      </c>
      <c r="E474" s="143">
        <v>129730</v>
      </c>
      <c r="F474" s="117">
        <v>1405</v>
      </c>
      <c r="G474" s="360" t="s">
        <v>305</v>
      </c>
      <c r="H474" s="144">
        <f>bargiri[[#This Row],[میزان بارگیری شده]]*bargiri[[#This Row],[فی]]</f>
        <v>2672438000</v>
      </c>
      <c r="I474" s="360">
        <f>IF(year=bargiri[[#This Row],[سال]],1,0)</f>
        <v>1</v>
      </c>
      <c r="J474" s="360" t="str">
        <f>VLOOKUP(bargiri[[#This Row],[شماره پیش فاکتور]],invoice[],16,0)</f>
        <v>عادی</v>
      </c>
      <c r="K474" s="252">
        <f>bargiri[[#This Row],[فی]]*bargiri[[#This Row],[میزان بارگیری شده]]</f>
        <v>2672438000</v>
      </c>
      <c r="X474" s="1"/>
      <c r="Y474" s="1"/>
      <c r="Z474" s="1"/>
    </row>
    <row r="475" spans="1:26" ht="18.600000000000001">
      <c r="A475" s="360" t="s">
        <v>1077</v>
      </c>
      <c r="B475" s="360" t="s">
        <v>118</v>
      </c>
      <c r="C475" s="355" t="s">
        <v>1072</v>
      </c>
      <c r="D475">
        <v>21130</v>
      </c>
      <c r="E475" s="143">
        <v>129730</v>
      </c>
      <c r="F475" s="117">
        <v>1405</v>
      </c>
      <c r="G475" s="360" t="s">
        <v>305</v>
      </c>
      <c r="H475" s="144">
        <f>bargiri[[#This Row],[میزان بارگیری شده]]*bargiri[[#This Row],[فی]]</f>
        <v>2741194900</v>
      </c>
      <c r="I475" s="360">
        <f>IF(year=bargiri[[#This Row],[سال]],1,0)</f>
        <v>1</v>
      </c>
      <c r="J475" s="360" t="str">
        <f>VLOOKUP(bargiri[[#This Row],[شماره پیش فاکتور]],invoice[],16,0)</f>
        <v>عادی</v>
      </c>
      <c r="K475" s="252">
        <f>bargiri[[#This Row],[فی]]*bargiri[[#This Row],[میزان بارگیری شده]]</f>
        <v>2741194900</v>
      </c>
      <c r="X475" s="1"/>
      <c r="Y475" s="1"/>
      <c r="Z475" s="1"/>
    </row>
    <row r="476" spans="1:26" ht="18.600000000000001">
      <c r="A476" s="360" t="s">
        <v>1057</v>
      </c>
      <c r="B476" s="360" t="s">
        <v>118</v>
      </c>
      <c r="C476" s="355" t="s">
        <v>1072</v>
      </c>
      <c r="D476">
        <v>20980</v>
      </c>
      <c r="E476" s="143">
        <v>129730</v>
      </c>
      <c r="F476" s="117">
        <v>1405</v>
      </c>
      <c r="G476" s="360" t="s">
        <v>305</v>
      </c>
      <c r="H476" s="144">
        <f>bargiri[[#This Row],[میزان بارگیری شده]]*bargiri[[#This Row],[فی]]</f>
        <v>2721735400</v>
      </c>
      <c r="I476" s="360">
        <f>IF(year=bargiri[[#This Row],[سال]],1,0)</f>
        <v>1</v>
      </c>
      <c r="J476" s="360" t="str">
        <f>VLOOKUP(bargiri[[#This Row],[شماره پیش فاکتور]],invoice[],16,0)</f>
        <v>عادی</v>
      </c>
      <c r="K476" s="252">
        <f>bargiri[[#This Row],[فی]]*bargiri[[#This Row],[میزان بارگیری شده]]</f>
        <v>2721735400</v>
      </c>
      <c r="X476" s="1"/>
      <c r="Y476" s="1"/>
      <c r="Z476" s="1"/>
    </row>
    <row r="477" spans="1:26" ht="18.600000000000001">
      <c r="A477" s="360" t="s">
        <v>1057</v>
      </c>
      <c r="B477" s="360" t="s">
        <v>118</v>
      </c>
      <c r="C477" s="355" t="s">
        <v>1072</v>
      </c>
      <c r="D477">
        <v>21100</v>
      </c>
      <c r="E477" s="143">
        <v>129730</v>
      </c>
      <c r="F477" s="117">
        <v>1405</v>
      </c>
      <c r="G477" s="360" t="s">
        <v>305</v>
      </c>
      <c r="H477" s="144">
        <f>bargiri[[#This Row],[میزان بارگیری شده]]*bargiri[[#This Row],[فی]]</f>
        <v>2737303000</v>
      </c>
      <c r="I477" s="360">
        <f>IF(year=bargiri[[#This Row],[سال]],1,0)</f>
        <v>1</v>
      </c>
      <c r="J477" s="360" t="str">
        <f>VLOOKUP(bargiri[[#This Row],[شماره پیش فاکتور]],invoice[],16,0)</f>
        <v>عادی</v>
      </c>
      <c r="K477" s="252">
        <f>bargiri[[#This Row],[فی]]*bargiri[[#This Row],[میزان بارگیری شده]]</f>
        <v>2737303000</v>
      </c>
      <c r="X477" s="1"/>
      <c r="Y477" s="1"/>
      <c r="Z477" s="1"/>
    </row>
    <row r="478" spans="1:26" ht="18.600000000000001">
      <c r="A478" s="360" t="s">
        <v>1057</v>
      </c>
      <c r="B478" s="360" t="s">
        <v>118</v>
      </c>
      <c r="C478" s="355" t="s">
        <v>1072</v>
      </c>
      <c r="D478">
        <v>20980</v>
      </c>
      <c r="E478" s="143">
        <v>129730</v>
      </c>
      <c r="F478" s="117">
        <v>1405</v>
      </c>
      <c r="G478" s="360" t="s">
        <v>305</v>
      </c>
      <c r="H478" s="144">
        <f>bargiri[[#This Row],[میزان بارگیری شده]]*bargiri[[#This Row],[فی]]</f>
        <v>2721735400</v>
      </c>
      <c r="I478" s="360">
        <f>IF(year=bargiri[[#This Row],[سال]],1,0)</f>
        <v>1</v>
      </c>
      <c r="J478" s="360" t="str">
        <f>VLOOKUP(bargiri[[#This Row],[شماره پیش فاکتور]],invoice[],16,0)</f>
        <v>عادی</v>
      </c>
      <c r="K478" s="252">
        <f>bargiri[[#This Row],[فی]]*bargiri[[#This Row],[میزان بارگیری شده]]</f>
        <v>2721735400</v>
      </c>
      <c r="X478" s="1"/>
      <c r="Y478" s="1"/>
      <c r="Z478" s="1"/>
    </row>
    <row r="479" spans="1:26" ht="18.600000000000001">
      <c r="A479" s="360" t="s">
        <v>1057</v>
      </c>
      <c r="B479" s="360" t="s">
        <v>118</v>
      </c>
      <c r="C479" s="355" t="s">
        <v>1072</v>
      </c>
      <c r="D479">
        <v>21080</v>
      </c>
      <c r="E479" s="143">
        <v>129730</v>
      </c>
      <c r="F479" s="117">
        <v>1405</v>
      </c>
      <c r="G479" s="360" t="s">
        <v>305</v>
      </c>
      <c r="H479" s="144">
        <f>bargiri[[#This Row],[میزان بارگیری شده]]*bargiri[[#This Row],[فی]]</f>
        <v>2734708400</v>
      </c>
      <c r="I479" s="360">
        <f>IF(year=bargiri[[#This Row],[سال]],1,0)</f>
        <v>1</v>
      </c>
      <c r="J479" s="360" t="str">
        <f>VLOOKUP(bargiri[[#This Row],[شماره پیش فاکتور]],invoice[],16,0)</f>
        <v>عادی</v>
      </c>
      <c r="K479" s="252">
        <f>bargiri[[#This Row],[فی]]*bargiri[[#This Row],[میزان بارگیری شده]]</f>
        <v>2734708400</v>
      </c>
      <c r="X479" s="1"/>
      <c r="Y479" s="1"/>
      <c r="Z479" s="1"/>
    </row>
    <row r="480" spans="1:26" ht="18.600000000000001">
      <c r="A480" s="360" t="s">
        <v>1057</v>
      </c>
      <c r="B480" s="360" t="s">
        <v>118</v>
      </c>
      <c r="C480" s="355" t="s">
        <v>1072</v>
      </c>
      <c r="D480">
        <v>21140</v>
      </c>
      <c r="E480" s="143">
        <v>129730</v>
      </c>
      <c r="F480" s="117">
        <v>1405</v>
      </c>
      <c r="G480" s="360" t="s">
        <v>305</v>
      </c>
      <c r="H480" s="144">
        <f>bargiri[[#This Row],[میزان بارگیری شده]]*bargiri[[#This Row],[فی]]</f>
        <v>2742492200</v>
      </c>
      <c r="I480" s="360">
        <f>IF(year=bargiri[[#This Row],[سال]],1,0)</f>
        <v>1</v>
      </c>
      <c r="J480" s="360" t="str">
        <f>VLOOKUP(bargiri[[#This Row],[شماره پیش فاکتور]],invoice[],16,0)</f>
        <v>عادی</v>
      </c>
      <c r="K480" s="252">
        <f>bargiri[[#This Row],[فی]]*bargiri[[#This Row],[میزان بارگیری شده]]</f>
        <v>2742492200</v>
      </c>
      <c r="X480" s="1"/>
      <c r="Y480" s="1"/>
      <c r="Z480" s="1"/>
    </row>
    <row r="481" spans="1:26" ht="18.600000000000001">
      <c r="A481" s="360" t="s">
        <v>1044</v>
      </c>
      <c r="B481" s="360" t="s">
        <v>118</v>
      </c>
      <c r="C481" s="355" t="s">
        <v>1072</v>
      </c>
      <c r="D481">
        <v>21170</v>
      </c>
      <c r="E481" s="143">
        <v>129730</v>
      </c>
      <c r="F481" s="117">
        <v>1405</v>
      </c>
      <c r="G481" s="360" t="s">
        <v>305</v>
      </c>
      <c r="H481" s="144">
        <f>bargiri[[#This Row],[میزان بارگیری شده]]*bargiri[[#This Row],[فی]]</f>
        <v>2746384100</v>
      </c>
      <c r="I481" s="360">
        <f>IF(year=bargiri[[#This Row],[سال]],1,0)</f>
        <v>1</v>
      </c>
      <c r="J481" s="360" t="str">
        <f>VLOOKUP(bargiri[[#This Row],[شماره پیش فاکتور]],invoice[],16,0)</f>
        <v>عادی</v>
      </c>
      <c r="K481" s="252">
        <f>bargiri[[#This Row],[فی]]*bargiri[[#This Row],[میزان بارگیری شده]]</f>
        <v>2746384100</v>
      </c>
      <c r="X481" s="1"/>
      <c r="Y481" s="1"/>
      <c r="Z481" s="1"/>
    </row>
    <row r="482" spans="1:26" ht="18.600000000000001">
      <c r="A482" s="360" t="s">
        <v>1044</v>
      </c>
      <c r="B482" s="360" t="s">
        <v>118</v>
      </c>
      <c r="C482" s="355" t="s">
        <v>1056</v>
      </c>
      <c r="D482">
        <v>2920</v>
      </c>
      <c r="E482" s="143">
        <v>123481</v>
      </c>
      <c r="F482" s="117">
        <v>1405</v>
      </c>
      <c r="G482" s="360" t="s">
        <v>305</v>
      </c>
      <c r="H482" s="144">
        <f>bargiri[[#This Row],[میزان بارگیری شده]]*bargiri[[#This Row],[فی]]</f>
        <v>360564520</v>
      </c>
      <c r="I482" s="360">
        <f>IF(year=bargiri[[#This Row],[سال]],1,0)</f>
        <v>1</v>
      </c>
      <c r="J482" s="360" t="str">
        <f>VLOOKUP(bargiri[[#This Row],[شماره پیش فاکتور]],invoice[],16,0)</f>
        <v>عادی</v>
      </c>
      <c r="K482" s="252">
        <f>bargiri[[#This Row],[فی]]*bargiri[[#This Row],[میزان بارگیری شده]]</f>
        <v>360564520</v>
      </c>
      <c r="X482" s="1"/>
      <c r="Y482" s="1"/>
      <c r="Z482" s="1"/>
    </row>
    <row r="483" spans="1:26" ht="18.600000000000001">
      <c r="A483" s="360" t="s">
        <v>1044</v>
      </c>
      <c r="B483" s="360" t="s">
        <v>118</v>
      </c>
      <c r="C483" s="355" t="s">
        <v>1072</v>
      </c>
      <c r="D483">
        <v>17280</v>
      </c>
      <c r="E483" s="143">
        <v>129730</v>
      </c>
      <c r="F483" s="117">
        <v>1405</v>
      </c>
      <c r="G483" s="360" t="s">
        <v>305</v>
      </c>
      <c r="H483" s="144">
        <f>bargiri[[#This Row],[میزان بارگیری شده]]*bargiri[[#This Row],[فی]]</f>
        <v>2241734400</v>
      </c>
      <c r="I483" s="360">
        <f>IF(year=bargiri[[#This Row],[سال]],1,0)</f>
        <v>1</v>
      </c>
      <c r="J483" s="360" t="str">
        <f>VLOOKUP(bargiri[[#This Row],[شماره پیش فاکتور]],invoice[],16,0)</f>
        <v>عادی</v>
      </c>
      <c r="K483" s="252">
        <f>bargiri[[#This Row],[فی]]*bargiri[[#This Row],[میزان بارگیری شده]]</f>
        <v>2241734400</v>
      </c>
      <c r="X483" s="1"/>
      <c r="Y483" s="1"/>
      <c r="Z483" s="1"/>
    </row>
    <row r="484" spans="1:26" ht="18.600000000000001">
      <c r="A484" s="360" t="s">
        <v>1078</v>
      </c>
      <c r="B484" s="360" t="s">
        <v>113</v>
      </c>
      <c r="C484" s="355" t="s">
        <v>822</v>
      </c>
      <c r="D484">
        <v>21880</v>
      </c>
      <c r="E484" s="143">
        <v>105000</v>
      </c>
      <c r="F484" s="117">
        <v>1405</v>
      </c>
      <c r="G484" s="360" t="s">
        <v>311</v>
      </c>
      <c r="H484" s="144">
        <f>bargiri[[#This Row],[میزان بارگیری شده]]*bargiri[[#This Row],[فی]]</f>
        <v>2297400000</v>
      </c>
      <c r="I484" s="360">
        <f>IF(year=bargiri[[#This Row],[سال]],1,0)</f>
        <v>1</v>
      </c>
      <c r="J484" s="360" t="str">
        <f>VLOOKUP(bargiri[[#This Row],[شماره پیش فاکتور]],invoice[],16,0)</f>
        <v>عادی</v>
      </c>
      <c r="K484" s="252">
        <f>bargiri[[#This Row],[فی]]*bargiri[[#This Row],[میزان بارگیری شده]]</f>
        <v>2297400000</v>
      </c>
      <c r="X484" s="1"/>
      <c r="Y484" s="1"/>
      <c r="Z484" s="1"/>
    </row>
    <row r="485" spans="1:26" ht="18.600000000000001">
      <c r="A485" s="360" t="s">
        <v>1078</v>
      </c>
      <c r="B485" s="360" t="s">
        <v>102</v>
      </c>
      <c r="C485" s="355" t="s">
        <v>832</v>
      </c>
      <c r="D485">
        <v>7490</v>
      </c>
      <c r="E485" s="143">
        <v>108000</v>
      </c>
      <c r="F485" s="117">
        <v>1405</v>
      </c>
      <c r="G485" s="360" t="s">
        <v>311</v>
      </c>
      <c r="H485" s="144">
        <f>bargiri[[#This Row],[میزان بارگیری شده]]*bargiri[[#This Row],[فی]]</f>
        <v>808920000</v>
      </c>
      <c r="I485" s="360">
        <f>IF(year=bargiri[[#This Row],[سال]],1,0)</f>
        <v>1</v>
      </c>
      <c r="J485" s="360" t="str">
        <f>VLOOKUP(bargiri[[#This Row],[شماره پیش فاکتور]],invoice[],16,0)</f>
        <v>عادی</v>
      </c>
      <c r="K485" s="252">
        <f>bargiri[[#This Row],[فی]]*bargiri[[#This Row],[میزان بارگیری شده]]</f>
        <v>808920000</v>
      </c>
      <c r="X485" s="1"/>
      <c r="Y485" s="1"/>
      <c r="Z485" s="1"/>
    </row>
    <row r="486" spans="1:26" ht="18.600000000000001">
      <c r="A486" s="360" t="s">
        <v>1079</v>
      </c>
      <c r="B486" s="360" t="s">
        <v>114</v>
      </c>
      <c r="C486" s="355" t="s">
        <v>905</v>
      </c>
      <c r="D486">
        <v>22920</v>
      </c>
      <c r="E486" s="143">
        <v>135000</v>
      </c>
      <c r="F486" s="117">
        <v>1405</v>
      </c>
      <c r="G486" s="360" t="s">
        <v>311</v>
      </c>
      <c r="H486" s="144">
        <f>bargiri[[#This Row],[میزان بارگیری شده]]*bargiri[[#This Row],[فی]]</f>
        <v>3094200000</v>
      </c>
      <c r="I486" s="360">
        <f>IF(year=bargiri[[#This Row],[سال]],1,0)</f>
        <v>1</v>
      </c>
      <c r="J486" s="360" t="str">
        <f>VLOOKUP(bargiri[[#This Row],[شماره پیش فاکتور]],invoice[],16,0)</f>
        <v>عادی</v>
      </c>
      <c r="K486" s="252">
        <f>bargiri[[#This Row],[فی]]*bargiri[[#This Row],[میزان بارگیری شده]]</f>
        <v>3094200000</v>
      </c>
      <c r="X486" s="1"/>
      <c r="Y486" s="1"/>
      <c r="Z486" s="1"/>
    </row>
    <row r="487" spans="1:26" ht="18.600000000000001">
      <c r="A487" s="360" t="s">
        <v>1079</v>
      </c>
      <c r="B487" s="360" t="s">
        <v>106</v>
      </c>
      <c r="C487" s="355" t="s">
        <v>913</v>
      </c>
      <c r="D487">
        <v>22080</v>
      </c>
      <c r="E487" s="143">
        <v>125000</v>
      </c>
      <c r="F487" s="117">
        <v>1405</v>
      </c>
      <c r="G487" s="360" t="s">
        <v>311</v>
      </c>
      <c r="H487" s="144">
        <f>bargiri[[#This Row],[میزان بارگیری شده]]*bargiri[[#This Row],[فی]]</f>
        <v>2760000000</v>
      </c>
      <c r="I487" s="360">
        <f>IF(year=bargiri[[#This Row],[سال]],1,0)</f>
        <v>1</v>
      </c>
      <c r="J487" s="360" t="str">
        <f>VLOOKUP(bargiri[[#This Row],[شماره پیش فاکتور]],invoice[],16,0)</f>
        <v>عادی</v>
      </c>
      <c r="K487" s="252">
        <f>bargiri[[#This Row],[فی]]*bargiri[[#This Row],[میزان بارگیری شده]]</f>
        <v>2760000000</v>
      </c>
      <c r="X487" s="1"/>
      <c r="Y487" s="1"/>
      <c r="Z487" s="1"/>
    </row>
    <row r="488" spans="1:26" ht="18.600000000000001">
      <c r="A488" s="360" t="s">
        <v>1079</v>
      </c>
      <c r="B488" s="360" t="s">
        <v>122</v>
      </c>
      <c r="C488" s="355" t="s">
        <v>1054</v>
      </c>
      <c r="D488">
        <v>20530</v>
      </c>
      <c r="E488" s="143">
        <v>240000</v>
      </c>
      <c r="F488" s="117">
        <v>1405</v>
      </c>
      <c r="G488" s="360" t="s">
        <v>311</v>
      </c>
      <c r="H488" s="144">
        <f>bargiri[[#This Row],[میزان بارگیری شده]]*bargiri[[#This Row],[فی]]</f>
        <v>4927200000</v>
      </c>
      <c r="I488" s="360">
        <f>IF(year=bargiri[[#This Row],[سال]],1,0)</f>
        <v>1</v>
      </c>
      <c r="J488" s="360" t="str">
        <f>VLOOKUP(bargiri[[#This Row],[شماره پیش فاکتور]],invoice[],16,0)</f>
        <v>انجمن</v>
      </c>
      <c r="K488" s="252">
        <f>bargiri[[#This Row],[فی]]*bargiri[[#This Row],[میزان بارگیری شده]]</f>
        <v>4927200000</v>
      </c>
      <c r="X488" s="1"/>
      <c r="Y488" s="1"/>
      <c r="Z488" s="1"/>
    </row>
    <row r="489" spans="1:26" ht="18.600000000000001">
      <c r="A489" s="360" t="s">
        <v>1079</v>
      </c>
      <c r="B489" s="360" t="s">
        <v>123</v>
      </c>
      <c r="C489" s="355" t="s">
        <v>1035</v>
      </c>
      <c r="D489">
        <v>7280</v>
      </c>
      <c r="E489" s="143">
        <v>240000</v>
      </c>
      <c r="F489" s="117">
        <v>1405</v>
      </c>
      <c r="G489" s="360" t="s">
        <v>311</v>
      </c>
      <c r="H489" s="144">
        <f>bargiri[[#This Row],[میزان بارگیری شده]]*bargiri[[#This Row],[فی]]</f>
        <v>1747200000</v>
      </c>
      <c r="I489" s="360">
        <f>IF(year=bargiri[[#This Row],[سال]],1,0)</f>
        <v>1</v>
      </c>
      <c r="J489" s="360" t="str">
        <f>VLOOKUP(bargiri[[#This Row],[شماره پیش فاکتور]],invoice[],16,0)</f>
        <v>انجمن</v>
      </c>
      <c r="K489" s="252">
        <f>bargiri[[#This Row],[فی]]*bargiri[[#This Row],[میزان بارگیری شده]]</f>
        <v>1747200000</v>
      </c>
      <c r="X489" s="1"/>
      <c r="Y489" s="1"/>
      <c r="Z489" s="1"/>
    </row>
    <row r="490" spans="1:26" ht="18.600000000000001">
      <c r="A490" s="360" t="s">
        <v>1075</v>
      </c>
      <c r="B490" s="360" t="s">
        <v>114</v>
      </c>
      <c r="C490" s="355" t="s">
        <v>905</v>
      </c>
      <c r="D490">
        <v>22920</v>
      </c>
      <c r="E490" s="143">
        <v>135000</v>
      </c>
      <c r="F490" s="117">
        <v>1405</v>
      </c>
      <c r="G490" s="360" t="s">
        <v>311</v>
      </c>
      <c r="H490" s="144">
        <f>bargiri[[#This Row],[میزان بارگیری شده]]*bargiri[[#This Row],[فی]]</f>
        <v>3094200000</v>
      </c>
      <c r="I490" s="360">
        <f>IF(year=bargiri[[#This Row],[سال]],1,0)</f>
        <v>1</v>
      </c>
      <c r="J490" s="360" t="str">
        <f>VLOOKUP(bargiri[[#This Row],[شماره پیش فاکتور]],invoice[],16,0)</f>
        <v>عادی</v>
      </c>
      <c r="K490" s="252">
        <f>bargiri[[#This Row],[فی]]*bargiri[[#This Row],[میزان بارگیری شده]]</f>
        <v>3094200000</v>
      </c>
      <c r="X490" s="1"/>
      <c r="Y490" s="1"/>
      <c r="Z490" s="1"/>
    </row>
    <row r="491" spans="1:26" ht="18.600000000000001">
      <c r="A491" s="360" t="s">
        <v>1075</v>
      </c>
      <c r="B491" s="360" t="s">
        <v>106</v>
      </c>
      <c r="C491" s="355" t="s">
        <v>913</v>
      </c>
      <c r="D491">
        <v>23120</v>
      </c>
      <c r="E491" s="143">
        <v>125000</v>
      </c>
      <c r="F491" s="117">
        <v>1405</v>
      </c>
      <c r="G491" s="360" t="s">
        <v>311</v>
      </c>
      <c r="H491" s="144">
        <f>bargiri[[#This Row],[میزان بارگیری شده]]*bargiri[[#This Row],[فی]]</f>
        <v>2890000000</v>
      </c>
      <c r="I491" s="360">
        <f>IF(year=bargiri[[#This Row],[سال]],1,0)</f>
        <v>1</v>
      </c>
      <c r="J491" s="360" t="str">
        <f>VLOOKUP(bargiri[[#This Row],[شماره پیش فاکتور]],invoice[],16,0)</f>
        <v>عادی</v>
      </c>
      <c r="K491" s="252">
        <f>bargiri[[#This Row],[فی]]*bargiri[[#This Row],[میزان بارگیری شده]]</f>
        <v>2890000000</v>
      </c>
      <c r="X491" s="1"/>
      <c r="Y491" s="1"/>
      <c r="Z491" s="1"/>
    </row>
    <row r="492" spans="1:26" ht="18.600000000000001">
      <c r="A492" s="360" t="s">
        <v>1080</v>
      </c>
      <c r="B492" s="360" t="s">
        <v>116</v>
      </c>
      <c r="C492" s="355" t="s">
        <v>755</v>
      </c>
      <c r="D492">
        <v>20015</v>
      </c>
      <c r="E492" s="143">
        <v>116500</v>
      </c>
      <c r="F492" s="117">
        <v>1405</v>
      </c>
      <c r="G492" s="360" t="s">
        <v>311</v>
      </c>
      <c r="H492" s="144">
        <f>bargiri[[#This Row],[میزان بارگیری شده]]*bargiri[[#This Row],[فی]]</f>
        <v>2331747500</v>
      </c>
      <c r="I492" s="360">
        <f>IF(year=bargiri[[#This Row],[سال]],1,0)</f>
        <v>1</v>
      </c>
      <c r="J492" s="360" t="str">
        <f>VLOOKUP(bargiri[[#This Row],[شماره پیش فاکتور]],invoice[],16,0)</f>
        <v>تعادلی</v>
      </c>
      <c r="K492" s="252">
        <f>bargiri[[#This Row],[فی]]*bargiri[[#This Row],[میزان بارگیری شده]]</f>
        <v>2331747500</v>
      </c>
      <c r="X492" s="1"/>
      <c r="Y492" s="1"/>
      <c r="Z492" s="1"/>
    </row>
    <row r="493" spans="1:26" ht="18.600000000000001">
      <c r="A493" s="360" t="s">
        <v>1080</v>
      </c>
      <c r="B493" s="360" t="s">
        <v>116</v>
      </c>
      <c r="C493" s="355" t="s">
        <v>854</v>
      </c>
      <c r="D493">
        <v>775</v>
      </c>
      <c r="E493" s="143">
        <v>116500</v>
      </c>
      <c r="F493" s="117">
        <v>1405</v>
      </c>
      <c r="G493" s="360" t="s">
        <v>311</v>
      </c>
      <c r="H493" s="144">
        <f>bargiri[[#This Row],[میزان بارگیری شده]]*bargiri[[#This Row],[فی]]</f>
        <v>90287500</v>
      </c>
      <c r="I493" s="360">
        <f>IF(year=bargiri[[#This Row],[سال]],1,0)</f>
        <v>1</v>
      </c>
      <c r="J493" s="360" t="str">
        <f>VLOOKUP(bargiri[[#This Row],[شماره پیش فاکتور]],invoice[],16,0)</f>
        <v>تعادلی</v>
      </c>
      <c r="K493" s="252">
        <f>bargiri[[#This Row],[فی]]*bargiri[[#This Row],[میزان بارگیری شده]]</f>
        <v>90287500</v>
      </c>
      <c r="X493" s="1"/>
      <c r="Y493" s="1"/>
      <c r="Z493" s="1"/>
    </row>
    <row r="494" spans="1:26" ht="18.600000000000001">
      <c r="A494" s="360" t="s">
        <v>1074</v>
      </c>
      <c r="B494" s="360" t="s">
        <v>123</v>
      </c>
      <c r="C494" s="355" t="s">
        <v>1035</v>
      </c>
      <c r="D494">
        <v>20180</v>
      </c>
      <c r="E494" s="143">
        <v>240000</v>
      </c>
      <c r="F494" s="117">
        <v>1405</v>
      </c>
      <c r="G494" s="360" t="s">
        <v>311</v>
      </c>
      <c r="H494" s="144">
        <f>bargiri[[#This Row],[میزان بارگیری شده]]*bargiri[[#This Row],[فی]]</f>
        <v>4843200000</v>
      </c>
      <c r="I494" s="360">
        <f>IF(year=bargiri[[#This Row],[سال]],1,0)</f>
        <v>1</v>
      </c>
      <c r="J494" s="360" t="str">
        <f>VLOOKUP(bargiri[[#This Row],[شماره پیش فاکتور]],invoice[],16,0)</f>
        <v>انجمن</v>
      </c>
      <c r="K494" s="252">
        <f>bargiri[[#This Row],[فی]]*bargiri[[#This Row],[میزان بارگیری شده]]</f>
        <v>4843200000</v>
      </c>
      <c r="X494" s="1"/>
      <c r="Y494" s="1"/>
      <c r="Z494" s="1"/>
    </row>
    <row r="495" spans="1:26" ht="18.600000000000001">
      <c r="A495" s="360" t="s">
        <v>1074</v>
      </c>
      <c r="B495" s="360" t="s">
        <v>99</v>
      </c>
      <c r="C495" s="355" t="s">
        <v>821</v>
      </c>
      <c r="D495">
        <v>20420</v>
      </c>
      <c r="E495" s="143">
        <v>105000</v>
      </c>
      <c r="F495" s="117">
        <v>1405</v>
      </c>
      <c r="G495" s="360" t="s">
        <v>311</v>
      </c>
      <c r="H495" s="144">
        <f>bargiri[[#This Row],[میزان بارگیری شده]]*bargiri[[#This Row],[فی]]</f>
        <v>2144100000</v>
      </c>
      <c r="I495" s="360">
        <f>IF(year=bargiri[[#This Row],[سال]],1,0)</f>
        <v>1</v>
      </c>
      <c r="J495" s="360" t="str">
        <f>VLOOKUP(bargiri[[#This Row],[شماره پیش فاکتور]],invoice[],16,0)</f>
        <v>عادی</v>
      </c>
      <c r="K495" s="252">
        <f>bargiri[[#This Row],[فی]]*bargiri[[#This Row],[میزان بارگیری شده]]</f>
        <v>2144100000</v>
      </c>
      <c r="X495" s="1"/>
      <c r="Y495" s="1"/>
      <c r="Z495" s="1"/>
    </row>
    <row r="496" spans="1:26" ht="18.600000000000001">
      <c r="A496" s="360" t="s">
        <v>1074</v>
      </c>
      <c r="B496" s="360" t="s">
        <v>103</v>
      </c>
      <c r="C496" s="355" t="s">
        <v>1051</v>
      </c>
      <c r="D496">
        <v>20070</v>
      </c>
      <c r="E496" s="143">
        <v>240000</v>
      </c>
      <c r="F496" s="117">
        <v>1405</v>
      </c>
      <c r="G496" s="360" t="s">
        <v>311</v>
      </c>
      <c r="H496" s="144">
        <f>bargiri[[#This Row],[میزان بارگیری شده]]*bargiri[[#This Row],[فی]]</f>
        <v>4816800000</v>
      </c>
      <c r="I496" s="360">
        <f>IF(year=bargiri[[#This Row],[سال]],1,0)</f>
        <v>1</v>
      </c>
      <c r="J496" s="360" t="str">
        <f>VLOOKUP(bargiri[[#This Row],[شماره پیش فاکتور]],invoice[],16,0)</f>
        <v>انجمن</v>
      </c>
      <c r="K496" s="252">
        <f>bargiri[[#This Row],[فی]]*bargiri[[#This Row],[میزان بارگیری شده]]</f>
        <v>4816800000</v>
      </c>
      <c r="X496" s="1"/>
      <c r="Y496" s="1"/>
      <c r="Z496" s="1"/>
    </row>
    <row r="497" spans="1:26" ht="18.600000000000001">
      <c r="A497" s="360" t="s">
        <v>1074</v>
      </c>
      <c r="B497" s="360" t="s">
        <v>102</v>
      </c>
      <c r="C497" s="355" t="s">
        <v>1011</v>
      </c>
      <c r="D497">
        <v>11470</v>
      </c>
      <c r="E497" s="143">
        <v>120000</v>
      </c>
      <c r="F497" s="117">
        <v>1405</v>
      </c>
      <c r="G497" s="360" t="s">
        <v>311</v>
      </c>
      <c r="H497" s="144">
        <f>bargiri[[#This Row],[میزان بارگیری شده]]*bargiri[[#This Row],[فی]]</f>
        <v>1376400000</v>
      </c>
      <c r="I497" s="360">
        <f>IF(year=bargiri[[#This Row],[سال]],1,0)</f>
        <v>1</v>
      </c>
      <c r="J497" s="360" t="str">
        <f>VLOOKUP(bargiri[[#This Row],[شماره پیش فاکتور]],invoice[],16,0)</f>
        <v>عادی</v>
      </c>
      <c r="K497" s="252">
        <f>bargiri[[#This Row],[فی]]*bargiri[[#This Row],[میزان بارگیری شده]]</f>
        <v>1376400000</v>
      </c>
      <c r="X497" s="1"/>
      <c r="Y497" s="1"/>
      <c r="Z497" s="1"/>
    </row>
    <row r="498" spans="1:26" ht="18.600000000000001">
      <c r="A498" s="360" t="s">
        <v>1074</v>
      </c>
      <c r="B498" s="360" t="s">
        <v>113</v>
      </c>
      <c r="C498" s="355" t="s">
        <v>822</v>
      </c>
      <c r="D498">
        <v>21050</v>
      </c>
      <c r="E498" s="143">
        <v>105000</v>
      </c>
      <c r="F498" s="117">
        <v>1405</v>
      </c>
      <c r="G498" s="360" t="s">
        <v>311</v>
      </c>
      <c r="H498" s="144">
        <f>bargiri[[#This Row],[میزان بارگیری شده]]*bargiri[[#This Row],[فی]]</f>
        <v>2210250000</v>
      </c>
      <c r="I498" s="360">
        <f>IF(year=bargiri[[#This Row],[سال]],1,0)</f>
        <v>1</v>
      </c>
      <c r="J498" s="360" t="str">
        <f>VLOOKUP(bargiri[[#This Row],[شماره پیش فاکتور]],invoice[],16,0)</f>
        <v>عادی</v>
      </c>
      <c r="K498" s="252">
        <f>bargiri[[#This Row],[فی]]*bargiri[[#This Row],[میزان بارگیری شده]]</f>
        <v>2210250000</v>
      </c>
      <c r="X498" s="1"/>
      <c r="Y498" s="1"/>
      <c r="Z498" s="1"/>
    </row>
    <row r="499" spans="1:26" ht="18.600000000000001">
      <c r="A499" s="360" t="s">
        <v>1073</v>
      </c>
      <c r="B499" s="360" t="s">
        <v>99</v>
      </c>
      <c r="C499" s="355" t="s">
        <v>821</v>
      </c>
      <c r="D499">
        <v>20790</v>
      </c>
      <c r="E499" s="143">
        <v>105000</v>
      </c>
      <c r="F499" s="117">
        <v>1405</v>
      </c>
      <c r="G499" s="360" t="s">
        <v>311</v>
      </c>
      <c r="H499" s="144">
        <f>bargiri[[#This Row],[میزان بارگیری شده]]*bargiri[[#This Row],[فی]]</f>
        <v>2182950000</v>
      </c>
      <c r="I499" s="360">
        <f>IF(year=bargiri[[#This Row],[سال]],1,0)</f>
        <v>1</v>
      </c>
      <c r="J499" s="360" t="str">
        <f>VLOOKUP(bargiri[[#This Row],[شماره پیش فاکتور]],invoice[],16,0)</f>
        <v>عادی</v>
      </c>
      <c r="K499" s="252">
        <f>bargiri[[#This Row],[فی]]*bargiri[[#This Row],[میزان بارگیری شده]]</f>
        <v>2182950000</v>
      </c>
      <c r="X499" s="1"/>
      <c r="Y499" s="1"/>
      <c r="Z499" s="1"/>
    </row>
    <row r="500" spans="1:26" ht="18.600000000000001">
      <c r="A500" s="360" t="s">
        <v>1073</v>
      </c>
      <c r="B500" s="360" t="s">
        <v>116</v>
      </c>
      <c r="C500" s="355" t="s">
        <v>959</v>
      </c>
      <c r="D500">
        <v>21020</v>
      </c>
      <c r="E500" s="143">
        <v>167500</v>
      </c>
      <c r="F500" s="117">
        <v>1405</v>
      </c>
      <c r="G500" s="360" t="s">
        <v>311</v>
      </c>
      <c r="H500" s="144">
        <f>bargiri[[#This Row],[میزان بارگیری شده]]*bargiri[[#This Row],[فی]]</f>
        <v>3520850000</v>
      </c>
      <c r="I500" s="360">
        <f>IF(year=bargiri[[#This Row],[سال]],1,0)</f>
        <v>1</v>
      </c>
      <c r="J500" s="360" t="str">
        <f>VLOOKUP(bargiri[[#This Row],[شماره پیش فاکتور]],invoice[],16,0)</f>
        <v>بورس</v>
      </c>
      <c r="K500" s="252">
        <f>bargiri[[#This Row],[فی]]*bargiri[[#This Row],[میزان بارگیری شده]]</f>
        <v>3520850000</v>
      </c>
      <c r="X500" s="1"/>
      <c r="Y500" s="1"/>
      <c r="Z500" s="1"/>
    </row>
    <row r="501" spans="1:26" ht="18.600000000000001">
      <c r="A501" s="360" t="s">
        <v>1071</v>
      </c>
      <c r="B501" s="360" t="s">
        <v>106</v>
      </c>
      <c r="C501" s="355" t="s">
        <v>913</v>
      </c>
      <c r="D501">
        <v>20090</v>
      </c>
      <c r="E501" s="143">
        <v>125000</v>
      </c>
      <c r="F501" s="117">
        <v>1405</v>
      </c>
      <c r="G501" s="360" t="s">
        <v>311</v>
      </c>
      <c r="H501" s="144">
        <f>bargiri[[#This Row],[میزان بارگیری شده]]*bargiri[[#This Row],[فی]]</f>
        <v>2511250000</v>
      </c>
      <c r="I501" s="360">
        <f>IF(year=bargiri[[#This Row],[سال]],1,0)</f>
        <v>1</v>
      </c>
      <c r="J501" s="360" t="str">
        <f>VLOOKUP(bargiri[[#This Row],[شماره پیش فاکتور]],invoice[],16,0)</f>
        <v>عادی</v>
      </c>
      <c r="K501" s="252">
        <f>bargiri[[#This Row],[فی]]*bargiri[[#This Row],[میزان بارگیری شده]]</f>
        <v>2511250000</v>
      </c>
      <c r="X501" s="1"/>
      <c r="Y501" s="1"/>
      <c r="Z501" s="1"/>
    </row>
    <row r="502" spans="1:26" ht="18.600000000000001">
      <c r="A502" s="360" t="s">
        <v>1071</v>
      </c>
      <c r="B502" s="360" t="s">
        <v>116</v>
      </c>
      <c r="C502" s="355" t="s">
        <v>755</v>
      </c>
      <c r="D502">
        <v>20890</v>
      </c>
      <c r="E502" s="143">
        <v>116500</v>
      </c>
      <c r="F502" s="117">
        <v>1405</v>
      </c>
      <c r="G502" s="360" t="s">
        <v>311</v>
      </c>
      <c r="H502" s="144">
        <f>bargiri[[#This Row],[میزان بارگیری شده]]*bargiri[[#This Row],[فی]]</f>
        <v>2433685000</v>
      </c>
      <c r="I502" s="360">
        <f>IF(year=bargiri[[#This Row],[سال]],1,0)</f>
        <v>1</v>
      </c>
      <c r="J502" s="360" t="str">
        <f>VLOOKUP(bargiri[[#This Row],[شماره پیش فاکتور]],invoice[],16,0)</f>
        <v>تعادلی</v>
      </c>
      <c r="K502" s="252">
        <f>bargiri[[#This Row],[فی]]*bargiri[[#This Row],[میزان بارگیری شده]]</f>
        <v>2433685000</v>
      </c>
      <c r="X502" s="1"/>
      <c r="Y502" s="1"/>
      <c r="Z502" s="1"/>
    </row>
    <row r="503" spans="1:26" ht="18.600000000000001">
      <c r="A503" s="360" t="s">
        <v>1071</v>
      </c>
      <c r="B503" s="360" t="s">
        <v>103</v>
      </c>
      <c r="C503" s="355" t="s">
        <v>1051</v>
      </c>
      <c r="D503">
        <v>20040</v>
      </c>
      <c r="E503" s="143">
        <v>240000</v>
      </c>
      <c r="F503" s="117">
        <v>1405</v>
      </c>
      <c r="G503" s="360" t="s">
        <v>311</v>
      </c>
      <c r="H503" s="144">
        <f>bargiri[[#This Row],[میزان بارگیری شده]]*bargiri[[#This Row],[فی]]</f>
        <v>4809600000</v>
      </c>
      <c r="I503" s="360">
        <f>IF(year=bargiri[[#This Row],[سال]],1,0)</f>
        <v>1</v>
      </c>
      <c r="J503" s="360" t="str">
        <f>VLOOKUP(bargiri[[#This Row],[شماره پیش فاکتور]],invoice[],16,0)</f>
        <v>انجمن</v>
      </c>
      <c r="K503" s="252">
        <f>bargiri[[#This Row],[فی]]*bargiri[[#This Row],[میزان بارگیری شده]]</f>
        <v>4809600000</v>
      </c>
      <c r="X503" s="1"/>
      <c r="Y503" s="1"/>
      <c r="Z503" s="1"/>
    </row>
    <row r="504" spans="1:26" ht="18.600000000000001">
      <c r="A504" s="360" t="s">
        <v>1071</v>
      </c>
      <c r="B504" s="360" t="s">
        <v>117</v>
      </c>
      <c r="C504" s="355" t="s">
        <v>983</v>
      </c>
      <c r="D504">
        <v>40</v>
      </c>
      <c r="E504" s="143">
        <v>167500</v>
      </c>
      <c r="F504" s="117">
        <v>1405</v>
      </c>
      <c r="G504" s="360" t="s">
        <v>311</v>
      </c>
      <c r="H504" s="144">
        <f>bargiri[[#This Row],[میزان بارگیری شده]]*bargiri[[#This Row],[فی]]</f>
        <v>6700000</v>
      </c>
      <c r="I504" s="360">
        <f>IF(year=bargiri[[#This Row],[سال]],1,0)</f>
        <v>1</v>
      </c>
      <c r="J504" s="360" t="str">
        <f>VLOOKUP(bargiri[[#This Row],[شماره پیش فاکتور]],invoice[],16,0)</f>
        <v>بورس</v>
      </c>
      <c r="K504" s="252">
        <f>bargiri[[#This Row],[فی]]*bargiri[[#This Row],[میزان بارگیری شده]]</f>
        <v>6700000</v>
      </c>
      <c r="X504" s="1"/>
      <c r="Y504" s="1"/>
      <c r="Z504" s="1"/>
    </row>
    <row r="505" spans="1:26" ht="18.600000000000001">
      <c r="A505" s="360" t="s">
        <v>1071</v>
      </c>
      <c r="B505" s="360" t="s">
        <v>117</v>
      </c>
      <c r="C505" s="355" t="s">
        <v>1013</v>
      </c>
      <c r="D505">
        <v>20020</v>
      </c>
      <c r="E505" s="143">
        <v>120000</v>
      </c>
      <c r="F505" s="117">
        <v>1405</v>
      </c>
      <c r="G505" s="360" t="s">
        <v>311</v>
      </c>
      <c r="H505" s="144">
        <f>bargiri[[#This Row],[میزان بارگیری شده]]*bargiri[[#This Row],[فی]]</f>
        <v>2402400000</v>
      </c>
      <c r="I505" s="360">
        <f>IF(year=bargiri[[#This Row],[سال]],1,0)</f>
        <v>1</v>
      </c>
      <c r="J505" s="360" t="str">
        <f>VLOOKUP(bargiri[[#This Row],[شماره پیش فاکتور]],invoice[],16,0)</f>
        <v>عادی</v>
      </c>
      <c r="K505" s="252">
        <f>bargiri[[#This Row],[فی]]*bargiri[[#This Row],[میزان بارگیری شده]]</f>
        <v>2402400000</v>
      </c>
      <c r="X505" s="1"/>
      <c r="Y505" s="1"/>
      <c r="Z505" s="1"/>
    </row>
    <row r="506" spans="1:26" ht="18.600000000000001">
      <c r="A506" s="360" t="s">
        <v>1071</v>
      </c>
      <c r="B506" s="360" t="s">
        <v>122</v>
      </c>
      <c r="C506" s="355" t="s">
        <v>1054</v>
      </c>
      <c r="D506">
        <v>23030</v>
      </c>
      <c r="E506" s="143">
        <v>240000</v>
      </c>
      <c r="F506" s="117">
        <v>1405</v>
      </c>
      <c r="G506" s="360" t="s">
        <v>311</v>
      </c>
      <c r="H506" s="144">
        <f>bargiri[[#This Row],[میزان بارگیری شده]]*bargiri[[#This Row],[فی]]</f>
        <v>5527200000</v>
      </c>
      <c r="I506" s="360">
        <f>IF(year=bargiri[[#This Row],[سال]],1,0)</f>
        <v>1</v>
      </c>
      <c r="J506" s="360" t="str">
        <f>VLOOKUP(bargiri[[#This Row],[شماره پیش فاکتور]],invoice[],16,0)</f>
        <v>انجمن</v>
      </c>
      <c r="K506" s="252">
        <f>bargiri[[#This Row],[فی]]*bargiri[[#This Row],[میزان بارگیری شده]]</f>
        <v>5527200000</v>
      </c>
      <c r="X506" s="1"/>
      <c r="Y506" s="1"/>
      <c r="Z506" s="1"/>
    </row>
    <row r="507" spans="1:26" ht="18.600000000000001">
      <c r="A507" s="360" t="s">
        <v>1070</v>
      </c>
      <c r="B507" s="360" t="s">
        <v>116</v>
      </c>
      <c r="C507" s="355" t="s">
        <v>723</v>
      </c>
      <c r="D507">
        <v>10905</v>
      </c>
      <c r="E507" s="143">
        <v>116500</v>
      </c>
      <c r="F507" s="117">
        <v>1405</v>
      </c>
      <c r="G507" s="360" t="s">
        <v>311</v>
      </c>
      <c r="H507" s="144">
        <f>bargiri[[#This Row],[میزان بارگیری شده]]*bargiri[[#This Row],[فی]]</f>
        <v>1270432500</v>
      </c>
      <c r="I507" s="360">
        <f>IF(year=bargiri[[#This Row],[سال]],1,0)</f>
        <v>1</v>
      </c>
      <c r="J507" s="360" t="str">
        <f>VLOOKUP(bargiri[[#This Row],[شماره پیش فاکتور]],invoice[],16,0)</f>
        <v>تعادلی</v>
      </c>
      <c r="K507" s="252">
        <f>bargiri[[#This Row],[فی]]*bargiri[[#This Row],[میزان بارگیری شده]]</f>
        <v>1270432500</v>
      </c>
      <c r="X507" s="1"/>
      <c r="Y507" s="1"/>
      <c r="Z507" s="1"/>
    </row>
    <row r="508" spans="1:26" ht="18.600000000000001">
      <c r="A508" s="360" t="s">
        <v>1070</v>
      </c>
      <c r="B508" s="360" t="s">
        <v>116</v>
      </c>
      <c r="C508" s="355" t="s">
        <v>755</v>
      </c>
      <c r="D508">
        <v>9095</v>
      </c>
      <c r="E508" s="143">
        <v>116500</v>
      </c>
      <c r="F508" s="117">
        <v>1405</v>
      </c>
      <c r="G508" s="360" t="s">
        <v>311</v>
      </c>
      <c r="H508" s="144">
        <f>bargiri[[#This Row],[میزان بارگیری شده]]*bargiri[[#This Row],[فی]]</f>
        <v>1059567500</v>
      </c>
      <c r="I508" s="360">
        <f>IF(year=bargiri[[#This Row],[سال]],1,0)</f>
        <v>1</v>
      </c>
      <c r="J508" s="360" t="str">
        <f>VLOOKUP(bargiri[[#This Row],[شماره پیش فاکتور]],invoice[],16,0)</f>
        <v>تعادلی</v>
      </c>
      <c r="K508" s="252">
        <f>bargiri[[#This Row],[فی]]*bargiri[[#This Row],[میزان بارگیری شده]]</f>
        <v>1059567500</v>
      </c>
      <c r="X508" s="1"/>
      <c r="Y508" s="1"/>
      <c r="Z508" s="1"/>
    </row>
    <row r="509" spans="1:26" ht="18.600000000000001">
      <c r="A509" s="360" t="s">
        <v>1069</v>
      </c>
      <c r="B509" s="360" t="s">
        <v>103</v>
      </c>
      <c r="C509" s="355" t="s">
        <v>1051</v>
      </c>
      <c r="D509">
        <v>7060</v>
      </c>
      <c r="E509" s="143">
        <v>240000</v>
      </c>
      <c r="F509" s="117">
        <v>1405</v>
      </c>
      <c r="G509" s="360" t="s">
        <v>311</v>
      </c>
      <c r="H509" s="144">
        <f>bargiri[[#This Row],[میزان بارگیری شده]]*bargiri[[#This Row],[فی]]</f>
        <v>1694400000</v>
      </c>
      <c r="I509" s="360">
        <f>IF(year=bargiri[[#This Row],[سال]],1,0)</f>
        <v>1</v>
      </c>
      <c r="J509" s="360" t="str">
        <f>VLOOKUP(bargiri[[#This Row],[شماره پیش فاکتور]],invoice[],16,0)</f>
        <v>انجمن</v>
      </c>
      <c r="K509" s="252">
        <f>bargiri[[#This Row],[فی]]*bargiri[[#This Row],[میزان بارگیری شده]]</f>
        <v>1694400000</v>
      </c>
      <c r="X509" s="1"/>
      <c r="Y509" s="1"/>
      <c r="Z509" s="1"/>
    </row>
    <row r="510" spans="1:26" ht="18.600000000000001">
      <c r="A510" s="360" t="s">
        <v>1069</v>
      </c>
      <c r="B510" s="360" t="s">
        <v>123</v>
      </c>
      <c r="C510" s="355" t="s">
        <v>1035</v>
      </c>
      <c r="D510">
        <v>7340</v>
      </c>
      <c r="E510" s="143">
        <v>240000</v>
      </c>
      <c r="F510" s="117">
        <v>1405</v>
      </c>
      <c r="G510" s="360" t="s">
        <v>311</v>
      </c>
      <c r="H510" s="144">
        <f>bargiri[[#This Row],[میزان بارگیری شده]]*bargiri[[#This Row],[فی]]</f>
        <v>1761600000</v>
      </c>
      <c r="I510" s="360">
        <f>IF(year=bargiri[[#This Row],[سال]],1,0)</f>
        <v>1</v>
      </c>
      <c r="J510" s="360" t="str">
        <f>VLOOKUP(bargiri[[#This Row],[شماره پیش فاکتور]],invoice[],16,0)</f>
        <v>انجمن</v>
      </c>
      <c r="K510" s="252">
        <f>bargiri[[#This Row],[فی]]*bargiri[[#This Row],[میزان بارگیری شده]]</f>
        <v>1761600000</v>
      </c>
      <c r="X510" s="1"/>
      <c r="Y510" s="1"/>
      <c r="Z510" s="1"/>
    </row>
    <row r="511" spans="1:26" ht="18.600000000000001">
      <c r="A511" s="360" t="s">
        <v>1068</v>
      </c>
      <c r="B511" s="360" t="s">
        <v>125</v>
      </c>
      <c r="C511" s="355" t="s">
        <v>870</v>
      </c>
      <c r="D511">
        <v>14240</v>
      </c>
      <c r="E511" s="143">
        <v>135000</v>
      </c>
      <c r="F511" s="117">
        <v>1405</v>
      </c>
      <c r="G511" s="360" t="s">
        <v>311</v>
      </c>
      <c r="H511" s="144">
        <f>bargiri[[#This Row],[میزان بارگیری شده]]*bargiri[[#This Row],[فی]]</f>
        <v>1922400000</v>
      </c>
      <c r="I511" s="360">
        <f>IF(year=bargiri[[#This Row],[سال]],1,0)</f>
        <v>1</v>
      </c>
      <c r="J511" s="360" t="str">
        <f>VLOOKUP(bargiri[[#This Row],[شماره پیش فاکتور]],invoice[],16,0)</f>
        <v>عادی</v>
      </c>
      <c r="K511" s="252">
        <f>bargiri[[#This Row],[فی]]*bargiri[[#This Row],[میزان بارگیری شده]]</f>
        <v>1922400000</v>
      </c>
      <c r="X511" s="1"/>
      <c r="Y511" s="1"/>
      <c r="Z511" s="1"/>
    </row>
    <row r="512" spans="1:26" ht="18.600000000000001">
      <c r="A512" s="360" t="s">
        <v>1067</v>
      </c>
      <c r="B512" s="360" t="s">
        <v>1046</v>
      </c>
      <c r="C512" s="355" t="s">
        <v>1045</v>
      </c>
      <c r="D512">
        <v>20010</v>
      </c>
      <c r="E512" s="143">
        <v>245000</v>
      </c>
      <c r="F512" s="117">
        <v>1405</v>
      </c>
      <c r="G512" s="360" t="s">
        <v>305</v>
      </c>
      <c r="H512" s="144">
        <f>bargiri[[#This Row],[میزان بارگیری شده]]*bargiri[[#This Row],[فی]]</f>
        <v>4902450000</v>
      </c>
      <c r="I512" s="360">
        <f>IF(year=bargiri[[#This Row],[سال]],1,0)</f>
        <v>1</v>
      </c>
      <c r="J512" s="360" t="str">
        <f>VLOOKUP(bargiri[[#This Row],[شماره پیش فاکتور]],invoice[],16,0)</f>
        <v>عادی</v>
      </c>
      <c r="K512" s="252">
        <f>bargiri[[#This Row],[فی]]*bargiri[[#This Row],[میزان بارگیری شده]]</f>
        <v>4902450000</v>
      </c>
      <c r="X512" s="1"/>
      <c r="Y512" s="1"/>
      <c r="Z512" s="1"/>
    </row>
    <row r="513" spans="1:26" ht="18.600000000000001">
      <c r="A513" s="360" t="s">
        <v>1067</v>
      </c>
      <c r="B513" s="360" t="s">
        <v>103</v>
      </c>
      <c r="C513" s="355" t="s">
        <v>1051</v>
      </c>
      <c r="D513">
        <v>19850</v>
      </c>
      <c r="E513" s="143">
        <v>240000</v>
      </c>
      <c r="F513" s="117">
        <v>1405</v>
      </c>
      <c r="G513" s="360" t="s">
        <v>305</v>
      </c>
      <c r="H513" s="144">
        <f>bargiri[[#This Row],[میزان بارگیری شده]]*bargiri[[#This Row],[فی]]</f>
        <v>4764000000</v>
      </c>
      <c r="I513" s="360">
        <f>IF(year=bargiri[[#This Row],[سال]],1,0)</f>
        <v>1</v>
      </c>
      <c r="J513" s="360" t="str">
        <f>VLOOKUP(bargiri[[#This Row],[شماره پیش فاکتور]],invoice[],16,0)</f>
        <v>انجمن</v>
      </c>
      <c r="K513" s="252">
        <f>bargiri[[#This Row],[فی]]*bargiri[[#This Row],[میزان بارگیری شده]]</f>
        <v>4764000000</v>
      </c>
      <c r="X513" s="1"/>
      <c r="Y513" s="1"/>
      <c r="Z513" s="1"/>
    </row>
    <row r="514" spans="1:26" ht="18.600000000000001">
      <c r="A514" s="360" t="s">
        <v>1067</v>
      </c>
      <c r="B514" s="360" t="s">
        <v>104</v>
      </c>
      <c r="C514" s="355" t="s">
        <v>982</v>
      </c>
      <c r="D514">
        <v>17920</v>
      </c>
      <c r="E514" s="143">
        <v>167500</v>
      </c>
      <c r="F514" s="117">
        <v>1405</v>
      </c>
      <c r="G514" s="360" t="s">
        <v>305</v>
      </c>
      <c r="H514" s="144">
        <f>bargiri[[#This Row],[میزان بارگیری شده]]*bargiri[[#This Row],[فی]]</f>
        <v>3001600000</v>
      </c>
      <c r="I514" s="360">
        <f>IF(year=bargiri[[#This Row],[سال]],1,0)</f>
        <v>1</v>
      </c>
      <c r="J514" s="360" t="str">
        <f>VLOOKUP(bargiri[[#This Row],[شماره پیش فاکتور]],invoice[],16,0)</f>
        <v>بورس</v>
      </c>
      <c r="K514" s="252">
        <f>bargiri[[#This Row],[فی]]*bargiri[[#This Row],[میزان بارگیری شده]]</f>
        <v>3001600000</v>
      </c>
      <c r="X514" s="1"/>
      <c r="Y514" s="1"/>
      <c r="Z514" s="1"/>
    </row>
    <row r="515" spans="1:26" ht="18.600000000000001">
      <c r="A515" s="360" t="s">
        <v>1065</v>
      </c>
      <c r="B515" s="360" t="s">
        <v>113</v>
      </c>
      <c r="C515" s="355" t="s">
        <v>822</v>
      </c>
      <c r="D515">
        <v>20140</v>
      </c>
      <c r="E515" s="143">
        <v>105000</v>
      </c>
      <c r="F515" s="117">
        <v>1405</v>
      </c>
      <c r="G515" s="360" t="s">
        <v>305</v>
      </c>
      <c r="H515" s="144">
        <f>bargiri[[#This Row],[میزان بارگیری شده]]*bargiri[[#This Row],[فی]]</f>
        <v>2114700000</v>
      </c>
      <c r="I515" s="360">
        <f>IF(year=bargiri[[#This Row],[سال]],1,0)</f>
        <v>1</v>
      </c>
      <c r="J515" s="360" t="str">
        <f>VLOOKUP(bargiri[[#This Row],[شماره پیش فاکتور]],invoice[],16,0)</f>
        <v>عادی</v>
      </c>
      <c r="K515" s="252">
        <f>bargiri[[#This Row],[فی]]*bargiri[[#This Row],[میزان بارگیری شده]]</f>
        <v>2114700000</v>
      </c>
      <c r="X515" s="1"/>
      <c r="Y515" s="1"/>
      <c r="Z515" s="1"/>
    </row>
    <row r="516" spans="1:26" ht="18.600000000000001">
      <c r="A516" s="360" t="s">
        <v>1065</v>
      </c>
      <c r="B516" s="360" t="s">
        <v>101</v>
      </c>
      <c r="C516" s="355" t="s">
        <v>904</v>
      </c>
      <c r="D516">
        <v>12005</v>
      </c>
      <c r="E516" s="143">
        <v>116500</v>
      </c>
      <c r="F516" s="117">
        <v>1405</v>
      </c>
      <c r="G516" s="360" t="s">
        <v>305</v>
      </c>
      <c r="H516" s="144">
        <f>bargiri[[#This Row],[میزان بارگیری شده]]*bargiri[[#This Row],[فی]]</f>
        <v>1398582500</v>
      </c>
      <c r="I516" s="360">
        <f>IF(year=bargiri[[#This Row],[سال]],1,0)</f>
        <v>1</v>
      </c>
      <c r="J516" s="360" t="str">
        <f>VLOOKUP(bargiri[[#This Row],[شماره پیش فاکتور]],invoice[],16,0)</f>
        <v>تعادلی</v>
      </c>
      <c r="K516" s="252">
        <f>bargiri[[#This Row],[فی]]*bargiri[[#This Row],[میزان بارگیری شده]]</f>
        <v>1398582500</v>
      </c>
      <c r="X516" s="1"/>
      <c r="Y516" s="1"/>
      <c r="Z516" s="1"/>
    </row>
    <row r="517" spans="1:26" ht="18.600000000000001">
      <c r="A517" s="360" t="s">
        <v>1065</v>
      </c>
      <c r="B517" s="360" t="s">
        <v>101</v>
      </c>
      <c r="C517" s="355" t="s">
        <v>957</v>
      </c>
      <c r="D517">
        <v>8285</v>
      </c>
      <c r="E517" s="143">
        <v>116500</v>
      </c>
      <c r="F517" s="117">
        <v>1405</v>
      </c>
      <c r="G517" s="360" t="s">
        <v>305</v>
      </c>
      <c r="H517" s="144">
        <f>bargiri[[#This Row],[میزان بارگیری شده]]*bargiri[[#This Row],[فی]]</f>
        <v>965202500</v>
      </c>
      <c r="I517" s="360">
        <f>IF(year=bargiri[[#This Row],[سال]],1,0)</f>
        <v>1</v>
      </c>
      <c r="J517" s="360" t="str">
        <f>VLOOKUP(bargiri[[#This Row],[شماره پیش فاکتور]],invoice[],16,0)</f>
        <v>تعادلی</v>
      </c>
      <c r="K517" s="252">
        <f>bargiri[[#This Row],[فی]]*bargiri[[#This Row],[میزان بارگیری شده]]</f>
        <v>965202500</v>
      </c>
      <c r="X517" s="1"/>
      <c r="Y517" s="1"/>
      <c r="Z517" s="1"/>
    </row>
    <row r="518" spans="1:26" ht="18.600000000000001">
      <c r="A518" s="360" t="s">
        <v>1065</v>
      </c>
      <c r="B518" s="360" t="s">
        <v>102</v>
      </c>
      <c r="C518" s="355" t="s">
        <v>1050</v>
      </c>
      <c r="D518">
        <v>11520</v>
      </c>
      <c r="E518" s="143">
        <v>240000</v>
      </c>
      <c r="F518" s="117">
        <v>1405</v>
      </c>
      <c r="G518" s="360" t="s">
        <v>305</v>
      </c>
      <c r="H518" s="144">
        <f>bargiri[[#This Row],[میزان بارگیری شده]]*bargiri[[#This Row],[فی]]</f>
        <v>2764800000</v>
      </c>
      <c r="I518" s="360">
        <f>IF(year=bargiri[[#This Row],[سال]],1,0)</f>
        <v>1</v>
      </c>
      <c r="J518" s="360" t="str">
        <f>VLOOKUP(bargiri[[#This Row],[شماره پیش فاکتور]],invoice[],16,0)</f>
        <v>انجمن</v>
      </c>
      <c r="K518" s="252">
        <f>bargiri[[#This Row],[فی]]*bargiri[[#This Row],[میزان بارگیری شده]]</f>
        <v>2764800000</v>
      </c>
      <c r="X518" s="1"/>
      <c r="Y518" s="1"/>
      <c r="Z518" s="1"/>
    </row>
    <row r="519" spans="1:26" ht="18.600000000000001">
      <c r="A519" s="360" t="s">
        <v>1063</v>
      </c>
      <c r="B519" s="360" t="s">
        <v>99</v>
      </c>
      <c r="C519" s="355" t="s">
        <v>821</v>
      </c>
      <c r="D519">
        <v>20020</v>
      </c>
      <c r="E519" s="143">
        <v>105000</v>
      </c>
      <c r="F519" s="117">
        <v>1405</v>
      </c>
      <c r="G519" s="360" t="s">
        <v>305</v>
      </c>
      <c r="H519" s="144">
        <f>bargiri[[#This Row],[میزان بارگیری شده]]*bargiri[[#This Row],[فی]]</f>
        <v>2102100000</v>
      </c>
      <c r="I519" s="360">
        <f>IF(year=bargiri[[#This Row],[سال]],1,0)</f>
        <v>1</v>
      </c>
      <c r="J519" s="360" t="str">
        <f>VLOOKUP(bargiri[[#This Row],[شماره پیش فاکتور]],invoice[],16,0)</f>
        <v>عادی</v>
      </c>
      <c r="K519" s="252">
        <f>bargiri[[#This Row],[فی]]*bargiri[[#This Row],[میزان بارگیری شده]]</f>
        <v>2102100000</v>
      </c>
      <c r="X519" s="1"/>
      <c r="Y519" s="1"/>
      <c r="Z519" s="1"/>
    </row>
    <row r="520" spans="1:26" ht="18.600000000000001">
      <c r="A520" s="360" t="s">
        <v>1063</v>
      </c>
      <c r="B520" s="360" t="s">
        <v>116</v>
      </c>
      <c r="C520" s="355" t="s">
        <v>959</v>
      </c>
      <c r="D520">
        <v>20100</v>
      </c>
      <c r="E520" s="143">
        <v>167500</v>
      </c>
      <c r="F520" s="117">
        <v>1405</v>
      </c>
      <c r="G520" s="360" t="s">
        <v>305</v>
      </c>
      <c r="H520" s="144">
        <f>bargiri[[#This Row],[میزان بارگیری شده]]*bargiri[[#This Row],[فی]]</f>
        <v>3366750000</v>
      </c>
      <c r="I520" s="360">
        <f>IF(year=bargiri[[#This Row],[سال]],1,0)</f>
        <v>1</v>
      </c>
      <c r="J520" s="360" t="str">
        <f>VLOOKUP(bargiri[[#This Row],[شماره پیش فاکتور]],invoice[],16,0)</f>
        <v>بورس</v>
      </c>
      <c r="K520" s="252">
        <f>bargiri[[#This Row],[فی]]*bargiri[[#This Row],[میزان بارگیری شده]]</f>
        <v>3366750000</v>
      </c>
      <c r="X520" s="1"/>
      <c r="Y520" s="1"/>
      <c r="Z520" s="1"/>
    </row>
    <row r="521" spans="1:26" ht="18.600000000000001">
      <c r="A521" s="360" t="s">
        <v>1062</v>
      </c>
      <c r="B521" s="360" t="s">
        <v>117</v>
      </c>
      <c r="C521" s="355" t="s">
        <v>1013</v>
      </c>
      <c r="D521">
        <v>20130</v>
      </c>
      <c r="E521" s="143">
        <v>120000</v>
      </c>
      <c r="F521" s="117">
        <v>1405</v>
      </c>
      <c r="G521" s="360" t="s">
        <v>305</v>
      </c>
      <c r="H521" s="144">
        <f>bargiri[[#This Row],[میزان بارگیری شده]]*bargiri[[#This Row],[فی]]</f>
        <v>2415600000</v>
      </c>
      <c r="I521" s="360">
        <f>IF(year=bargiri[[#This Row],[سال]],1,0)</f>
        <v>1</v>
      </c>
      <c r="J521" s="360" t="str">
        <f>VLOOKUP(bargiri[[#This Row],[شماره پیش فاکتور]],invoice[],16,0)</f>
        <v>عادی</v>
      </c>
      <c r="K521" s="252">
        <f>bargiri[[#This Row],[فی]]*bargiri[[#This Row],[میزان بارگیری شده]]</f>
        <v>2415600000</v>
      </c>
      <c r="X521" s="1"/>
      <c r="Y521" s="1"/>
      <c r="Z521" s="1"/>
    </row>
    <row r="522" spans="1:26" ht="18.600000000000001">
      <c r="A522" s="360" t="s">
        <v>1062</v>
      </c>
      <c r="B522" s="360" t="s">
        <v>113</v>
      </c>
      <c r="C522" s="355" t="s">
        <v>822</v>
      </c>
      <c r="D522">
        <v>20320</v>
      </c>
      <c r="E522" s="143">
        <v>105000</v>
      </c>
      <c r="F522" s="117">
        <v>1405</v>
      </c>
      <c r="G522" s="360" t="s">
        <v>305</v>
      </c>
      <c r="H522" s="144">
        <f>bargiri[[#This Row],[میزان بارگیری شده]]*bargiri[[#This Row],[فی]]</f>
        <v>2133600000</v>
      </c>
      <c r="I522" s="360">
        <f>IF(year=bargiri[[#This Row],[سال]],1,0)</f>
        <v>1</v>
      </c>
      <c r="J522" s="360" t="str">
        <f>VLOOKUP(bargiri[[#This Row],[شماره پیش فاکتور]],invoice[],16,0)</f>
        <v>عادی</v>
      </c>
      <c r="K522" s="252">
        <f>bargiri[[#This Row],[فی]]*bargiri[[#This Row],[میزان بارگیری شده]]</f>
        <v>2133600000</v>
      </c>
      <c r="X522" s="1"/>
      <c r="Y522" s="1"/>
      <c r="Z522" s="1"/>
    </row>
    <row r="523" spans="1:26" ht="18.600000000000001">
      <c r="A523" s="360" t="s">
        <v>1062</v>
      </c>
      <c r="B523" s="360" t="s">
        <v>116</v>
      </c>
      <c r="C523" s="355" t="s">
        <v>713</v>
      </c>
      <c r="D523">
        <v>1025</v>
      </c>
      <c r="E523" s="143">
        <v>116500</v>
      </c>
      <c r="F523" s="117">
        <v>1405</v>
      </c>
      <c r="G523" s="360" t="s">
        <v>305</v>
      </c>
      <c r="H523" s="144">
        <f>bargiri[[#This Row],[میزان بارگیری شده]]*bargiri[[#This Row],[فی]]</f>
        <v>119412500</v>
      </c>
      <c r="I523" s="360">
        <f>IF(year=bargiri[[#This Row],[سال]],1,0)</f>
        <v>1</v>
      </c>
      <c r="J523" s="360" t="str">
        <f>VLOOKUP(bargiri[[#This Row],[شماره پیش فاکتور]],invoice[],16,0)</f>
        <v>تعادلی</v>
      </c>
      <c r="K523" s="252">
        <f>bargiri[[#This Row],[فی]]*bargiri[[#This Row],[میزان بارگیری شده]]</f>
        <v>119412500</v>
      </c>
      <c r="X523" s="1"/>
      <c r="Y523" s="1"/>
      <c r="Z523" s="1"/>
    </row>
    <row r="524" spans="1:26" ht="18.600000000000001">
      <c r="A524" s="360" t="s">
        <v>1062</v>
      </c>
      <c r="B524" s="360" t="s">
        <v>116</v>
      </c>
      <c r="C524" s="355" t="s">
        <v>723</v>
      </c>
      <c r="D524">
        <v>19095</v>
      </c>
      <c r="E524" s="143">
        <v>116500</v>
      </c>
      <c r="F524" s="117">
        <v>1405</v>
      </c>
      <c r="G524" s="360" t="s">
        <v>305</v>
      </c>
      <c r="H524" s="144">
        <f>bargiri[[#This Row],[میزان بارگیری شده]]*bargiri[[#This Row],[فی]]</f>
        <v>2224567500</v>
      </c>
      <c r="I524" s="360">
        <f>IF(year=bargiri[[#This Row],[سال]],1,0)</f>
        <v>1</v>
      </c>
      <c r="J524" s="360" t="str">
        <f>VLOOKUP(bargiri[[#This Row],[شماره پیش فاکتور]],invoice[],16,0)</f>
        <v>تعادلی</v>
      </c>
      <c r="K524" s="252">
        <f>bargiri[[#This Row],[فی]]*bargiri[[#This Row],[میزان بارگیری شده]]</f>
        <v>2224567500</v>
      </c>
      <c r="X524" s="1"/>
      <c r="Y524" s="1"/>
      <c r="Z524" s="1"/>
    </row>
    <row r="525" spans="1:26" ht="18.600000000000001">
      <c r="A525" s="360" t="s">
        <v>1061</v>
      </c>
      <c r="B525" s="360" t="s">
        <v>116</v>
      </c>
      <c r="C525" s="355" t="s">
        <v>647</v>
      </c>
      <c r="D525">
        <v>955</v>
      </c>
      <c r="E525" s="143">
        <v>116500</v>
      </c>
      <c r="F525" s="117">
        <v>1405</v>
      </c>
      <c r="G525" s="360" t="s">
        <v>305</v>
      </c>
      <c r="H525" s="144">
        <f>bargiri[[#This Row],[میزان بارگیری شده]]*bargiri[[#This Row],[فی]]</f>
        <v>111257500</v>
      </c>
      <c r="I525" s="360">
        <f>IF(year=bargiri[[#This Row],[سال]],1,0)</f>
        <v>1</v>
      </c>
      <c r="J525" s="360" t="str">
        <f>VLOOKUP(bargiri[[#This Row],[شماره پیش فاکتور]],invoice[],16,0)</f>
        <v>تعادلی</v>
      </c>
      <c r="K525" s="252">
        <f>bargiri[[#This Row],[فی]]*bargiri[[#This Row],[میزان بارگیری شده]]</f>
        <v>111257500</v>
      </c>
      <c r="X525" s="1"/>
      <c r="Y525" s="1"/>
      <c r="Z525" s="1"/>
    </row>
    <row r="526" spans="1:26" ht="18.600000000000001">
      <c r="A526" s="360" t="s">
        <v>1061</v>
      </c>
      <c r="B526" s="360" t="s">
        <v>116</v>
      </c>
      <c r="C526" s="355" t="s">
        <v>713</v>
      </c>
      <c r="D526">
        <v>18975</v>
      </c>
      <c r="E526" s="143">
        <v>116500</v>
      </c>
      <c r="F526" s="117">
        <v>1405</v>
      </c>
      <c r="G526" s="360" t="s">
        <v>305</v>
      </c>
      <c r="H526" s="144">
        <f>bargiri[[#This Row],[میزان بارگیری شده]]*bargiri[[#This Row],[فی]]</f>
        <v>2210587500</v>
      </c>
      <c r="I526" s="360">
        <f>IF(year=bargiri[[#This Row],[سال]],1,0)</f>
        <v>1</v>
      </c>
      <c r="J526" s="360" t="str">
        <f>VLOOKUP(bargiri[[#This Row],[شماره پیش فاکتور]],invoice[],16,0)</f>
        <v>تعادلی</v>
      </c>
      <c r="K526" s="252">
        <f>bargiri[[#This Row],[فی]]*bargiri[[#This Row],[میزان بارگیری شده]]</f>
        <v>2210587500</v>
      </c>
      <c r="X526" s="1"/>
      <c r="Y526" s="1"/>
      <c r="Z526" s="1"/>
    </row>
    <row r="527" spans="1:26" ht="18.600000000000001">
      <c r="A527" s="360" t="s">
        <v>1061</v>
      </c>
      <c r="B527" s="360" t="s">
        <v>102</v>
      </c>
      <c r="C527" s="355" t="s">
        <v>832</v>
      </c>
      <c r="D527">
        <v>11490</v>
      </c>
      <c r="E527" s="143">
        <v>108000</v>
      </c>
      <c r="F527" s="117">
        <v>1405</v>
      </c>
      <c r="G527" s="360" t="s">
        <v>305</v>
      </c>
      <c r="H527" s="144">
        <f>bargiri[[#This Row],[میزان بارگیری شده]]*bargiri[[#This Row],[فی]]</f>
        <v>1240920000</v>
      </c>
      <c r="I527" s="360">
        <f>IF(year=bargiri[[#This Row],[سال]],1,0)</f>
        <v>1</v>
      </c>
      <c r="J527" s="360" t="str">
        <f>VLOOKUP(bargiri[[#This Row],[شماره پیش فاکتور]],invoice[],16,0)</f>
        <v>عادی</v>
      </c>
      <c r="K527" s="252">
        <f>bargiri[[#This Row],[فی]]*bargiri[[#This Row],[میزان بارگیری شده]]</f>
        <v>1240920000</v>
      </c>
      <c r="X527" s="1"/>
      <c r="Y527" s="1"/>
      <c r="Z527" s="1"/>
    </row>
    <row r="528" spans="1:26" ht="18.600000000000001">
      <c r="A528" s="360" t="s">
        <v>1061</v>
      </c>
      <c r="B528" s="360" t="s">
        <v>122</v>
      </c>
      <c r="C528" s="355" t="s">
        <v>1054</v>
      </c>
      <c r="D528">
        <v>23000</v>
      </c>
      <c r="E528" s="143">
        <v>240000</v>
      </c>
      <c r="F528" s="117">
        <v>1405</v>
      </c>
      <c r="G528" s="360" t="s">
        <v>305</v>
      </c>
      <c r="H528" s="144">
        <f>bargiri[[#This Row],[میزان بارگیری شده]]*bargiri[[#This Row],[فی]]</f>
        <v>5520000000</v>
      </c>
      <c r="I528" s="360">
        <f>IF(year=bargiri[[#This Row],[سال]],1,0)</f>
        <v>1</v>
      </c>
      <c r="J528" s="360" t="str">
        <f>VLOOKUP(bargiri[[#This Row],[شماره پیش فاکتور]],invoice[],16,0)</f>
        <v>انجمن</v>
      </c>
      <c r="K528" s="252">
        <f>bargiri[[#This Row],[فی]]*bargiri[[#This Row],[میزان بارگیری شده]]</f>
        <v>5520000000</v>
      </c>
      <c r="X528" s="1"/>
      <c r="Y528" s="1"/>
      <c r="Z528" s="1"/>
    </row>
    <row r="529" spans="1:26" ht="18.600000000000001">
      <c r="A529" s="360" t="s">
        <v>1061</v>
      </c>
      <c r="B529" s="360" t="s">
        <v>123</v>
      </c>
      <c r="C529" s="355" t="s">
        <v>1035</v>
      </c>
      <c r="D529">
        <v>7370</v>
      </c>
      <c r="E529" s="143">
        <v>240000</v>
      </c>
      <c r="F529" s="117">
        <v>1405</v>
      </c>
      <c r="G529" s="360" t="s">
        <v>305</v>
      </c>
      <c r="H529" s="144">
        <f>bargiri[[#This Row],[میزان بارگیری شده]]*bargiri[[#This Row],[فی]]</f>
        <v>1768800000</v>
      </c>
      <c r="I529" s="360">
        <f>IF(year=bargiri[[#This Row],[سال]],1,0)</f>
        <v>1</v>
      </c>
      <c r="J529" s="360" t="str">
        <f>VLOOKUP(bargiri[[#This Row],[شماره پیش فاکتور]],invoice[],16,0)</f>
        <v>انجمن</v>
      </c>
      <c r="K529" s="252">
        <f>bargiri[[#This Row],[فی]]*bargiri[[#This Row],[میزان بارگیری شده]]</f>
        <v>1768800000</v>
      </c>
      <c r="X529" s="1"/>
      <c r="Y529" s="1"/>
      <c r="Z529" s="1"/>
    </row>
    <row r="530" spans="1:26" ht="18.600000000000001">
      <c r="A530" s="360" t="s">
        <v>1057</v>
      </c>
      <c r="B530" s="360" t="s">
        <v>103</v>
      </c>
      <c r="C530" s="355" t="s">
        <v>1051</v>
      </c>
      <c r="D530">
        <v>19870</v>
      </c>
      <c r="E530" s="143">
        <v>240000</v>
      </c>
      <c r="F530" s="117">
        <v>1405</v>
      </c>
      <c r="G530" s="360" t="s">
        <v>305</v>
      </c>
      <c r="H530" s="144">
        <f>bargiri[[#This Row],[میزان بارگیری شده]]*bargiri[[#This Row],[فی]]</f>
        <v>4768800000</v>
      </c>
      <c r="I530" s="360">
        <f>IF(year=bargiri[[#This Row],[سال]],1,0)</f>
        <v>1</v>
      </c>
      <c r="J530" s="360" t="str">
        <f>VLOOKUP(bargiri[[#This Row],[شماره پیش فاکتور]],invoice[],16,0)</f>
        <v>انجمن</v>
      </c>
      <c r="K530" s="252">
        <f>bargiri[[#This Row],[فی]]*bargiri[[#This Row],[میزان بارگیری شده]]</f>
        <v>4768800000</v>
      </c>
      <c r="X530" s="1"/>
      <c r="Y530" s="1"/>
      <c r="Z530" s="1"/>
    </row>
    <row r="531" spans="1:26" ht="18.600000000000001">
      <c r="A531" s="360" t="s">
        <v>1058</v>
      </c>
      <c r="B531" s="360" t="s">
        <v>116</v>
      </c>
      <c r="C531" s="355" t="s">
        <v>647</v>
      </c>
      <c r="D531">
        <v>20120</v>
      </c>
      <c r="E531" s="143">
        <v>116500</v>
      </c>
      <c r="F531" s="117">
        <v>1405</v>
      </c>
      <c r="G531" s="360" t="s">
        <v>305</v>
      </c>
      <c r="H531" s="144">
        <f>bargiri[[#This Row],[میزان بارگیری شده]]*bargiri[[#This Row],[فی]]</f>
        <v>2343980000</v>
      </c>
      <c r="I531" s="360">
        <f>IF(year=bargiri[[#This Row],[سال]],1,0)</f>
        <v>1</v>
      </c>
      <c r="J531" s="360" t="str">
        <f>VLOOKUP(bargiri[[#This Row],[شماره پیش فاکتور]],invoice[],16,0)</f>
        <v>تعادلی</v>
      </c>
      <c r="K531" s="252">
        <f>bargiri[[#This Row],[فی]]*bargiri[[#This Row],[میزان بارگیری شده]]</f>
        <v>2343980000</v>
      </c>
      <c r="X531" s="1"/>
      <c r="Y531" s="1"/>
      <c r="Z531" s="1"/>
    </row>
    <row r="532" spans="1:26" ht="18.600000000000001">
      <c r="A532" s="360" t="s">
        <v>1044</v>
      </c>
      <c r="B532" s="360" t="s">
        <v>118</v>
      </c>
      <c r="C532" s="355" t="s">
        <v>1056</v>
      </c>
      <c r="D532">
        <v>20910</v>
      </c>
      <c r="E532" s="143">
        <v>123481</v>
      </c>
      <c r="F532" s="117">
        <v>1405</v>
      </c>
      <c r="G532" s="360" t="s">
        <v>305</v>
      </c>
      <c r="H532" s="144">
        <f>bargiri[[#This Row],[میزان بارگیری شده]]*bargiri[[#This Row],[فی]]</f>
        <v>2581987710</v>
      </c>
      <c r="I532" s="360">
        <f>IF(year=bargiri[[#This Row],[سال]],1,0)</f>
        <v>1</v>
      </c>
      <c r="J532" s="360" t="str">
        <f>VLOOKUP(bargiri[[#This Row],[شماره پیش فاکتور]],invoice[],16,0)</f>
        <v>عادی</v>
      </c>
      <c r="K532" s="252">
        <f>bargiri[[#This Row],[فی]]*bargiri[[#This Row],[میزان بارگیری شده]]</f>
        <v>2581987710</v>
      </c>
      <c r="X532" s="1"/>
      <c r="Y532" s="1"/>
      <c r="Z532" s="1"/>
    </row>
    <row r="533" spans="1:26" ht="18.600000000000001">
      <c r="A533" s="360" t="s">
        <v>1044</v>
      </c>
      <c r="B533" s="360" t="s">
        <v>118</v>
      </c>
      <c r="C533" s="355" t="s">
        <v>1056</v>
      </c>
      <c r="D533">
        <v>20890</v>
      </c>
      <c r="E533" s="143">
        <v>123481</v>
      </c>
      <c r="F533" s="117">
        <v>1405</v>
      </c>
      <c r="G533" s="360" t="s">
        <v>305</v>
      </c>
      <c r="H533" s="144">
        <f>bargiri[[#This Row],[میزان بارگیری شده]]*bargiri[[#This Row],[فی]]</f>
        <v>2579518090</v>
      </c>
      <c r="I533" s="360">
        <f>IF(year=bargiri[[#This Row],[سال]],1,0)</f>
        <v>1</v>
      </c>
      <c r="J533" s="360" t="str">
        <f>VLOOKUP(bargiri[[#This Row],[شماره پیش فاکتور]],invoice[],16,0)</f>
        <v>عادی</v>
      </c>
      <c r="K533" s="252">
        <f>bargiri[[#This Row],[فی]]*bargiri[[#This Row],[میزان بارگیری شده]]</f>
        <v>2579518090</v>
      </c>
      <c r="X533" s="1"/>
      <c r="Y533" s="1"/>
      <c r="Z533" s="1"/>
    </row>
    <row r="534" spans="1:26" ht="18.600000000000001">
      <c r="A534" s="360" t="s">
        <v>1037</v>
      </c>
      <c r="B534" s="360" t="s">
        <v>118</v>
      </c>
      <c r="C534" s="355" t="s">
        <v>1056</v>
      </c>
      <c r="D534">
        <v>20370</v>
      </c>
      <c r="E534" s="143">
        <v>123481</v>
      </c>
      <c r="F534" s="117">
        <v>1405</v>
      </c>
      <c r="G534" s="360" t="s">
        <v>305</v>
      </c>
      <c r="H534" s="144">
        <f>bargiri[[#This Row],[میزان بارگیری شده]]*bargiri[[#This Row],[فی]]</f>
        <v>2515307970</v>
      </c>
      <c r="I534" s="360">
        <f>IF(year=bargiri[[#This Row],[سال]],1,0)</f>
        <v>1</v>
      </c>
      <c r="J534" s="360" t="str">
        <f>VLOOKUP(bargiri[[#This Row],[شماره پیش فاکتور]],invoice[],16,0)</f>
        <v>عادی</v>
      </c>
      <c r="K534" s="252">
        <f>bargiri[[#This Row],[فی]]*bargiri[[#This Row],[میزان بارگیری شده]]</f>
        <v>2515307970</v>
      </c>
      <c r="X534" s="1"/>
      <c r="Y534" s="1"/>
      <c r="Z534" s="1"/>
    </row>
    <row r="535" spans="1:26" ht="18.600000000000001">
      <c r="A535" s="360" t="s">
        <v>1037</v>
      </c>
      <c r="B535" s="360" t="s">
        <v>118</v>
      </c>
      <c r="C535" s="355" t="s">
        <v>1056</v>
      </c>
      <c r="D535">
        <v>20530</v>
      </c>
      <c r="E535" s="143">
        <v>123481</v>
      </c>
      <c r="F535" s="117">
        <v>1405</v>
      </c>
      <c r="G535" s="360" t="s">
        <v>305</v>
      </c>
      <c r="H535" s="144">
        <f>bargiri[[#This Row],[میزان بارگیری شده]]*bargiri[[#This Row],[فی]]</f>
        <v>2535064930</v>
      </c>
      <c r="I535" s="360">
        <f>IF(year=bargiri[[#This Row],[سال]],1,0)</f>
        <v>1</v>
      </c>
      <c r="J535" s="360" t="str">
        <f>VLOOKUP(bargiri[[#This Row],[شماره پیش فاکتور]],invoice[],16,0)</f>
        <v>عادی</v>
      </c>
      <c r="K535" s="252">
        <f>bargiri[[#This Row],[فی]]*bargiri[[#This Row],[میزان بارگیری شده]]</f>
        <v>2535064930</v>
      </c>
      <c r="X535" s="1"/>
      <c r="Y535" s="1"/>
      <c r="Z535" s="1"/>
    </row>
    <row r="536" spans="1:26" ht="18.600000000000001">
      <c r="A536" s="360" t="s">
        <v>1037</v>
      </c>
      <c r="B536" s="360" t="s">
        <v>118</v>
      </c>
      <c r="C536" s="355" t="s">
        <v>1056</v>
      </c>
      <c r="D536">
        <v>20600</v>
      </c>
      <c r="E536" s="143">
        <v>123481</v>
      </c>
      <c r="F536" s="117">
        <v>1405</v>
      </c>
      <c r="G536" s="360" t="s">
        <v>305</v>
      </c>
      <c r="H536" s="144">
        <f>bargiri[[#This Row],[میزان بارگیری شده]]*bargiri[[#This Row],[فی]]</f>
        <v>2543708600</v>
      </c>
      <c r="I536" s="360">
        <f>IF(year=bargiri[[#This Row],[سال]],1,0)</f>
        <v>1</v>
      </c>
      <c r="J536" s="360" t="str">
        <f>VLOOKUP(bargiri[[#This Row],[شماره پیش فاکتور]],invoice[],16,0)</f>
        <v>عادی</v>
      </c>
      <c r="K536" s="252">
        <f>bargiri[[#This Row],[فی]]*bargiri[[#This Row],[میزان بارگیری شده]]</f>
        <v>2543708600</v>
      </c>
      <c r="X536" s="1"/>
      <c r="Y536" s="1"/>
      <c r="Z536" s="1"/>
    </row>
    <row r="537" spans="1:26" ht="18.600000000000001">
      <c r="A537" s="360" t="s">
        <v>1037</v>
      </c>
      <c r="B537" s="360" t="s">
        <v>118</v>
      </c>
      <c r="C537" s="355" t="s">
        <v>1056</v>
      </c>
      <c r="D537">
        <v>20230</v>
      </c>
      <c r="E537" s="143">
        <v>123481</v>
      </c>
      <c r="F537" s="117">
        <v>1405</v>
      </c>
      <c r="G537" s="360" t="s">
        <v>305</v>
      </c>
      <c r="H537" s="144">
        <f>bargiri[[#This Row],[میزان بارگیری شده]]*bargiri[[#This Row],[فی]]</f>
        <v>2498020630</v>
      </c>
      <c r="I537" s="360">
        <f>IF(year=bargiri[[#This Row],[سال]],1,0)</f>
        <v>1</v>
      </c>
      <c r="J537" s="360" t="str">
        <f>VLOOKUP(bargiri[[#This Row],[شماره پیش فاکتور]],invoice[],16,0)</f>
        <v>عادی</v>
      </c>
      <c r="K537" s="252">
        <f>bargiri[[#This Row],[فی]]*bargiri[[#This Row],[میزان بارگیری شده]]</f>
        <v>2498020630</v>
      </c>
      <c r="X537" s="1"/>
      <c r="Y537" s="1"/>
      <c r="Z537" s="1"/>
    </row>
    <row r="538" spans="1:26" ht="18.600000000000001">
      <c r="A538" s="360" t="s">
        <v>1038</v>
      </c>
      <c r="B538" s="360" t="s">
        <v>118</v>
      </c>
      <c r="C538" s="355" t="s">
        <v>1056</v>
      </c>
      <c r="D538">
        <v>21110</v>
      </c>
      <c r="E538" s="143">
        <v>123481</v>
      </c>
      <c r="F538" s="117">
        <v>1405</v>
      </c>
      <c r="G538" s="360" t="s">
        <v>305</v>
      </c>
      <c r="H538" s="144">
        <f>bargiri[[#This Row],[میزان بارگیری شده]]*bargiri[[#This Row],[فی]]</f>
        <v>2606683910</v>
      </c>
      <c r="I538" s="360">
        <f>IF(year=bargiri[[#This Row],[سال]],1,0)</f>
        <v>1</v>
      </c>
      <c r="J538" s="360" t="str">
        <f>VLOOKUP(bargiri[[#This Row],[شماره پیش فاکتور]],invoice[],16,0)</f>
        <v>عادی</v>
      </c>
      <c r="K538" s="252">
        <f>bargiri[[#This Row],[فی]]*bargiri[[#This Row],[میزان بارگیری شده]]</f>
        <v>2606683910</v>
      </c>
      <c r="X538" s="1"/>
      <c r="Y538" s="1"/>
      <c r="Z538" s="1"/>
    </row>
    <row r="539" spans="1:26" ht="18.600000000000001">
      <c r="A539" s="360" t="s">
        <v>1038</v>
      </c>
      <c r="B539" s="360" t="s">
        <v>118</v>
      </c>
      <c r="C539" s="355" t="s">
        <v>1056</v>
      </c>
      <c r="D539">
        <v>21030</v>
      </c>
      <c r="E539" s="143">
        <v>123481</v>
      </c>
      <c r="F539" s="117">
        <v>1405</v>
      </c>
      <c r="G539" s="360" t="s">
        <v>305</v>
      </c>
      <c r="H539" s="144">
        <f>bargiri[[#This Row],[میزان بارگیری شده]]*bargiri[[#This Row],[فی]]</f>
        <v>2596805430</v>
      </c>
      <c r="I539" s="360">
        <f>IF(year=bargiri[[#This Row],[سال]],1,0)</f>
        <v>1</v>
      </c>
      <c r="J539" s="360" t="str">
        <f>VLOOKUP(bargiri[[#This Row],[شماره پیش فاکتور]],invoice[],16,0)</f>
        <v>عادی</v>
      </c>
      <c r="K539" s="252">
        <f>bargiri[[#This Row],[فی]]*bargiri[[#This Row],[میزان بارگیری شده]]</f>
        <v>2596805430</v>
      </c>
      <c r="X539" s="1"/>
      <c r="Y539" s="1"/>
      <c r="Z539" s="1"/>
    </row>
    <row r="540" spans="1:26" ht="18.600000000000001">
      <c r="A540" s="360" t="s">
        <v>1059</v>
      </c>
      <c r="B540" s="360" t="s">
        <v>118</v>
      </c>
      <c r="C540" s="355" t="s">
        <v>1056</v>
      </c>
      <c r="D540">
        <v>20960</v>
      </c>
      <c r="E540" s="143">
        <v>123481</v>
      </c>
      <c r="F540" s="117">
        <v>1405</v>
      </c>
      <c r="G540" s="360" t="s">
        <v>305</v>
      </c>
      <c r="H540" s="144">
        <f>bargiri[[#This Row],[میزان بارگیری شده]]*bargiri[[#This Row],[فی]]</f>
        <v>2588161760</v>
      </c>
      <c r="I540" s="360">
        <f>IF(year=bargiri[[#This Row],[سال]],1,0)</f>
        <v>1</v>
      </c>
      <c r="J540" s="360" t="str">
        <f>VLOOKUP(bargiri[[#This Row],[شماره پیش فاکتور]],invoice[],16,0)</f>
        <v>عادی</v>
      </c>
      <c r="K540" s="252">
        <f>bargiri[[#This Row],[فی]]*bargiri[[#This Row],[میزان بارگیری شده]]</f>
        <v>2588161760</v>
      </c>
      <c r="X540" s="1"/>
      <c r="Y540" s="1"/>
      <c r="Z540" s="1"/>
    </row>
    <row r="541" spans="1:26" ht="18.600000000000001">
      <c r="A541" s="360" t="s">
        <v>1059</v>
      </c>
      <c r="B541" s="360" t="s">
        <v>118</v>
      </c>
      <c r="C541" s="355" t="s">
        <v>1056</v>
      </c>
      <c r="D541">
        <v>21080</v>
      </c>
      <c r="E541" s="143">
        <v>123481</v>
      </c>
      <c r="F541" s="117">
        <v>1405</v>
      </c>
      <c r="G541" s="360" t="s">
        <v>305</v>
      </c>
      <c r="H541" s="144">
        <f>bargiri[[#This Row],[میزان بارگیری شده]]*bargiri[[#This Row],[فی]]</f>
        <v>2602979480</v>
      </c>
      <c r="I541" s="360">
        <f>IF(year=bargiri[[#This Row],[سال]],1,0)</f>
        <v>1</v>
      </c>
      <c r="J541" s="360" t="str">
        <f>VLOOKUP(bargiri[[#This Row],[شماره پیش فاکتور]],invoice[],16,0)</f>
        <v>عادی</v>
      </c>
      <c r="K541" s="252">
        <f>bargiri[[#This Row],[فی]]*bargiri[[#This Row],[میزان بارگیری شده]]</f>
        <v>2602979480</v>
      </c>
      <c r="X541" s="1"/>
      <c r="Y541" s="1"/>
      <c r="Z541" s="1"/>
    </row>
    <row r="542" spans="1:26" ht="18.600000000000001">
      <c r="A542" s="360" t="s">
        <v>1059</v>
      </c>
      <c r="B542" s="360" t="s">
        <v>118</v>
      </c>
      <c r="C542" s="355" t="s">
        <v>1056</v>
      </c>
      <c r="D542">
        <v>20940</v>
      </c>
      <c r="E542" s="143">
        <v>123481</v>
      </c>
      <c r="F542" s="117">
        <v>1405</v>
      </c>
      <c r="G542" s="360" t="s">
        <v>305</v>
      </c>
      <c r="H542" s="144">
        <f>bargiri[[#This Row],[میزان بارگیری شده]]*bargiri[[#This Row],[فی]]</f>
        <v>2585692140</v>
      </c>
      <c r="I542" s="360">
        <f>IF(year=bargiri[[#This Row],[سال]],1,0)</f>
        <v>1</v>
      </c>
      <c r="J542" s="360" t="str">
        <f>VLOOKUP(bargiri[[#This Row],[شماره پیش فاکتور]],invoice[],16,0)</f>
        <v>عادی</v>
      </c>
      <c r="K542" s="252">
        <f>bargiri[[#This Row],[فی]]*bargiri[[#This Row],[میزان بارگیری شده]]</f>
        <v>2585692140</v>
      </c>
      <c r="X542" s="1"/>
      <c r="Y542" s="1"/>
      <c r="Z542" s="1"/>
    </row>
    <row r="543" spans="1:26" ht="18.600000000000001">
      <c r="A543" s="360" t="s">
        <v>1059</v>
      </c>
      <c r="B543" s="360" t="s">
        <v>118</v>
      </c>
      <c r="C543" s="355" t="s">
        <v>1056</v>
      </c>
      <c r="D543">
        <v>21100</v>
      </c>
      <c r="E543" s="143">
        <v>123481</v>
      </c>
      <c r="F543" s="117">
        <v>1405</v>
      </c>
      <c r="G543" s="360" t="s">
        <v>305</v>
      </c>
      <c r="H543" s="144">
        <f>bargiri[[#This Row],[میزان بارگیری شده]]*bargiri[[#This Row],[فی]]</f>
        <v>2605449100</v>
      </c>
      <c r="I543" s="360">
        <f>IF(year=bargiri[[#This Row],[سال]],1,0)</f>
        <v>1</v>
      </c>
      <c r="J543" s="360" t="str">
        <f>VLOOKUP(bargiri[[#This Row],[شماره پیش فاکتور]],invoice[],16,0)</f>
        <v>عادی</v>
      </c>
      <c r="K543" s="252">
        <f>bargiri[[#This Row],[فی]]*bargiri[[#This Row],[میزان بارگیری شده]]</f>
        <v>2605449100</v>
      </c>
      <c r="X543" s="1"/>
      <c r="Y543" s="1"/>
      <c r="Z543" s="1"/>
    </row>
    <row r="544" spans="1:26" ht="18.600000000000001">
      <c r="A544" s="360" t="s">
        <v>1059</v>
      </c>
      <c r="B544" s="360" t="s">
        <v>118</v>
      </c>
      <c r="C544" s="355" t="s">
        <v>1056</v>
      </c>
      <c r="D544">
        <v>21210</v>
      </c>
      <c r="E544" s="143">
        <v>123481</v>
      </c>
      <c r="F544" s="117">
        <v>1405</v>
      </c>
      <c r="G544" s="360" t="s">
        <v>305</v>
      </c>
      <c r="H544" s="144">
        <f>bargiri[[#This Row],[میزان بارگیری شده]]*bargiri[[#This Row],[فی]]</f>
        <v>2619032010</v>
      </c>
      <c r="I544" s="360">
        <f>IF(year=bargiri[[#This Row],[سال]],1,0)</f>
        <v>1</v>
      </c>
      <c r="J544" s="360" t="str">
        <f>VLOOKUP(bargiri[[#This Row],[شماره پیش فاکتور]],invoice[],16,0)</f>
        <v>عادی</v>
      </c>
      <c r="K544" s="252">
        <f>bargiri[[#This Row],[فی]]*bargiri[[#This Row],[میزان بارگیری شده]]</f>
        <v>2619032010</v>
      </c>
      <c r="X544" s="1"/>
      <c r="Y544" s="1"/>
      <c r="Z544" s="1"/>
    </row>
    <row r="545" spans="1:26" ht="18.600000000000001">
      <c r="A545" s="360" t="s">
        <v>1031</v>
      </c>
      <c r="B545" s="360" t="s">
        <v>118</v>
      </c>
      <c r="C545" s="355" t="s">
        <v>1056</v>
      </c>
      <c r="D545">
        <v>21010</v>
      </c>
      <c r="E545" s="143">
        <v>123481</v>
      </c>
      <c r="F545" s="117">
        <v>1405</v>
      </c>
      <c r="G545" s="360" t="s">
        <v>305</v>
      </c>
      <c r="H545" s="144">
        <f>bargiri[[#This Row],[میزان بارگیری شده]]*bargiri[[#This Row],[فی]]</f>
        <v>2594335810</v>
      </c>
      <c r="I545" s="360">
        <f>IF(year=bargiri[[#This Row],[سال]],1,0)</f>
        <v>1</v>
      </c>
      <c r="J545" s="360" t="str">
        <f>VLOOKUP(bargiri[[#This Row],[شماره پیش فاکتور]],invoice[],16,0)</f>
        <v>عادی</v>
      </c>
      <c r="K545" s="252">
        <f>bargiri[[#This Row],[فی]]*bargiri[[#This Row],[میزان بارگیری شده]]</f>
        <v>2594335810</v>
      </c>
      <c r="X545" s="1"/>
      <c r="Y545" s="1"/>
      <c r="Z545" s="1"/>
    </row>
    <row r="546" spans="1:26" ht="18.600000000000001">
      <c r="A546" s="360" t="s">
        <v>1031</v>
      </c>
      <c r="B546" s="360" t="s">
        <v>118</v>
      </c>
      <c r="C546" s="355" t="s">
        <v>1056</v>
      </c>
      <c r="D546">
        <v>20680</v>
      </c>
      <c r="E546" s="143">
        <v>123481</v>
      </c>
      <c r="F546" s="117">
        <v>1405</v>
      </c>
      <c r="G546" s="360" t="s">
        <v>305</v>
      </c>
      <c r="H546" s="144">
        <f>bargiri[[#This Row],[میزان بارگیری شده]]*bargiri[[#This Row],[فی]]</f>
        <v>2553587080</v>
      </c>
      <c r="I546" s="360">
        <f>IF(year=bargiri[[#This Row],[سال]],1,0)</f>
        <v>1</v>
      </c>
      <c r="J546" s="360" t="str">
        <f>VLOOKUP(bargiri[[#This Row],[شماره پیش فاکتور]],invoice[],16,0)</f>
        <v>عادی</v>
      </c>
      <c r="K546" s="252">
        <f>bargiri[[#This Row],[فی]]*bargiri[[#This Row],[میزان بارگیری شده]]</f>
        <v>2553587080</v>
      </c>
      <c r="X546" s="1"/>
      <c r="Y546" s="1"/>
      <c r="Z546" s="1"/>
    </row>
    <row r="547" spans="1:26" ht="18.600000000000001">
      <c r="A547" s="360" t="s">
        <v>1031</v>
      </c>
      <c r="B547" s="360" t="s">
        <v>118</v>
      </c>
      <c r="C547" s="355" t="s">
        <v>1056</v>
      </c>
      <c r="D547">
        <v>21040</v>
      </c>
      <c r="E547" s="143">
        <v>123481</v>
      </c>
      <c r="F547" s="117">
        <v>1405</v>
      </c>
      <c r="G547" s="360" t="s">
        <v>305</v>
      </c>
      <c r="H547" s="144">
        <f>bargiri[[#This Row],[میزان بارگیری شده]]*bargiri[[#This Row],[فی]]</f>
        <v>2598040240</v>
      </c>
      <c r="I547" s="360">
        <f>IF(year=bargiri[[#This Row],[سال]],1,0)</f>
        <v>1</v>
      </c>
      <c r="J547" s="360" t="str">
        <f>VLOOKUP(bargiri[[#This Row],[شماره پیش فاکتور]],invoice[],16,0)</f>
        <v>عادی</v>
      </c>
      <c r="K547" s="252">
        <f>bargiri[[#This Row],[فی]]*bargiri[[#This Row],[میزان بارگیری شده]]</f>
        <v>2598040240</v>
      </c>
      <c r="X547" s="1"/>
      <c r="Y547" s="1"/>
      <c r="Z547" s="1"/>
    </row>
    <row r="548" spans="1:26" ht="18.600000000000001">
      <c r="A548" s="360" t="s">
        <v>1030</v>
      </c>
      <c r="B548" s="360" t="s">
        <v>118</v>
      </c>
      <c r="C548" s="355" t="s">
        <v>1056</v>
      </c>
      <c r="D548">
        <v>21000</v>
      </c>
      <c r="E548" s="143">
        <v>123481</v>
      </c>
      <c r="F548" s="117">
        <v>1405</v>
      </c>
      <c r="G548" s="360" t="s">
        <v>305</v>
      </c>
      <c r="H548" s="144">
        <f>bargiri[[#This Row],[میزان بارگیری شده]]*bargiri[[#This Row],[فی]]</f>
        <v>2593101000</v>
      </c>
      <c r="I548" s="360">
        <f>IF(year=bargiri[[#This Row],[سال]],1,0)</f>
        <v>1</v>
      </c>
      <c r="J548" s="360" t="str">
        <f>VLOOKUP(bargiri[[#This Row],[شماره پیش فاکتور]],invoice[],16,0)</f>
        <v>عادی</v>
      </c>
      <c r="K548" s="252">
        <f>bargiri[[#This Row],[فی]]*bargiri[[#This Row],[میزان بارگیری شده]]</f>
        <v>2593101000</v>
      </c>
      <c r="X548" s="1"/>
      <c r="Y548" s="1"/>
      <c r="Z548" s="1"/>
    </row>
    <row r="549" spans="1:26" ht="18.600000000000001">
      <c r="A549" s="360" t="s">
        <v>1028</v>
      </c>
      <c r="B549" s="360" t="s">
        <v>118</v>
      </c>
      <c r="C549" s="355" t="s">
        <v>1056</v>
      </c>
      <c r="D549">
        <v>20660</v>
      </c>
      <c r="E549" s="143">
        <v>123481</v>
      </c>
      <c r="F549" s="117">
        <v>1405</v>
      </c>
      <c r="G549" s="360" t="s">
        <v>305</v>
      </c>
      <c r="H549" s="144">
        <f>bargiri[[#This Row],[میزان بارگیری شده]]*bargiri[[#This Row],[فی]]</f>
        <v>2551117460</v>
      </c>
      <c r="I549" s="360">
        <f>IF(year=bargiri[[#This Row],[سال]],1,0)</f>
        <v>1</v>
      </c>
      <c r="J549" s="360" t="str">
        <f>VLOOKUP(bargiri[[#This Row],[شماره پیش فاکتور]],invoice[],16,0)</f>
        <v>عادی</v>
      </c>
      <c r="K549" s="252">
        <f>bargiri[[#This Row],[فی]]*bargiri[[#This Row],[میزان بارگیری شده]]</f>
        <v>2551117460</v>
      </c>
      <c r="X549" s="1"/>
      <c r="Y549" s="1"/>
      <c r="Z549" s="1"/>
    </row>
    <row r="550" spans="1:26" ht="18.600000000000001">
      <c r="A550" s="360" t="s">
        <v>1028</v>
      </c>
      <c r="B550" s="360" t="s">
        <v>118</v>
      </c>
      <c r="C550" s="355" t="s">
        <v>1056</v>
      </c>
      <c r="D550">
        <v>20600</v>
      </c>
      <c r="E550" s="143">
        <v>123481</v>
      </c>
      <c r="F550" s="117">
        <v>1405</v>
      </c>
      <c r="G550" s="360" t="s">
        <v>305</v>
      </c>
      <c r="H550" s="144">
        <f>bargiri[[#This Row],[میزان بارگیری شده]]*bargiri[[#This Row],[فی]]</f>
        <v>2543708600</v>
      </c>
      <c r="I550" s="360">
        <f>IF(year=bargiri[[#This Row],[سال]],1,0)</f>
        <v>1</v>
      </c>
      <c r="J550" s="360" t="str">
        <f>VLOOKUP(bargiri[[#This Row],[شماره پیش فاکتور]],invoice[],16,0)</f>
        <v>عادی</v>
      </c>
      <c r="K550" s="252">
        <f>bargiri[[#This Row],[فی]]*bargiri[[#This Row],[میزان بارگیری شده]]</f>
        <v>2543708600</v>
      </c>
      <c r="X550" s="1"/>
      <c r="Y550" s="1"/>
      <c r="Z550" s="1"/>
    </row>
    <row r="551" spans="1:26" ht="18.600000000000001">
      <c r="A551" s="360" t="s">
        <v>1028</v>
      </c>
      <c r="B551" s="360" t="s">
        <v>118</v>
      </c>
      <c r="C551" s="355" t="s">
        <v>1056</v>
      </c>
      <c r="D551">
        <v>20160</v>
      </c>
      <c r="E551" s="143">
        <v>123481</v>
      </c>
      <c r="F551" s="117">
        <v>1405</v>
      </c>
      <c r="G551" s="360" t="s">
        <v>305</v>
      </c>
      <c r="H551" s="144">
        <f>bargiri[[#This Row],[میزان بارگیری شده]]*bargiri[[#This Row],[فی]]</f>
        <v>2489376960</v>
      </c>
      <c r="I551" s="360">
        <f>IF(year=bargiri[[#This Row],[سال]],1,0)</f>
        <v>1</v>
      </c>
      <c r="J551" s="360" t="str">
        <f>VLOOKUP(bargiri[[#This Row],[شماره پیش فاکتور]],invoice[],16,0)</f>
        <v>عادی</v>
      </c>
      <c r="K551" s="252">
        <f>bargiri[[#This Row],[فی]]*bargiri[[#This Row],[میزان بارگیری شده]]</f>
        <v>2489376960</v>
      </c>
      <c r="X551" s="1"/>
      <c r="Y551" s="1"/>
      <c r="Z551" s="1"/>
    </row>
    <row r="552" spans="1:26" ht="18.600000000000001">
      <c r="A552" s="360" t="s">
        <v>1028</v>
      </c>
      <c r="B552" s="360" t="s">
        <v>118</v>
      </c>
      <c r="C552" s="355" t="s">
        <v>1056</v>
      </c>
      <c r="D552">
        <v>20550</v>
      </c>
      <c r="E552" s="143">
        <v>123481</v>
      </c>
      <c r="F552" s="117">
        <v>1405</v>
      </c>
      <c r="G552" s="360" t="s">
        <v>305</v>
      </c>
      <c r="H552" s="144">
        <f>bargiri[[#This Row],[میزان بارگیری شده]]*bargiri[[#This Row],[فی]]</f>
        <v>2537534550</v>
      </c>
      <c r="I552" s="360">
        <f>IF(year=bargiri[[#This Row],[سال]],1,0)</f>
        <v>1</v>
      </c>
      <c r="J552" s="360" t="str">
        <f>VLOOKUP(bargiri[[#This Row],[شماره پیش فاکتور]],invoice[],16,0)</f>
        <v>عادی</v>
      </c>
      <c r="K552" s="252">
        <f>bargiri[[#This Row],[فی]]*bargiri[[#This Row],[میزان بارگیری شده]]</f>
        <v>2537534550</v>
      </c>
      <c r="X552" s="1"/>
      <c r="Y552" s="1"/>
      <c r="Z552" s="1"/>
    </row>
    <row r="553" spans="1:26" ht="18.600000000000001">
      <c r="A553" s="360" t="s">
        <v>1025</v>
      </c>
      <c r="B553" s="360" t="s">
        <v>118</v>
      </c>
      <c r="C553" s="355" t="s">
        <v>1056</v>
      </c>
      <c r="D553">
        <v>21050</v>
      </c>
      <c r="E553" s="143">
        <v>123481</v>
      </c>
      <c r="F553" s="117">
        <v>1405</v>
      </c>
      <c r="G553" s="360" t="s">
        <v>305</v>
      </c>
      <c r="H553" s="144">
        <f>bargiri[[#This Row],[میزان بارگیری شده]]*bargiri[[#This Row],[فی]]</f>
        <v>2599275050</v>
      </c>
      <c r="I553" s="360">
        <f>IF(year=bargiri[[#This Row],[سال]],1,0)</f>
        <v>1</v>
      </c>
      <c r="J553" s="360" t="str">
        <f>VLOOKUP(bargiri[[#This Row],[شماره پیش فاکتور]],invoice[],16,0)</f>
        <v>عادی</v>
      </c>
      <c r="K553" s="252">
        <f>bargiri[[#This Row],[فی]]*bargiri[[#This Row],[میزان بارگیری شده]]</f>
        <v>2599275050</v>
      </c>
      <c r="X553" s="1"/>
      <c r="Y553" s="1"/>
      <c r="Z553" s="1"/>
    </row>
    <row r="554" spans="1:26" ht="18.600000000000001">
      <c r="A554" s="360" t="s">
        <v>1025</v>
      </c>
      <c r="B554" s="360" t="s">
        <v>118</v>
      </c>
      <c r="C554" s="355" t="s">
        <v>1056</v>
      </c>
      <c r="D554">
        <v>21110</v>
      </c>
      <c r="E554" s="143">
        <v>123481</v>
      </c>
      <c r="F554" s="117">
        <v>1405</v>
      </c>
      <c r="G554" s="360" t="s">
        <v>305</v>
      </c>
      <c r="H554" s="144">
        <f>bargiri[[#This Row],[میزان بارگیری شده]]*bargiri[[#This Row],[فی]]</f>
        <v>2606683910</v>
      </c>
      <c r="I554" s="360">
        <f>IF(year=bargiri[[#This Row],[سال]],1,0)</f>
        <v>1</v>
      </c>
      <c r="J554" s="360" t="str">
        <f>VLOOKUP(bargiri[[#This Row],[شماره پیش فاکتور]],invoice[],16,0)</f>
        <v>عادی</v>
      </c>
      <c r="K554" s="252">
        <f>bargiri[[#This Row],[فی]]*bargiri[[#This Row],[میزان بارگیری شده]]</f>
        <v>2606683910</v>
      </c>
      <c r="X554" s="1"/>
      <c r="Y554" s="1"/>
      <c r="Z554" s="1"/>
    </row>
    <row r="555" spans="1:26" ht="18.600000000000001">
      <c r="A555" s="360" t="s">
        <v>1025</v>
      </c>
      <c r="B555" s="360" t="s">
        <v>118</v>
      </c>
      <c r="C555" s="355" t="s">
        <v>1012</v>
      </c>
      <c r="D555">
        <v>2850</v>
      </c>
      <c r="E555" s="143">
        <v>128971</v>
      </c>
      <c r="F555" s="117">
        <v>1405</v>
      </c>
      <c r="G555" s="360" t="s">
        <v>305</v>
      </c>
      <c r="H555" s="144">
        <f>bargiri[[#This Row],[میزان بارگیری شده]]*bargiri[[#This Row],[فی]]</f>
        <v>367567350</v>
      </c>
      <c r="I555" s="360">
        <f>IF(year=bargiri[[#This Row],[سال]],1,0)</f>
        <v>1</v>
      </c>
      <c r="J555" s="360" t="str">
        <f>VLOOKUP(bargiri[[#This Row],[شماره پیش فاکتور]],invoice[],16,0)</f>
        <v>عادی</v>
      </c>
      <c r="K555" s="252">
        <f>bargiri[[#This Row],[فی]]*bargiri[[#This Row],[میزان بارگیری شده]]</f>
        <v>367567350</v>
      </c>
      <c r="X555" s="1"/>
      <c r="Y555" s="1"/>
      <c r="Z555" s="1"/>
    </row>
    <row r="556" spans="1:26" ht="18.600000000000001">
      <c r="A556" s="360" t="s">
        <v>1025</v>
      </c>
      <c r="B556" s="360" t="s">
        <v>118</v>
      </c>
      <c r="C556" s="355" t="s">
        <v>1056</v>
      </c>
      <c r="D556">
        <v>18260</v>
      </c>
      <c r="E556" s="143">
        <v>123481</v>
      </c>
      <c r="F556" s="117">
        <v>1405</v>
      </c>
      <c r="G556" s="360" t="s">
        <v>305</v>
      </c>
      <c r="H556" s="144">
        <f>bargiri[[#This Row],[میزان بارگیری شده]]*bargiri[[#This Row],[فی]]</f>
        <v>2254763060</v>
      </c>
      <c r="I556" s="360">
        <f>IF(year=bargiri[[#This Row],[سال]],1,0)</f>
        <v>1</v>
      </c>
      <c r="J556" s="360" t="str">
        <f>VLOOKUP(bargiri[[#This Row],[شماره پیش فاکتور]],invoice[],16,0)</f>
        <v>عادی</v>
      </c>
      <c r="K556" s="252">
        <f>bargiri[[#This Row],[فی]]*bargiri[[#This Row],[میزان بارگیری شده]]</f>
        <v>2254763060</v>
      </c>
      <c r="X556" s="1"/>
      <c r="Y556" s="1"/>
      <c r="Z556" s="1"/>
    </row>
    <row r="557" spans="1:26" ht="18.600000000000001">
      <c r="A557" s="360" t="s">
        <v>1060</v>
      </c>
      <c r="B557" s="360" t="s">
        <v>106</v>
      </c>
      <c r="C557" s="355" t="s">
        <v>913</v>
      </c>
      <c r="D557">
        <v>17960</v>
      </c>
      <c r="E557" s="143">
        <v>125000</v>
      </c>
      <c r="F557" s="117">
        <v>1405</v>
      </c>
      <c r="G557" s="360" t="s">
        <v>305</v>
      </c>
      <c r="H557" s="144">
        <f>bargiri[[#This Row],[میزان بارگیری شده]]*bargiri[[#This Row],[فی]]</f>
        <v>2245000000</v>
      </c>
      <c r="I557" s="360">
        <f>IF(year=bargiri[[#This Row],[سال]],1,0)</f>
        <v>1</v>
      </c>
      <c r="J557" s="360" t="str">
        <f>VLOOKUP(bargiri[[#This Row],[شماره پیش فاکتور]],invoice[],16,0)</f>
        <v>عادی</v>
      </c>
      <c r="K557" s="252">
        <f>bargiri[[#This Row],[فی]]*bargiri[[#This Row],[میزان بارگیری شده]]</f>
        <v>2245000000</v>
      </c>
      <c r="X557" s="1"/>
      <c r="Y557" s="1"/>
      <c r="Z557" s="1"/>
    </row>
    <row r="558" spans="1:26" ht="18.600000000000001">
      <c r="A558" s="360" t="s">
        <v>1060</v>
      </c>
      <c r="B558" s="360" t="s">
        <v>113</v>
      </c>
      <c r="C558" s="355" t="s">
        <v>822</v>
      </c>
      <c r="D558">
        <v>22000</v>
      </c>
      <c r="E558" s="143">
        <v>105000</v>
      </c>
      <c r="F558" s="117">
        <v>1405</v>
      </c>
      <c r="G558" s="360" t="s">
        <v>305</v>
      </c>
      <c r="H558" s="144">
        <f>bargiri[[#This Row],[میزان بارگیری شده]]*bargiri[[#This Row],[فی]]</f>
        <v>2310000000</v>
      </c>
      <c r="I558" s="360">
        <f>IF(year=bargiri[[#This Row],[سال]],1,0)</f>
        <v>1</v>
      </c>
      <c r="J558" s="360" t="str">
        <f>VLOOKUP(bargiri[[#This Row],[شماره پیش فاکتور]],invoice[],16,0)</f>
        <v>عادی</v>
      </c>
      <c r="K558" s="252">
        <f>bargiri[[#This Row],[فی]]*bargiri[[#This Row],[میزان بارگیری شده]]</f>
        <v>2310000000</v>
      </c>
      <c r="X558" s="1"/>
      <c r="Y558" s="1"/>
      <c r="Z558" s="1"/>
    </row>
    <row r="559" spans="1:26" ht="18.600000000000001">
      <c r="A559" s="360" t="s">
        <v>1060</v>
      </c>
      <c r="B559" s="360" t="s">
        <v>100</v>
      </c>
      <c r="C559" s="355" t="s">
        <v>1049</v>
      </c>
      <c r="D559">
        <v>6540</v>
      </c>
      <c r="E559" s="143">
        <v>240000</v>
      </c>
      <c r="F559" s="117">
        <v>1405</v>
      </c>
      <c r="G559" s="360" t="s">
        <v>305</v>
      </c>
      <c r="H559" s="144">
        <f>bargiri[[#This Row],[میزان بارگیری شده]]*bargiri[[#This Row],[فی]]</f>
        <v>1569600000</v>
      </c>
      <c r="I559" s="360">
        <f>IF(year=bargiri[[#This Row],[سال]],1,0)</f>
        <v>1</v>
      </c>
      <c r="J559" s="360" t="str">
        <f>VLOOKUP(bargiri[[#This Row],[شماره پیش فاکتور]],invoice[],16,0)</f>
        <v>انجمن</v>
      </c>
      <c r="K559" s="252">
        <f>bargiri[[#This Row],[فی]]*bargiri[[#This Row],[میزان بارگیری شده]]</f>
        <v>1569600000</v>
      </c>
      <c r="X559" s="1"/>
      <c r="Y559" s="1"/>
      <c r="Z559" s="1"/>
    </row>
    <row r="560" spans="1:26" ht="18.600000000000001">
      <c r="A560" s="360" t="s">
        <v>1037</v>
      </c>
      <c r="B560" s="360" t="s">
        <v>109</v>
      </c>
      <c r="C560" s="355" t="s">
        <v>1036</v>
      </c>
      <c r="D560">
        <v>19880</v>
      </c>
      <c r="E560" s="143">
        <v>240000</v>
      </c>
      <c r="F560" s="117">
        <v>1405</v>
      </c>
      <c r="G560" s="360" t="s">
        <v>305</v>
      </c>
      <c r="H560" s="144">
        <f>bargiri[[#This Row],[میزان بارگیری شده]]*bargiri[[#This Row],[فی]]</f>
        <v>4771200000</v>
      </c>
      <c r="I560" s="360">
        <f>IF(year=bargiri[[#This Row],[سال]],1,0)</f>
        <v>1</v>
      </c>
      <c r="J560" s="360" t="str">
        <f>VLOOKUP(bargiri[[#This Row],[شماره پیش فاکتور]],invoice[],16,0)</f>
        <v>انجمن</v>
      </c>
      <c r="K560" s="252">
        <f>bargiri[[#This Row],[فی]]*bargiri[[#This Row],[میزان بارگیری شده]]</f>
        <v>4771200000</v>
      </c>
      <c r="X560" s="1"/>
      <c r="Y560" s="1"/>
      <c r="Z560" s="1"/>
    </row>
    <row r="561" spans="1:26" ht="18.600000000000001">
      <c r="A561" s="360" t="s">
        <v>1038</v>
      </c>
      <c r="B561" s="360" t="s">
        <v>123</v>
      </c>
      <c r="C561" s="355" t="s">
        <v>1035</v>
      </c>
      <c r="D561">
        <v>7260</v>
      </c>
      <c r="E561" s="143">
        <v>240000</v>
      </c>
      <c r="F561" s="117">
        <v>1405</v>
      </c>
      <c r="G561" s="360" t="s">
        <v>305</v>
      </c>
      <c r="H561" s="144">
        <f>bargiri[[#This Row],[میزان بارگیری شده]]*bargiri[[#This Row],[فی]]</f>
        <v>1742400000</v>
      </c>
      <c r="I561" s="360">
        <f>IF(year=bargiri[[#This Row],[سال]],1,0)</f>
        <v>1</v>
      </c>
      <c r="J561" s="360" t="str">
        <f>VLOOKUP(bargiri[[#This Row],[شماره پیش فاکتور]],invoice[],16,0)</f>
        <v>انجمن</v>
      </c>
      <c r="K561" s="252">
        <f>bargiri[[#This Row],[فی]]*bargiri[[#This Row],[میزان بارگیری شده]]</f>
        <v>1742400000</v>
      </c>
      <c r="X561" s="1"/>
      <c r="Y561" s="1"/>
      <c r="Z561" s="1"/>
    </row>
    <row r="562" spans="1:26" ht="18.600000000000001">
      <c r="A562" s="360" t="s">
        <v>1039</v>
      </c>
      <c r="B562" s="360" t="s">
        <v>109</v>
      </c>
      <c r="C562" s="355" t="s">
        <v>1036</v>
      </c>
      <c r="D562">
        <v>19890</v>
      </c>
      <c r="E562" s="143">
        <v>240000</v>
      </c>
      <c r="F562" s="117">
        <v>1405</v>
      </c>
      <c r="G562" s="360" t="s">
        <v>305</v>
      </c>
      <c r="H562" s="144">
        <f>bargiri[[#This Row],[میزان بارگیری شده]]*bargiri[[#This Row],[فی]]</f>
        <v>4773600000</v>
      </c>
      <c r="I562" s="360">
        <f>IF(year=bargiri[[#This Row],[سال]],1,0)</f>
        <v>1</v>
      </c>
      <c r="J562" s="360" t="str">
        <f>VLOOKUP(bargiri[[#This Row],[شماره پیش فاکتور]],invoice[],16,0)</f>
        <v>انجمن</v>
      </c>
      <c r="K562" s="252">
        <f>bargiri[[#This Row],[فی]]*bargiri[[#This Row],[میزان بارگیری شده]]</f>
        <v>4773600000</v>
      </c>
      <c r="X562" s="1"/>
      <c r="Y562" s="1"/>
      <c r="Z562" s="1"/>
    </row>
    <row r="563" spans="1:26" ht="18.600000000000001">
      <c r="A563" s="360" t="s">
        <v>1044</v>
      </c>
      <c r="B563" s="360" t="s">
        <v>99</v>
      </c>
      <c r="C563" s="355" t="s">
        <v>821</v>
      </c>
      <c r="D563">
        <v>21770</v>
      </c>
      <c r="E563" s="143">
        <v>105000</v>
      </c>
      <c r="F563" s="117">
        <v>1405</v>
      </c>
      <c r="G563" s="360" t="s">
        <v>305</v>
      </c>
      <c r="H563" s="144">
        <f>bargiri[[#This Row],[میزان بارگیری شده]]*bargiri[[#This Row],[فی]]</f>
        <v>2285850000</v>
      </c>
      <c r="I563" s="360">
        <f>IF(year=bargiri[[#This Row],[سال]],1,0)</f>
        <v>1</v>
      </c>
      <c r="J563" s="360" t="str">
        <f>VLOOKUP(bargiri[[#This Row],[شماره پیش فاکتور]],invoice[],16,0)</f>
        <v>عادی</v>
      </c>
      <c r="K563" s="252">
        <f>bargiri[[#This Row],[فی]]*bargiri[[#This Row],[میزان بارگیری شده]]</f>
        <v>2285850000</v>
      </c>
      <c r="X563" s="1"/>
      <c r="Y563" s="1"/>
      <c r="Z563" s="1"/>
    </row>
    <row r="564" spans="1:26" ht="18.600000000000001">
      <c r="A564" s="360" t="s">
        <v>1037</v>
      </c>
      <c r="B564" s="360" t="s">
        <v>101</v>
      </c>
      <c r="C564" s="355" t="s">
        <v>861</v>
      </c>
      <c r="D564">
        <v>12135</v>
      </c>
      <c r="E564" s="143">
        <v>116500</v>
      </c>
      <c r="F564" s="117">
        <v>1405</v>
      </c>
      <c r="G564" s="360" t="s">
        <v>305</v>
      </c>
      <c r="H564" s="144">
        <f>bargiri[[#This Row],[میزان بارگیری شده]]*bargiri[[#This Row],[فی]]</f>
        <v>1413727500</v>
      </c>
      <c r="I564" s="360">
        <f>IF(year=bargiri[[#This Row],[سال]],1,0)</f>
        <v>1</v>
      </c>
      <c r="J564" s="360" t="str">
        <f>VLOOKUP(bargiri[[#This Row],[شماره پیش فاکتور]],invoice[],16,0)</f>
        <v>تعادلی</v>
      </c>
      <c r="K564" s="252">
        <f>bargiri[[#This Row],[فی]]*bargiri[[#This Row],[میزان بارگیری شده]]</f>
        <v>1413727500</v>
      </c>
      <c r="X564" s="1"/>
      <c r="Y564" s="1"/>
      <c r="Z564" s="1"/>
    </row>
    <row r="565" spans="1:26" ht="18.600000000000001">
      <c r="A565" s="360" t="s">
        <v>1037</v>
      </c>
      <c r="B565" s="360" t="s">
        <v>101</v>
      </c>
      <c r="C565" s="355" t="s">
        <v>904</v>
      </c>
      <c r="D565">
        <v>7995</v>
      </c>
      <c r="E565" s="143">
        <v>116500</v>
      </c>
      <c r="F565" s="117">
        <v>1405</v>
      </c>
      <c r="G565" s="360" t="s">
        <v>305</v>
      </c>
      <c r="H565" s="144">
        <f>bargiri[[#This Row],[میزان بارگیری شده]]*bargiri[[#This Row],[فی]]</f>
        <v>931417500</v>
      </c>
      <c r="I565" s="360">
        <f>IF(year=bargiri[[#This Row],[سال]],1,0)</f>
        <v>1</v>
      </c>
      <c r="J565" s="360" t="str">
        <f>VLOOKUP(bargiri[[#This Row],[شماره پیش فاکتور]],invoice[],16,0)</f>
        <v>تعادلی</v>
      </c>
      <c r="K565" s="252">
        <f>bargiri[[#This Row],[فی]]*bargiri[[#This Row],[میزان بارگیری شده]]</f>
        <v>931417500</v>
      </c>
      <c r="X565" s="1"/>
      <c r="Y565" s="1"/>
      <c r="Z565" s="1"/>
    </row>
    <row r="566" spans="1:26" ht="18.600000000000001">
      <c r="A566" s="360" t="s">
        <v>1037</v>
      </c>
      <c r="B566" s="360" t="s">
        <v>113</v>
      </c>
      <c r="C566" s="355" t="s">
        <v>822</v>
      </c>
      <c r="D566">
        <v>20010</v>
      </c>
      <c r="E566" s="143">
        <v>105000</v>
      </c>
      <c r="F566" s="117">
        <v>1405</v>
      </c>
      <c r="G566" s="360" t="s">
        <v>305</v>
      </c>
      <c r="H566" s="144">
        <f>bargiri[[#This Row],[میزان بارگیری شده]]*bargiri[[#This Row],[فی]]</f>
        <v>2101050000</v>
      </c>
      <c r="I566" s="360">
        <f>IF(year=bargiri[[#This Row],[سال]],1,0)</f>
        <v>1</v>
      </c>
      <c r="J566" s="360" t="str">
        <f>VLOOKUP(bargiri[[#This Row],[شماره پیش فاکتور]],invoice[],16,0)</f>
        <v>عادی</v>
      </c>
      <c r="K566" s="252">
        <f>bargiri[[#This Row],[فی]]*bargiri[[#This Row],[میزان بارگیری شده]]</f>
        <v>2101050000</v>
      </c>
      <c r="X566" s="1"/>
      <c r="Y566" s="1"/>
      <c r="Z566" s="1"/>
    </row>
    <row r="567" spans="1:26" ht="18.600000000000001">
      <c r="A567" s="360" t="s">
        <v>1038</v>
      </c>
      <c r="B567" s="360" t="s">
        <v>106</v>
      </c>
      <c r="C567" s="355" t="s">
        <v>913</v>
      </c>
      <c r="D567">
        <v>22080</v>
      </c>
      <c r="E567" s="143">
        <v>125000</v>
      </c>
      <c r="F567" s="117">
        <v>1405</v>
      </c>
      <c r="G567" s="360" t="s">
        <v>305</v>
      </c>
      <c r="H567" s="144">
        <f>bargiri[[#This Row],[میزان بارگیری شده]]*bargiri[[#This Row],[فی]]</f>
        <v>2760000000</v>
      </c>
      <c r="I567" s="360">
        <f>IF(year=bargiri[[#This Row],[سال]],1,0)</f>
        <v>1</v>
      </c>
      <c r="J567" s="360" t="str">
        <f>VLOOKUP(bargiri[[#This Row],[شماره پیش فاکتور]],invoice[],16,0)</f>
        <v>عادی</v>
      </c>
      <c r="K567" s="252">
        <f>bargiri[[#This Row],[فی]]*bargiri[[#This Row],[میزان بارگیری شده]]</f>
        <v>2760000000</v>
      </c>
      <c r="X567" s="1"/>
      <c r="Y567" s="1"/>
      <c r="Z567" s="1"/>
    </row>
    <row r="568" spans="1:26" ht="18.600000000000001">
      <c r="A568" s="360" t="s">
        <v>1033</v>
      </c>
      <c r="B568" s="360" t="s">
        <v>114</v>
      </c>
      <c r="C568" s="355" t="s">
        <v>905</v>
      </c>
      <c r="D568">
        <v>22680</v>
      </c>
      <c r="E568" s="143">
        <v>135000</v>
      </c>
      <c r="F568" s="117">
        <v>1405</v>
      </c>
      <c r="G568" s="360" t="s">
        <v>305</v>
      </c>
      <c r="H568" s="144">
        <f>bargiri[[#This Row],[میزان بارگیری شده]]*bargiri[[#This Row],[فی]]</f>
        <v>3061800000</v>
      </c>
      <c r="I568" s="360">
        <f>IF(year=bargiri[[#This Row],[سال]],1,0)</f>
        <v>1</v>
      </c>
      <c r="J568" s="360" t="str">
        <f>VLOOKUP(bargiri[[#This Row],[شماره پیش فاکتور]],invoice[],16,0)</f>
        <v>عادی</v>
      </c>
      <c r="K568" s="252">
        <f>bargiri[[#This Row],[فی]]*bargiri[[#This Row],[میزان بارگیری شده]]</f>
        <v>3061800000</v>
      </c>
      <c r="X568" s="1"/>
      <c r="Y568" s="1"/>
      <c r="Z568" s="1"/>
    </row>
    <row r="569" spans="1:26" ht="18.600000000000001">
      <c r="A569" s="360" t="s">
        <v>1033</v>
      </c>
      <c r="B569" s="360" t="s">
        <v>114</v>
      </c>
      <c r="C569" s="355" t="s">
        <v>905</v>
      </c>
      <c r="D569">
        <v>22530</v>
      </c>
      <c r="E569" s="143">
        <v>135000</v>
      </c>
      <c r="F569" s="117">
        <v>1405</v>
      </c>
      <c r="G569" s="360" t="s">
        <v>305</v>
      </c>
      <c r="H569" s="144">
        <f>bargiri[[#This Row],[میزان بارگیری شده]]*bargiri[[#This Row],[فی]]</f>
        <v>3041550000</v>
      </c>
      <c r="I569" s="360">
        <f>IF(year=bargiri[[#This Row],[سال]],1,0)</f>
        <v>1</v>
      </c>
      <c r="J569" s="360" t="str">
        <f>VLOOKUP(bargiri[[#This Row],[شماره پیش فاکتور]],invoice[],16,0)</f>
        <v>عادی</v>
      </c>
      <c r="K569" s="252">
        <f>bargiri[[#This Row],[فی]]*bargiri[[#This Row],[میزان بارگیری شده]]</f>
        <v>3041550000</v>
      </c>
      <c r="X569" s="1"/>
      <c r="Y569" s="1"/>
      <c r="Z569" s="1"/>
    </row>
    <row r="570" spans="1:26" ht="18.600000000000001">
      <c r="A570" s="360" t="s">
        <v>1034</v>
      </c>
      <c r="B570" s="360" t="s">
        <v>121</v>
      </c>
      <c r="C570" s="355" t="s">
        <v>635</v>
      </c>
      <c r="D570">
        <v>20850</v>
      </c>
      <c r="E570" s="143">
        <v>120000</v>
      </c>
      <c r="F570" s="117">
        <v>1405</v>
      </c>
      <c r="G570" s="360" t="s">
        <v>305</v>
      </c>
      <c r="H570" s="144">
        <f>bargiri[[#This Row],[میزان بارگیری شده]]*bargiri[[#This Row],[فی]]</f>
        <v>2502000000</v>
      </c>
      <c r="I570" s="360">
        <f>IF(year=bargiri[[#This Row],[سال]],1,0)</f>
        <v>1</v>
      </c>
      <c r="J570" s="360" t="str">
        <f>VLOOKUP(bargiri[[#This Row],[شماره پیش فاکتور]],invoice[],16,0)</f>
        <v>عادی</v>
      </c>
      <c r="K570" s="252">
        <f>bargiri[[#This Row],[فی]]*bargiri[[#This Row],[میزان بارگیری شده]]</f>
        <v>2502000000</v>
      </c>
      <c r="X570" s="1"/>
      <c r="Y570" s="1"/>
      <c r="Z570" s="1"/>
    </row>
    <row r="571" spans="1:26" ht="18.600000000000001">
      <c r="A571" s="360" t="s">
        <v>1034</v>
      </c>
      <c r="B571" s="360" t="s">
        <v>99</v>
      </c>
      <c r="C571" s="355" t="s">
        <v>821</v>
      </c>
      <c r="D571">
        <v>20400</v>
      </c>
      <c r="E571" s="143">
        <v>105000</v>
      </c>
      <c r="F571" s="117">
        <v>1405</v>
      </c>
      <c r="G571" s="360" t="s">
        <v>305</v>
      </c>
      <c r="H571" s="144">
        <f>bargiri[[#This Row],[میزان بارگیری شده]]*bargiri[[#This Row],[فی]]</f>
        <v>2142000000</v>
      </c>
      <c r="I571" s="360">
        <f>IF(year=bargiri[[#This Row],[سال]],1,0)</f>
        <v>1</v>
      </c>
      <c r="J571" s="360" t="str">
        <f>VLOOKUP(bargiri[[#This Row],[شماره پیش فاکتور]],invoice[],16,0)</f>
        <v>عادی</v>
      </c>
      <c r="K571" s="252">
        <f>bargiri[[#This Row],[فی]]*bargiri[[#This Row],[میزان بارگیری شده]]</f>
        <v>2142000000</v>
      </c>
      <c r="X571" s="1"/>
      <c r="Y571" s="1"/>
      <c r="Z571" s="1"/>
    </row>
    <row r="572" spans="1:26" ht="18.600000000000001">
      <c r="A572" s="360" t="s">
        <v>1034</v>
      </c>
      <c r="B572" s="360" t="s">
        <v>102</v>
      </c>
      <c r="C572" s="355" t="s">
        <v>22</v>
      </c>
      <c r="D572">
        <v>1440</v>
      </c>
      <c r="E572" s="143">
        <v>89000</v>
      </c>
      <c r="F572" s="117">
        <v>1405</v>
      </c>
      <c r="G572" s="360" t="s">
        <v>305</v>
      </c>
      <c r="H572" s="144">
        <f>bargiri[[#This Row],[میزان بارگیری شده]]*bargiri[[#This Row],[فی]]</f>
        <v>128160000</v>
      </c>
      <c r="I572" s="360">
        <f>IF(year=bargiri[[#This Row],[سال]],1,0)</f>
        <v>1</v>
      </c>
      <c r="J572" s="360" t="str">
        <f>VLOOKUP(bargiri[[#This Row],[شماره پیش فاکتور]],invoice[],16,0)</f>
        <v>عادی</v>
      </c>
      <c r="K572" s="252">
        <f>bargiri[[#This Row],[فی]]*bargiri[[#This Row],[میزان بارگیری شده]]</f>
        <v>128160000</v>
      </c>
      <c r="X572" s="1"/>
      <c r="Y572" s="1"/>
      <c r="Z572" s="1"/>
    </row>
    <row r="573" spans="1:26" ht="18.600000000000001">
      <c r="A573" s="360" t="s">
        <v>1034</v>
      </c>
      <c r="B573" s="360" t="s">
        <v>102</v>
      </c>
      <c r="C573" s="355" t="s">
        <v>1011</v>
      </c>
      <c r="D573">
        <v>10350</v>
      </c>
      <c r="E573" s="143">
        <v>120000</v>
      </c>
      <c r="F573" s="117">
        <v>1405</v>
      </c>
      <c r="G573" s="360" t="s">
        <v>305</v>
      </c>
      <c r="H573" s="144">
        <f>bargiri[[#This Row],[میزان بارگیری شده]]*bargiri[[#This Row],[فی]]</f>
        <v>1242000000</v>
      </c>
      <c r="I573" s="360">
        <f>IF(year=bargiri[[#This Row],[سال]],1,0)</f>
        <v>1</v>
      </c>
      <c r="J573" s="360" t="str">
        <f>VLOOKUP(bargiri[[#This Row],[شماره پیش فاکتور]],invoice[],16,0)</f>
        <v>عادی</v>
      </c>
      <c r="K573" s="252">
        <f>bargiri[[#This Row],[فی]]*bargiri[[#This Row],[میزان بارگیری شده]]</f>
        <v>1242000000</v>
      </c>
      <c r="X573" s="1"/>
      <c r="Y573" s="1"/>
      <c r="Z573" s="1"/>
    </row>
    <row r="574" spans="1:26" ht="18.600000000000001">
      <c r="A574" s="360" t="s">
        <v>1031</v>
      </c>
      <c r="B574" s="360" t="s">
        <v>116</v>
      </c>
      <c r="C574" s="355" t="s">
        <v>565</v>
      </c>
      <c r="D574">
        <v>11055</v>
      </c>
      <c r="E574" s="143">
        <v>142000</v>
      </c>
      <c r="F574" s="117">
        <v>1405</v>
      </c>
      <c r="G574" s="360" t="s">
        <v>305</v>
      </c>
      <c r="H574" s="144">
        <f>bargiri[[#This Row],[میزان بارگیری شده]]*bargiri[[#This Row],[فی]]</f>
        <v>1569810000</v>
      </c>
      <c r="I574" s="360">
        <f>IF(year=bargiri[[#This Row],[سال]],1,0)</f>
        <v>1</v>
      </c>
      <c r="J574" s="360" t="str">
        <f>VLOOKUP(bargiri[[#This Row],[شماره پیش فاکتور]],invoice[],16,0)</f>
        <v>انجمن</v>
      </c>
      <c r="K574" s="252">
        <f>bargiri[[#This Row],[فی]]*bargiri[[#This Row],[میزان بارگیری شده]]</f>
        <v>1569810000</v>
      </c>
      <c r="X574" s="1"/>
      <c r="Y574" s="1"/>
      <c r="Z574" s="1"/>
    </row>
    <row r="575" spans="1:26" ht="18.600000000000001">
      <c r="A575" s="360" t="s">
        <v>1031</v>
      </c>
      <c r="B575" s="360" t="s">
        <v>116</v>
      </c>
      <c r="C575" s="355" t="s">
        <v>647</v>
      </c>
      <c r="D575">
        <v>8785</v>
      </c>
      <c r="E575" s="143">
        <v>116500</v>
      </c>
      <c r="F575" s="117">
        <v>1405</v>
      </c>
      <c r="G575" s="360" t="s">
        <v>305</v>
      </c>
      <c r="H575" s="144">
        <f>bargiri[[#This Row],[میزان بارگیری شده]]*bargiri[[#This Row],[فی]]</f>
        <v>1023452500</v>
      </c>
      <c r="I575" s="360">
        <f>IF(year=bargiri[[#This Row],[سال]],1,0)</f>
        <v>1</v>
      </c>
      <c r="J575" s="360" t="str">
        <f>VLOOKUP(bargiri[[#This Row],[شماره پیش فاکتور]],invoice[],16,0)</f>
        <v>تعادلی</v>
      </c>
      <c r="K575" s="252">
        <f>bargiri[[#This Row],[فی]]*bargiri[[#This Row],[میزان بارگیری شده]]</f>
        <v>1023452500</v>
      </c>
      <c r="X575" s="1"/>
      <c r="Y575" s="1"/>
      <c r="Z575" s="1"/>
    </row>
    <row r="576" spans="1:26" ht="18.600000000000001">
      <c r="A576" s="360" t="s">
        <v>1030</v>
      </c>
      <c r="B576" s="360" t="s">
        <v>103</v>
      </c>
      <c r="C576" s="355" t="s">
        <v>560</v>
      </c>
      <c r="D576">
        <v>6940</v>
      </c>
      <c r="E576" s="143">
        <v>142000</v>
      </c>
      <c r="F576" s="117">
        <v>1405</v>
      </c>
      <c r="G576" s="360" t="s">
        <v>305</v>
      </c>
      <c r="H576" s="144">
        <f>bargiri[[#This Row],[میزان بارگیری شده]]*bargiri[[#This Row],[فی]]</f>
        <v>985480000</v>
      </c>
      <c r="I576" s="360">
        <f>IF(year=bargiri[[#This Row],[سال]],1,0)</f>
        <v>1</v>
      </c>
      <c r="J576" s="360" t="str">
        <f>VLOOKUP(bargiri[[#This Row],[شماره پیش فاکتور]],invoice[],16,0)</f>
        <v>انجمن</v>
      </c>
      <c r="K576" s="252">
        <f>bargiri[[#This Row],[فی]]*bargiri[[#This Row],[میزان بارگیری شده]]</f>
        <v>985480000</v>
      </c>
      <c r="X576" s="1"/>
      <c r="Y576" s="1"/>
      <c r="Z576" s="1"/>
    </row>
    <row r="577" spans="1:26" ht="18.600000000000001">
      <c r="A577" s="360" t="s">
        <v>1030</v>
      </c>
      <c r="B577" s="360" t="s">
        <v>116</v>
      </c>
      <c r="C577" s="355" t="s">
        <v>565</v>
      </c>
      <c r="D577">
        <v>17740</v>
      </c>
      <c r="E577" s="143">
        <v>142000</v>
      </c>
      <c r="F577" s="117">
        <v>1405</v>
      </c>
      <c r="G577" s="360" t="s">
        <v>305</v>
      </c>
      <c r="H577" s="144">
        <f>bargiri[[#This Row],[میزان بارگیری شده]]*bargiri[[#This Row],[فی]]</f>
        <v>2519080000</v>
      </c>
      <c r="I577" s="360">
        <f>IF(year=bargiri[[#This Row],[سال]],1,0)</f>
        <v>1</v>
      </c>
      <c r="J577" s="360" t="str">
        <f>VLOOKUP(bargiri[[#This Row],[شماره پیش فاکتور]],invoice[],16,0)</f>
        <v>انجمن</v>
      </c>
      <c r="K577" s="252">
        <f>bargiri[[#This Row],[فی]]*bargiri[[#This Row],[میزان بارگیری شده]]</f>
        <v>2519080000</v>
      </c>
      <c r="X577" s="1"/>
      <c r="Y577" s="1"/>
      <c r="Z577" s="1"/>
    </row>
    <row r="578" spans="1:26" ht="18.600000000000001">
      <c r="A578" s="360" t="s">
        <v>1030</v>
      </c>
      <c r="B578" s="360" t="s">
        <v>98</v>
      </c>
      <c r="C578" s="355" t="s">
        <v>939</v>
      </c>
      <c r="D578">
        <v>22100</v>
      </c>
      <c r="E578" s="143">
        <v>167500</v>
      </c>
      <c r="F578" s="117">
        <v>1405</v>
      </c>
      <c r="G578" s="360" t="s">
        <v>305</v>
      </c>
      <c r="H578" s="144">
        <f>bargiri[[#This Row],[میزان بارگیری شده]]*bargiri[[#This Row],[فی]]</f>
        <v>3701750000</v>
      </c>
      <c r="I578" s="360">
        <f>IF(year=bargiri[[#This Row],[سال]],1,0)</f>
        <v>1</v>
      </c>
      <c r="J578" s="360" t="str">
        <f>VLOOKUP(bargiri[[#This Row],[شماره پیش فاکتور]],invoice[],16,0)</f>
        <v>بورس</v>
      </c>
      <c r="K578" s="252">
        <f>bargiri[[#This Row],[فی]]*bargiri[[#This Row],[میزان بارگیری شده]]</f>
        <v>3701750000</v>
      </c>
      <c r="X578" s="1"/>
      <c r="Y578" s="1"/>
      <c r="Z578" s="1"/>
    </row>
    <row r="579" spans="1:26" ht="18.600000000000001">
      <c r="A579" s="360" t="s">
        <v>1030</v>
      </c>
      <c r="B579" s="360" t="s">
        <v>113</v>
      </c>
      <c r="C579" s="355" t="s">
        <v>822</v>
      </c>
      <c r="D579">
        <v>19940</v>
      </c>
      <c r="E579" s="143">
        <v>105000</v>
      </c>
      <c r="F579" s="117">
        <v>1405</v>
      </c>
      <c r="G579" s="360" t="s">
        <v>305</v>
      </c>
      <c r="H579" s="144">
        <f>bargiri[[#This Row],[میزان بارگیری شده]]*bargiri[[#This Row],[فی]]</f>
        <v>2093700000</v>
      </c>
      <c r="I579" s="360">
        <f>IF(year=bargiri[[#This Row],[سال]],1,0)</f>
        <v>1</v>
      </c>
      <c r="J579" s="360" t="str">
        <f>VLOOKUP(bargiri[[#This Row],[شماره پیش فاکتور]],invoice[],16,0)</f>
        <v>عادی</v>
      </c>
      <c r="K579" s="252">
        <f>bargiri[[#This Row],[فی]]*bargiri[[#This Row],[میزان بارگیری شده]]</f>
        <v>2093700000</v>
      </c>
      <c r="X579" s="1"/>
      <c r="Y579" s="1"/>
      <c r="Z579" s="1"/>
    </row>
    <row r="580" spans="1:26" ht="18.600000000000001">
      <c r="A580" s="360" t="s">
        <v>1029</v>
      </c>
      <c r="B580" s="360" t="s">
        <v>116</v>
      </c>
      <c r="C580" s="355" t="s">
        <v>565</v>
      </c>
      <c r="D580">
        <v>19820</v>
      </c>
      <c r="E580" s="143">
        <v>142000</v>
      </c>
      <c r="F580" s="117">
        <v>1405</v>
      </c>
      <c r="G580" s="360" t="s">
        <v>305</v>
      </c>
      <c r="H580" s="144">
        <f>bargiri[[#This Row],[میزان بارگیری شده]]*bargiri[[#This Row],[فی]]</f>
        <v>2814440000</v>
      </c>
      <c r="I580" s="360">
        <f>IF(year=bargiri[[#This Row],[سال]],1,0)</f>
        <v>1</v>
      </c>
      <c r="J580" s="360" t="str">
        <f>VLOOKUP(bargiri[[#This Row],[شماره پیش فاکتور]],invoice[],16,0)</f>
        <v>انجمن</v>
      </c>
      <c r="K580" s="252">
        <f>bargiri[[#This Row],[فی]]*bargiri[[#This Row],[میزان بارگیری شده]]</f>
        <v>2814440000</v>
      </c>
      <c r="X580" s="1"/>
      <c r="Y580" s="1"/>
      <c r="Z580" s="1"/>
    </row>
    <row r="581" spans="1:26" ht="18.600000000000001">
      <c r="A581" s="360" t="s">
        <v>1029</v>
      </c>
      <c r="B581" s="360" t="s">
        <v>106</v>
      </c>
      <c r="C581" s="355" t="s">
        <v>913</v>
      </c>
      <c r="D581">
        <v>20140</v>
      </c>
      <c r="E581" s="143">
        <v>125000</v>
      </c>
      <c r="F581" s="117">
        <v>1405</v>
      </c>
      <c r="G581" s="360" t="s">
        <v>305</v>
      </c>
      <c r="H581" s="144">
        <f>bargiri[[#This Row],[میزان بارگیری شده]]*bargiri[[#This Row],[فی]]</f>
        <v>2517500000</v>
      </c>
      <c r="I581" s="360">
        <f>IF(year=bargiri[[#This Row],[سال]],1,0)</f>
        <v>1</v>
      </c>
      <c r="J581" s="360" t="str">
        <f>VLOOKUP(bargiri[[#This Row],[شماره پیش فاکتور]],invoice[],16,0)</f>
        <v>عادی</v>
      </c>
      <c r="K581" s="252">
        <f>bargiri[[#This Row],[فی]]*bargiri[[#This Row],[میزان بارگیری شده]]</f>
        <v>2517500000</v>
      </c>
      <c r="X581" s="1"/>
      <c r="Y581" s="1"/>
      <c r="Z581" s="1"/>
    </row>
    <row r="582" spans="1:26" ht="18.600000000000001">
      <c r="A582" s="360" t="s">
        <v>1029</v>
      </c>
      <c r="B582" s="360" t="s">
        <v>104</v>
      </c>
      <c r="C582" s="355" t="s">
        <v>686</v>
      </c>
      <c r="D582">
        <v>17530</v>
      </c>
      <c r="E582" s="143">
        <v>116500</v>
      </c>
      <c r="F582" s="117">
        <v>1405</v>
      </c>
      <c r="G582" s="360" t="s">
        <v>305</v>
      </c>
      <c r="H582" s="144">
        <f>bargiri[[#This Row],[میزان بارگیری شده]]*bargiri[[#This Row],[فی]]</f>
        <v>2042245000</v>
      </c>
      <c r="I582" s="360">
        <f>IF(year=bargiri[[#This Row],[سال]],1,0)</f>
        <v>1</v>
      </c>
      <c r="J582" s="360" t="str">
        <f>VLOOKUP(bargiri[[#This Row],[شماره پیش فاکتور]],invoice[],16,0)</f>
        <v>تعادلی</v>
      </c>
      <c r="K582" s="252">
        <f>bargiri[[#This Row],[فی]]*bargiri[[#This Row],[میزان بارگیری شده]]</f>
        <v>2042245000</v>
      </c>
      <c r="X582" s="1"/>
      <c r="Y582" s="1"/>
      <c r="Z582" s="1"/>
    </row>
    <row r="583" spans="1:26" ht="18.600000000000001">
      <c r="A583" s="360" t="s">
        <v>1029</v>
      </c>
      <c r="B583" s="360" t="s">
        <v>123</v>
      </c>
      <c r="C583" s="355" t="s">
        <v>569</v>
      </c>
      <c r="D583">
        <v>7090</v>
      </c>
      <c r="E583" s="143">
        <v>142000</v>
      </c>
      <c r="F583" s="117">
        <v>1405</v>
      </c>
      <c r="G583" s="360" t="s">
        <v>305</v>
      </c>
      <c r="H583" s="144">
        <f>bargiri[[#This Row],[میزان بارگیری شده]]*bargiri[[#This Row],[فی]]</f>
        <v>1006780000</v>
      </c>
      <c r="I583" s="360">
        <f>IF(year=bargiri[[#This Row],[سال]],1,0)</f>
        <v>1</v>
      </c>
      <c r="J583" s="360" t="str">
        <f>VLOOKUP(bargiri[[#This Row],[شماره پیش فاکتور]],invoice[],16,0)</f>
        <v>انجمن</v>
      </c>
      <c r="K583" s="252">
        <f>bargiri[[#This Row],[فی]]*bargiri[[#This Row],[میزان بارگیری شده]]</f>
        <v>1006780000</v>
      </c>
      <c r="X583" s="1"/>
      <c r="Y583" s="1"/>
      <c r="Z583" s="1"/>
    </row>
    <row r="584" spans="1:26" ht="18.600000000000001">
      <c r="A584" s="360" t="s">
        <v>1026</v>
      </c>
      <c r="B584" s="360" t="s">
        <v>99</v>
      </c>
      <c r="C584" s="355" t="s">
        <v>821</v>
      </c>
      <c r="D584">
        <v>20080</v>
      </c>
      <c r="E584" s="143">
        <v>105000</v>
      </c>
      <c r="F584" s="117">
        <v>1405</v>
      </c>
      <c r="G584" s="360" t="s">
        <v>305</v>
      </c>
      <c r="H584" s="144">
        <f>bargiri[[#This Row],[میزان بارگیری شده]]*bargiri[[#This Row],[فی]]</f>
        <v>2108400000</v>
      </c>
      <c r="I584" s="360">
        <f>IF(year=bargiri[[#This Row],[سال]],1,0)</f>
        <v>1</v>
      </c>
      <c r="J584" s="360" t="str">
        <f>VLOOKUP(bargiri[[#This Row],[شماره پیش فاکتور]],invoice[],16,0)</f>
        <v>عادی</v>
      </c>
      <c r="K584" s="252">
        <f>bargiri[[#This Row],[فی]]*bargiri[[#This Row],[میزان بارگیری شده]]</f>
        <v>2108400000</v>
      </c>
      <c r="X584" s="1"/>
      <c r="Y584" s="1"/>
      <c r="Z584" s="1"/>
    </row>
    <row r="585" spans="1:26" ht="18.600000000000001">
      <c r="A585" s="360" t="s">
        <v>1027</v>
      </c>
      <c r="B585" s="360" t="s">
        <v>116</v>
      </c>
      <c r="C585" s="355" t="s">
        <v>565</v>
      </c>
      <c r="D585">
        <v>20020</v>
      </c>
      <c r="E585" s="143">
        <v>142000</v>
      </c>
      <c r="F585" s="117">
        <v>1405</v>
      </c>
      <c r="G585" s="360" t="s">
        <v>305</v>
      </c>
      <c r="H585" s="144">
        <f>bargiri[[#This Row],[میزان بارگیری شده]]*bargiri[[#This Row],[فی]]</f>
        <v>2842840000</v>
      </c>
      <c r="I585" s="360">
        <f>IF(year=bargiri[[#This Row],[سال]],1,0)</f>
        <v>1</v>
      </c>
      <c r="J585" s="360" t="str">
        <f>VLOOKUP(bargiri[[#This Row],[شماره پیش فاکتور]],invoice[],16,0)</f>
        <v>انجمن</v>
      </c>
      <c r="K585" s="252">
        <f>bargiri[[#This Row],[فی]]*bargiri[[#This Row],[میزان بارگیری شده]]</f>
        <v>2842840000</v>
      </c>
      <c r="X585" s="1"/>
      <c r="Y585" s="1"/>
      <c r="Z585" s="1"/>
    </row>
    <row r="586" spans="1:26" ht="18.600000000000001">
      <c r="A586" s="360" t="s">
        <v>1028</v>
      </c>
      <c r="B586" s="360" t="s">
        <v>104</v>
      </c>
      <c r="C586" s="355" t="s">
        <v>686</v>
      </c>
      <c r="D586">
        <v>15950</v>
      </c>
      <c r="E586" s="143">
        <v>116500</v>
      </c>
      <c r="F586" s="117">
        <v>1405</v>
      </c>
      <c r="G586" s="360" t="s">
        <v>305</v>
      </c>
      <c r="H586" s="144">
        <f>bargiri[[#This Row],[میزان بارگیری شده]]*bargiri[[#This Row],[فی]]</f>
        <v>1858175000</v>
      </c>
      <c r="I586" s="360">
        <f>IF(year=bargiri[[#This Row],[سال]],1,0)</f>
        <v>1</v>
      </c>
      <c r="J586" s="360" t="str">
        <f>VLOOKUP(bargiri[[#This Row],[شماره پیش فاکتور]],invoice[],16,0)</f>
        <v>تعادلی</v>
      </c>
      <c r="K586" s="252">
        <f>bargiri[[#This Row],[فی]]*bargiri[[#This Row],[میزان بارگیری شده]]</f>
        <v>1858175000</v>
      </c>
      <c r="X586" s="1"/>
      <c r="Y586" s="1"/>
      <c r="Z586" s="1"/>
    </row>
    <row r="587" spans="1:26" ht="18.600000000000001">
      <c r="A587" s="360" t="s">
        <v>1028</v>
      </c>
      <c r="B587" s="360" t="s">
        <v>104</v>
      </c>
      <c r="C587" s="355" t="s">
        <v>561</v>
      </c>
      <c r="D587">
        <v>18170</v>
      </c>
      <c r="E587" s="143">
        <v>142000</v>
      </c>
      <c r="F587" s="117">
        <v>1405</v>
      </c>
      <c r="G587" s="360" t="s">
        <v>305</v>
      </c>
      <c r="H587" s="144">
        <f>bargiri[[#This Row],[میزان بارگیری شده]]*bargiri[[#This Row],[فی]]</f>
        <v>2580140000</v>
      </c>
      <c r="I587" s="360">
        <f>IF(year=bargiri[[#This Row],[سال]],1,0)</f>
        <v>1</v>
      </c>
      <c r="J587" s="360" t="str">
        <f>VLOOKUP(bargiri[[#This Row],[شماره پیش فاکتور]],invoice[],16,0)</f>
        <v>انجمن</v>
      </c>
      <c r="K587" s="252">
        <f>bargiri[[#This Row],[فی]]*bargiri[[#This Row],[میزان بارگیری شده]]</f>
        <v>2580140000</v>
      </c>
      <c r="X587" s="1"/>
      <c r="Y587" s="1"/>
      <c r="Z587" s="1"/>
    </row>
    <row r="588" spans="1:26" ht="18.600000000000001">
      <c r="A588" s="360" t="s">
        <v>1024</v>
      </c>
      <c r="B588" s="360" t="s">
        <v>116</v>
      </c>
      <c r="C588" s="355" t="s">
        <v>565</v>
      </c>
      <c r="D588">
        <v>17620</v>
      </c>
      <c r="E588" s="143">
        <v>142000</v>
      </c>
      <c r="F588" s="117">
        <v>1405</v>
      </c>
      <c r="G588" s="360" t="s">
        <v>305</v>
      </c>
      <c r="H588" s="144">
        <f>bargiri[[#This Row],[میزان بارگیری شده]]*bargiri[[#This Row],[فی]]</f>
        <v>2502040000</v>
      </c>
      <c r="I588" s="360">
        <f>IF(year=bargiri[[#This Row],[سال]],1,0)</f>
        <v>1</v>
      </c>
      <c r="J588" s="360" t="str">
        <f>VLOOKUP(bargiri[[#This Row],[شماره پیش فاکتور]],invoice[],16,0)</f>
        <v>انجمن</v>
      </c>
      <c r="K588" s="252">
        <f>bargiri[[#This Row],[فی]]*bargiri[[#This Row],[میزان بارگیری شده]]</f>
        <v>2502040000</v>
      </c>
      <c r="X588" s="1"/>
      <c r="Y588" s="1"/>
      <c r="Z588" s="1"/>
    </row>
    <row r="589" spans="1:26" ht="18.600000000000001">
      <c r="A589" s="360" t="s">
        <v>1025</v>
      </c>
      <c r="B589" s="360" t="s">
        <v>113</v>
      </c>
      <c r="C589" s="355" t="s">
        <v>822</v>
      </c>
      <c r="D589">
        <v>20890</v>
      </c>
      <c r="E589" s="143">
        <v>105000</v>
      </c>
      <c r="F589" s="117">
        <v>1405</v>
      </c>
      <c r="G589" s="360" t="s">
        <v>305</v>
      </c>
      <c r="H589" s="144">
        <f>bargiri[[#This Row],[میزان بارگیری شده]]*bargiri[[#This Row],[فی]]</f>
        <v>2193450000</v>
      </c>
      <c r="I589" s="360">
        <f>IF(year=bargiri[[#This Row],[سال]],1,0)</f>
        <v>1</v>
      </c>
      <c r="J589" s="360" t="str">
        <f>VLOOKUP(bargiri[[#This Row],[شماره پیش فاکتور]],invoice[],16,0)</f>
        <v>عادی</v>
      </c>
      <c r="K589" s="252">
        <f>bargiri[[#This Row],[فی]]*bargiri[[#This Row],[میزان بارگیری شده]]</f>
        <v>2193450000</v>
      </c>
      <c r="X589" s="1"/>
      <c r="Y589" s="1"/>
      <c r="Z589" s="1"/>
    </row>
    <row r="590" spans="1:26" ht="18.600000000000001">
      <c r="A590" s="360" t="s">
        <v>1025</v>
      </c>
      <c r="B590" s="360" t="s">
        <v>116</v>
      </c>
      <c r="C590" s="355" t="s">
        <v>565</v>
      </c>
      <c r="D590">
        <v>19970</v>
      </c>
      <c r="E590" s="143">
        <v>142000</v>
      </c>
      <c r="F590" s="117">
        <v>1405</v>
      </c>
      <c r="G590" s="360" t="s">
        <v>305</v>
      </c>
      <c r="H590" s="144">
        <f>bargiri[[#This Row],[میزان بارگیری شده]]*bargiri[[#This Row],[فی]]</f>
        <v>2835740000</v>
      </c>
      <c r="I590" s="360">
        <f>IF(year=bargiri[[#This Row],[سال]],1,0)</f>
        <v>1</v>
      </c>
      <c r="J590" s="360" t="str">
        <f>VLOOKUP(bargiri[[#This Row],[شماره پیش فاکتور]],invoice[],16,0)</f>
        <v>انجمن</v>
      </c>
      <c r="K590" s="252">
        <f>bargiri[[#This Row],[فی]]*bargiri[[#This Row],[میزان بارگیری شده]]</f>
        <v>2835740000</v>
      </c>
      <c r="X590" s="1"/>
      <c r="Y590" s="1"/>
      <c r="Z590" s="1"/>
    </row>
    <row r="591" spans="1:26" ht="18.600000000000001">
      <c r="A591" s="360" t="s">
        <v>1025</v>
      </c>
      <c r="B591" s="360" t="s">
        <v>125</v>
      </c>
      <c r="C591" s="355" t="s">
        <v>870</v>
      </c>
      <c r="D591">
        <v>10100</v>
      </c>
      <c r="E591" s="143">
        <v>135000</v>
      </c>
      <c r="F591" s="117">
        <v>1405</v>
      </c>
      <c r="G591" s="360" t="s">
        <v>305</v>
      </c>
      <c r="H591" s="144">
        <f>bargiri[[#This Row],[میزان بارگیری شده]]*bargiri[[#This Row],[فی]]</f>
        <v>1363500000</v>
      </c>
      <c r="I591" s="360">
        <f>IF(year=bargiri[[#This Row],[سال]],1,0)</f>
        <v>1</v>
      </c>
      <c r="J591" s="360" t="str">
        <f>VLOOKUP(bargiri[[#This Row],[شماره پیش فاکتور]],invoice[],16,0)</f>
        <v>عادی</v>
      </c>
      <c r="K591" s="252">
        <f>bargiri[[#This Row],[فی]]*bargiri[[#This Row],[میزان بارگیری شده]]</f>
        <v>1363500000</v>
      </c>
      <c r="X591" s="1"/>
      <c r="Y591" s="1"/>
      <c r="Z591" s="1"/>
    </row>
    <row r="592" spans="1:26" ht="18.600000000000001">
      <c r="A592" s="360" t="s">
        <v>1023</v>
      </c>
      <c r="B592" s="360" t="s">
        <v>118</v>
      </c>
      <c r="C592" s="355" t="s">
        <v>1012</v>
      </c>
      <c r="D592">
        <v>21000</v>
      </c>
      <c r="E592" s="143">
        <v>128971</v>
      </c>
      <c r="F592" s="117">
        <v>1405</v>
      </c>
      <c r="G592" s="360" t="s">
        <v>305</v>
      </c>
      <c r="H592" s="144">
        <f>bargiri[[#This Row],[میزان بارگیری شده]]*bargiri[[#This Row],[فی]]</f>
        <v>2708391000</v>
      </c>
      <c r="I592" s="360">
        <f>IF(year=bargiri[[#This Row],[سال]],1,0)</f>
        <v>1</v>
      </c>
      <c r="J592" s="360" t="str">
        <f>VLOOKUP(bargiri[[#This Row],[شماره پیش فاکتور]],invoice[],16,0)</f>
        <v>عادی</v>
      </c>
      <c r="K592" s="252">
        <f>bargiri[[#This Row],[فی]]*bargiri[[#This Row],[میزان بارگیری شده]]</f>
        <v>2708391000</v>
      </c>
      <c r="X592" s="1"/>
      <c r="Y592" s="1"/>
      <c r="Z592" s="1"/>
    </row>
    <row r="593" spans="1:26" ht="18.600000000000001">
      <c r="A593" s="360" t="s">
        <v>1023</v>
      </c>
      <c r="B593" s="360" t="s">
        <v>118</v>
      </c>
      <c r="C593" s="355" t="s">
        <v>1012</v>
      </c>
      <c r="D593">
        <v>21090</v>
      </c>
      <c r="E593" s="143">
        <v>128971</v>
      </c>
      <c r="F593" s="117">
        <v>1405</v>
      </c>
      <c r="G593" s="360" t="s">
        <v>305</v>
      </c>
      <c r="H593" s="144">
        <f>bargiri[[#This Row],[میزان بارگیری شده]]*bargiri[[#This Row],[فی]]</f>
        <v>2719998390</v>
      </c>
      <c r="I593" s="360">
        <f>IF(year=bargiri[[#This Row],[سال]],1,0)</f>
        <v>1</v>
      </c>
      <c r="J593" s="360" t="str">
        <f>VLOOKUP(bargiri[[#This Row],[شماره پیش فاکتور]],invoice[],16,0)</f>
        <v>عادی</v>
      </c>
      <c r="K593" s="252">
        <f>bargiri[[#This Row],[فی]]*bargiri[[#This Row],[میزان بارگیری شده]]</f>
        <v>2719998390</v>
      </c>
      <c r="X593" s="1"/>
      <c r="Y593" s="1"/>
      <c r="Z593" s="1"/>
    </row>
    <row r="594" spans="1:26" ht="18.600000000000001">
      <c r="A594" s="360" t="s">
        <v>1014</v>
      </c>
      <c r="B594" s="360" t="s">
        <v>118</v>
      </c>
      <c r="C594" s="355" t="s">
        <v>1012</v>
      </c>
      <c r="D594">
        <v>21170</v>
      </c>
      <c r="E594" s="143">
        <v>128971</v>
      </c>
      <c r="F594" s="117">
        <v>1405</v>
      </c>
      <c r="G594" s="360" t="s">
        <v>305</v>
      </c>
      <c r="H594" s="144">
        <f>bargiri[[#This Row],[میزان بارگیری شده]]*bargiri[[#This Row],[فی]]</f>
        <v>2730316070</v>
      </c>
      <c r="I594" s="360">
        <f>IF(year=bargiri[[#This Row],[سال]],1,0)</f>
        <v>1</v>
      </c>
      <c r="J594" s="360" t="str">
        <f>VLOOKUP(bargiri[[#This Row],[شماره پیش فاکتور]],invoice[],16,0)</f>
        <v>عادی</v>
      </c>
      <c r="K594" s="252">
        <f>bargiri[[#This Row],[فی]]*bargiri[[#This Row],[میزان بارگیری شده]]</f>
        <v>2730316070</v>
      </c>
      <c r="X594" s="1"/>
      <c r="Y594" s="1"/>
      <c r="Z594" s="1"/>
    </row>
    <row r="595" spans="1:26" ht="18.600000000000001">
      <c r="A595" s="360" t="s">
        <v>1014</v>
      </c>
      <c r="B595" s="360" t="s">
        <v>118</v>
      </c>
      <c r="C595" s="355" t="s">
        <v>1012</v>
      </c>
      <c r="D595">
        <v>20300</v>
      </c>
      <c r="E595" s="143">
        <v>128971</v>
      </c>
      <c r="F595" s="117">
        <v>1405</v>
      </c>
      <c r="G595" s="360" t="s">
        <v>305</v>
      </c>
      <c r="H595" s="144">
        <f>bargiri[[#This Row],[میزان بارگیری شده]]*bargiri[[#This Row],[فی]]</f>
        <v>2618111300</v>
      </c>
      <c r="I595" s="360">
        <f>IF(year=bargiri[[#This Row],[سال]],1,0)</f>
        <v>1</v>
      </c>
      <c r="J595" s="360" t="str">
        <f>VLOOKUP(bargiri[[#This Row],[شماره پیش فاکتور]],invoice[],16,0)</f>
        <v>عادی</v>
      </c>
      <c r="K595" s="252">
        <f>bargiri[[#This Row],[فی]]*bargiri[[#This Row],[میزان بارگیری شده]]</f>
        <v>2618111300</v>
      </c>
      <c r="X595" s="1"/>
      <c r="Y595" s="1"/>
      <c r="Z595" s="1"/>
    </row>
    <row r="596" spans="1:26" ht="18.600000000000001">
      <c r="A596" s="360" t="s">
        <v>1014</v>
      </c>
      <c r="B596" s="360" t="s">
        <v>118</v>
      </c>
      <c r="C596" s="355" t="s">
        <v>1012</v>
      </c>
      <c r="D596">
        <v>21010</v>
      </c>
      <c r="E596" s="143">
        <v>128971</v>
      </c>
      <c r="F596" s="117">
        <v>1405</v>
      </c>
      <c r="G596" s="360" t="s">
        <v>305</v>
      </c>
      <c r="H596" s="144">
        <f>bargiri[[#This Row],[میزان بارگیری شده]]*bargiri[[#This Row],[فی]]</f>
        <v>2709680710</v>
      </c>
      <c r="I596" s="360">
        <f>IF(year=bargiri[[#This Row],[سال]],1,0)</f>
        <v>1</v>
      </c>
      <c r="J596" s="360" t="str">
        <f>VLOOKUP(bargiri[[#This Row],[شماره پیش فاکتور]],invoice[],16,0)</f>
        <v>عادی</v>
      </c>
      <c r="K596" s="252">
        <f>bargiri[[#This Row],[فی]]*bargiri[[#This Row],[میزان بارگیری شده]]</f>
        <v>2709680710</v>
      </c>
      <c r="X596" s="1"/>
      <c r="Y596" s="1"/>
      <c r="Z596" s="1"/>
    </row>
    <row r="597" spans="1:26" ht="18.600000000000001">
      <c r="A597" s="360" t="s">
        <v>1014</v>
      </c>
      <c r="B597" s="360" t="s">
        <v>118</v>
      </c>
      <c r="C597" s="355" t="s">
        <v>1012</v>
      </c>
      <c r="D597">
        <v>21100</v>
      </c>
      <c r="E597" s="143">
        <v>128971</v>
      </c>
      <c r="F597" s="117">
        <v>1405</v>
      </c>
      <c r="G597" s="360" t="s">
        <v>305</v>
      </c>
      <c r="H597" s="144">
        <f>bargiri[[#This Row],[میزان بارگیری شده]]*bargiri[[#This Row],[فی]]</f>
        <v>2721288100</v>
      </c>
      <c r="I597" s="360">
        <f>IF(year=bargiri[[#This Row],[سال]],1,0)</f>
        <v>1</v>
      </c>
      <c r="J597" s="360" t="str">
        <f>VLOOKUP(bargiri[[#This Row],[شماره پیش فاکتور]],invoice[],16,0)</f>
        <v>عادی</v>
      </c>
      <c r="K597" s="252">
        <f>bargiri[[#This Row],[فی]]*bargiri[[#This Row],[میزان بارگیری شده]]</f>
        <v>2721288100</v>
      </c>
      <c r="X597" s="1"/>
      <c r="Y597" s="1"/>
      <c r="Z597" s="1"/>
    </row>
    <row r="598" spans="1:26" ht="18.600000000000001">
      <c r="A598" s="360" t="s">
        <v>1014</v>
      </c>
      <c r="B598" s="360" t="s">
        <v>118</v>
      </c>
      <c r="C598" s="355" t="s">
        <v>1012</v>
      </c>
      <c r="D598">
        <v>20990</v>
      </c>
      <c r="E598" s="143">
        <v>128971</v>
      </c>
      <c r="F598" s="117">
        <v>1405</v>
      </c>
      <c r="G598" s="360" t="s">
        <v>305</v>
      </c>
      <c r="H598" s="144">
        <f>bargiri[[#This Row],[میزان بارگیری شده]]*bargiri[[#This Row],[فی]]</f>
        <v>2707101290</v>
      </c>
      <c r="I598" s="360">
        <f>IF(year=bargiri[[#This Row],[سال]],1,0)</f>
        <v>1</v>
      </c>
      <c r="J598" s="360" t="str">
        <f>VLOOKUP(bargiri[[#This Row],[شماره پیش فاکتور]],invoice[],16,0)</f>
        <v>عادی</v>
      </c>
      <c r="K598" s="252">
        <f>bargiri[[#This Row],[فی]]*bargiri[[#This Row],[میزان بارگیری شده]]</f>
        <v>2707101290</v>
      </c>
      <c r="X598" s="1"/>
      <c r="Y598" s="1"/>
      <c r="Z598" s="1"/>
    </row>
    <row r="599" spans="1:26" ht="18.600000000000001">
      <c r="A599" s="360" t="s">
        <v>997</v>
      </c>
      <c r="B599" s="360" t="s">
        <v>118</v>
      </c>
      <c r="C599" s="355" t="s">
        <v>1012</v>
      </c>
      <c r="D599">
        <v>20580</v>
      </c>
      <c r="E599" s="143">
        <v>128971</v>
      </c>
      <c r="F599" s="117">
        <v>1404</v>
      </c>
      <c r="G599" s="360" t="s">
        <v>296</v>
      </c>
      <c r="H599" s="144">
        <f>bargiri[[#This Row],[میزان بارگیری شده]]*bargiri[[#This Row],[فی]]</f>
        <v>2654223180</v>
      </c>
      <c r="I599" s="360">
        <f>IF(year=bargiri[[#This Row],[سال]],1,0)</f>
        <v>0</v>
      </c>
      <c r="J599" s="360" t="str">
        <f>VLOOKUP(bargiri[[#This Row],[شماره پیش فاکتور]],invoice[],16,0)</f>
        <v>عادی</v>
      </c>
      <c r="K599" s="252">
        <f>bargiri[[#This Row],[فی]]*bargiri[[#This Row],[میزان بارگیری شده]]</f>
        <v>2654223180</v>
      </c>
      <c r="X599" s="1"/>
      <c r="Y599" s="1"/>
      <c r="Z599" s="1"/>
    </row>
    <row r="600" spans="1:26" ht="18.600000000000001">
      <c r="A600" s="360" t="s">
        <v>1016</v>
      </c>
      <c r="B600" s="360" t="s">
        <v>118</v>
      </c>
      <c r="C600" s="355" t="s">
        <v>1012</v>
      </c>
      <c r="D600">
        <v>21010</v>
      </c>
      <c r="E600" s="143">
        <v>128971</v>
      </c>
      <c r="F600" s="117">
        <v>1405</v>
      </c>
      <c r="G600" s="360" t="s">
        <v>295</v>
      </c>
      <c r="H600" s="144">
        <f>bargiri[[#This Row],[میزان بارگیری شده]]*bargiri[[#This Row],[فی]]</f>
        <v>2709680710</v>
      </c>
      <c r="I600" s="360">
        <f>IF(year=bargiri[[#This Row],[سال]],1,0)</f>
        <v>1</v>
      </c>
      <c r="J600" s="360" t="str">
        <f>VLOOKUP(bargiri[[#This Row],[شماره پیش فاکتور]],invoice[],16,0)</f>
        <v>عادی</v>
      </c>
      <c r="K600" s="252">
        <f>bargiri[[#This Row],[فی]]*bargiri[[#This Row],[میزان بارگیری شده]]</f>
        <v>2709680710</v>
      </c>
      <c r="X600" s="1"/>
      <c r="Y600" s="1"/>
      <c r="Z600" s="1"/>
    </row>
    <row r="601" spans="1:26" ht="18.600000000000001">
      <c r="A601" s="360" t="s">
        <v>997</v>
      </c>
      <c r="B601" s="360" t="s">
        <v>118</v>
      </c>
      <c r="C601" s="355" t="s">
        <v>1012</v>
      </c>
      <c r="D601">
        <v>20940</v>
      </c>
      <c r="E601" s="143">
        <v>128971</v>
      </c>
      <c r="F601" s="117">
        <v>1404</v>
      </c>
      <c r="G601" s="360" t="s">
        <v>296</v>
      </c>
      <c r="H601" s="144">
        <f>bargiri[[#This Row],[میزان بارگیری شده]]*bargiri[[#This Row],[فی]]</f>
        <v>2700652740</v>
      </c>
      <c r="I601" s="360">
        <f>IF(year=bargiri[[#This Row],[سال]],1,0)</f>
        <v>0</v>
      </c>
      <c r="J601" s="360" t="str">
        <f>VLOOKUP(bargiri[[#This Row],[شماره پیش فاکتور]],invoice[],16,0)</f>
        <v>عادی</v>
      </c>
      <c r="K601" s="252">
        <f>bargiri[[#This Row],[فی]]*bargiri[[#This Row],[میزان بارگیری شده]]</f>
        <v>2700652740</v>
      </c>
      <c r="X601" s="1"/>
      <c r="Y601" s="1"/>
      <c r="Z601" s="1"/>
    </row>
    <row r="602" spans="1:26" ht="18.600000000000001">
      <c r="A602" s="360" t="s">
        <v>1016</v>
      </c>
      <c r="B602" s="360" t="s">
        <v>118</v>
      </c>
      <c r="C602" s="355" t="s">
        <v>1012</v>
      </c>
      <c r="D602">
        <v>20990</v>
      </c>
      <c r="E602" s="143">
        <v>128971</v>
      </c>
      <c r="F602" s="117">
        <v>1405</v>
      </c>
      <c r="G602" s="360" t="s">
        <v>295</v>
      </c>
      <c r="H602" s="144">
        <f>bargiri[[#This Row],[میزان بارگیری شده]]*bargiri[[#This Row],[فی]]</f>
        <v>2707101290</v>
      </c>
      <c r="I602" s="360">
        <f>IF(year=bargiri[[#This Row],[سال]],1,0)</f>
        <v>1</v>
      </c>
      <c r="J602" s="360" t="str">
        <f>VLOOKUP(bargiri[[#This Row],[شماره پیش فاکتور]],invoice[],16,0)</f>
        <v>عادی</v>
      </c>
      <c r="K602" s="252">
        <f>bargiri[[#This Row],[فی]]*bargiri[[#This Row],[میزان بارگیری شده]]</f>
        <v>2707101290</v>
      </c>
      <c r="X602" s="1"/>
      <c r="Y602" s="1"/>
      <c r="Z602" s="1"/>
    </row>
    <row r="603" spans="1:26" ht="18.600000000000001">
      <c r="A603" s="360" t="s">
        <v>995</v>
      </c>
      <c r="B603" s="360" t="s">
        <v>118</v>
      </c>
      <c r="C603" s="355" t="s">
        <v>1012</v>
      </c>
      <c r="D603">
        <v>20070</v>
      </c>
      <c r="E603" s="143">
        <v>128971</v>
      </c>
      <c r="F603" s="117">
        <v>1404</v>
      </c>
      <c r="G603" s="360" t="s">
        <v>296</v>
      </c>
      <c r="H603" s="144">
        <f>bargiri[[#This Row],[میزان بارگیری شده]]*bargiri[[#This Row],[فی]]</f>
        <v>2588447970</v>
      </c>
      <c r="I603" s="360">
        <f>IF(year=bargiri[[#This Row],[سال]],1,0)</f>
        <v>0</v>
      </c>
      <c r="J603" s="360" t="str">
        <f>VLOOKUP(bargiri[[#This Row],[شماره پیش فاکتور]],invoice[],16,0)</f>
        <v>عادی</v>
      </c>
      <c r="K603" s="252">
        <f>bargiri[[#This Row],[فی]]*bargiri[[#This Row],[میزان بارگیری شده]]</f>
        <v>2588447970</v>
      </c>
      <c r="X603" s="1"/>
      <c r="Y603" s="1"/>
      <c r="Z603" s="1"/>
    </row>
    <row r="604" spans="1:26" ht="18.600000000000001">
      <c r="A604" s="360" t="s">
        <v>995</v>
      </c>
      <c r="B604" s="360" t="s">
        <v>118</v>
      </c>
      <c r="C604" s="355" t="s">
        <v>1012</v>
      </c>
      <c r="D604">
        <v>19830</v>
      </c>
      <c r="E604" s="143">
        <v>128971</v>
      </c>
      <c r="F604" s="117">
        <v>1404</v>
      </c>
      <c r="G604" s="360" t="s">
        <v>296</v>
      </c>
      <c r="H604" s="144">
        <f>bargiri[[#This Row],[میزان بارگیری شده]]*bargiri[[#This Row],[فی]]</f>
        <v>2557494930</v>
      </c>
      <c r="I604" s="360">
        <f>IF(year=bargiri[[#This Row],[سال]],1,0)</f>
        <v>0</v>
      </c>
      <c r="J604" s="360" t="str">
        <f>VLOOKUP(bargiri[[#This Row],[شماره پیش فاکتور]],invoice[],16,0)</f>
        <v>عادی</v>
      </c>
      <c r="K604" s="252">
        <f>bargiri[[#This Row],[فی]]*bargiri[[#This Row],[میزان بارگیری شده]]</f>
        <v>2557494930</v>
      </c>
      <c r="X604" s="1"/>
      <c r="Y604" s="1"/>
      <c r="Z604" s="1"/>
    </row>
    <row r="605" spans="1:26" ht="18.600000000000001">
      <c r="A605" s="360" t="s">
        <v>995</v>
      </c>
      <c r="B605" s="360" t="s">
        <v>118</v>
      </c>
      <c r="C605" s="355" t="s">
        <v>1012</v>
      </c>
      <c r="D605">
        <v>20140</v>
      </c>
      <c r="E605" s="143">
        <v>128971</v>
      </c>
      <c r="F605" s="117">
        <v>1404</v>
      </c>
      <c r="G605" s="360" t="s">
        <v>296</v>
      </c>
      <c r="H605" s="144">
        <f>bargiri[[#This Row],[میزان بارگیری شده]]*bargiri[[#This Row],[فی]]</f>
        <v>2597475940</v>
      </c>
      <c r="I605" s="360">
        <f>IF(year=bargiri[[#This Row],[سال]],1,0)</f>
        <v>0</v>
      </c>
      <c r="J605" s="360" t="str">
        <f>VLOOKUP(bargiri[[#This Row],[شماره پیش فاکتور]],invoice[],16,0)</f>
        <v>عادی</v>
      </c>
      <c r="K605" s="252">
        <f>bargiri[[#This Row],[فی]]*bargiri[[#This Row],[میزان بارگیری شده]]</f>
        <v>2597475940</v>
      </c>
      <c r="X605" s="1"/>
      <c r="Y605" s="1"/>
      <c r="Z605" s="1"/>
    </row>
    <row r="606" spans="1:26" ht="18.600000000000001">
      <c r="A606" s="360" t="s">
        <v>995</v>
      </c>
      <c r="B606" s="360" t="s">
        <v>118</v>
      </c>
      <c r="C606" s="355" t="s">
        <v>1012</v>
      </c>
      <c r="D606">
        <v>20040</v>
      </c>
      <c r="E606" s="143">
        <v>128971</v>
      </c>
      <c r="F606" s="117">
        <v>1404</v>
      </c>
      <c r="G606" s="360" t="s">
        <v>296</v>
      </c>
      <c r="H606" s="144">
        <f>bargiri[[#This Row],[میزان بارگیری شده]]*bargiri[[#This Row],[فی]]</f>
        <v>2584578840</v>
      </c>
      <c r="I606" s="360">
        <f>IF(year=bargiri[[#This Row],[سال]],1,0)</f>
        <v>0</v>
      </c>
      <c r="J606" s="360" t="str">
        <f>VLOOKUP(bargiri[[#This Row],[شماره پیش فاکتور]],invoice[],16,0)</f>
        <v>عادی</v>
      </c>
      <c r="K606" s="252">
        <f>bargiri[[#This Row],[فی]]*bargiri[[#This Row],[میزان بارگیری شده]]</f>
        <v>2584578840</v>
      </c>
      <c r="X606" s="1"/>
      <c r="Y606" s="1"/>
      <c r="Z606" s="1"/>
    </row>
    <row r="607" spans="1:26" ht="18.600000000000001">
      <c r="A607" s="360" t="s">
        <v>990</v>
      </c>
      <c r="B607" s="360" t="s">
        <v>118</v>
      </c>
      <c r="C607" s="355" t="s">
        <v>1012</v>
      </c>
      <c r="D607">
        <v>21010</v>
      </c>
      <c r="E607" s="143">
        <v>128971</v>
      </c>
      <c r="F607" s="117">
        <v>1404</v>
      </c>
      <c r="G607" s="360" t="s">
        <v>296</v>
      </c>
      <c r="H607" s="144">
        <f>bargiri[[#This Row],[میزان بارگیری شده]]*bargiri[[#This Row],[فی]]</f>
        <v>2709680710</v>
      </c>
      <c r="I607" s="360">
        <f>IF(year=bargiri[[#This Row],[سال]],1,0)</f>
        <v>0</v>
      </c>
      <c r="J607" s="360" t="str">
        <f>VLOOKUP(bargiri[[#This Row],[شماره پیش فاکتور]],invoice[],16,0)</f>
        <v>عادی</v>
      </c>
      <c r="K607" s="252">
        <f>bargiri[[#This Row],[فی]]*bargiri[[#This Row],[میزان بارگیری شده]]</f>
        <v>2709680710</v>
      </c>
      <c r="X607" s="1"/>
      <c r="Y607" s="1"/>
      <c r="Z607" s="1"/>
    </row>
    <row r="608" spans="1:26" ht="18.600000000000001">
      <c r="A608" s="360" t="s">
        <v>990</v>
      </c>
      <c r="B608" s="360" t="s">
        <v>118</v>
      </c>
      <c r="C608" s="355" t="s">
        <v>1012</v>
      </c>
      <c r="D608">
        <v>20710</v>
      </c>
      <c r="E608" s="143">
        <v>128971</v>
      </c>
      <c r="F608" s="117">
        <v>1404</v>
      </c>
      <c r="G608" s="360" t="s">
        <v>296</v>
      </c>
      <c r="H608" s="144">
        <f>bargiri[[#This Row],[میزان بارگیری شده]]*bargiri[[#This Row],[فی]]</f>
        <v>2670989410</v>
      </c>
      <c r="I608" s="360">
        <f>IF(year=bargiri[[#This Row],[سال]],1,0)</f>
        <v>0</v>
      </c>
      <c r="J608" s="360" t="str">
        <f>VLOOKUP(bargiri[[#This Row],[شماره پیش فاکتور]],invoice[],16,0)</f>
        <v>عادی</v>
      </c>
      <c r="K608" s="252">
        <f>bargiri[[#This Row],[فی]]*bargiri[[#This Row],[میزان بارگیری شده]]</f>
        <v>2670989410</v>
      </c>
      <c r="X608" s="1"/>
      <c r="Y608" s="1"/>
      <c r="Z608" s="1"/>
    </row>
    <row r="609" spans="1:26" ht="18.600000000000001">
      <c r="A609" s="360" t="s">
        <v>990</v>
      </c>
      <c r="B609" s="360" t="s">
        <v>118</v>
      </c>
      <c r="C609" s="355" t="s">
        <v>1012</v>
      </c>
      <c r="D609">
        <v>21010</v>
      </c>
      <c r="E609" s="143">
        <v>128971</v>
      </c>
      <c r="F609" s="117">
        <v>1404</v>
      </c>
      <c r="G609" s="360" t="s">
        <v>296</v>
      </c>
      <c r="H609" s="144">
        <f>bargiri[[#This Row],[میزان بارگیری شده]]*bargiri[[#This Row],[فی]]</f>
        <v>2709680710</v>
      </c>
      <c r="I609" s="360">
        <f>IF(year=bargiri[[#This Row],[سال]],1,0)</f>
        <v>0</v>
      </c>
      <c r="J609" s="360" t="str">
        <f>VLOOKUP(bargiri[[#This Row],[شماره پیش فاکتور]],invoice[],16,0)</f>
        <v>عادی</v>
      </c>
      <c r="K609" s="252">
        <f>bargiri[[#This Row],[فی]]*bargiri[[#This Row],[میزان بارگیری شده]]</f>
        <v>2709680710</v>
      </c>
      <c r="X609" s="1"/>
      <c r="Y609" s="1"/>
      <c r="Z609" s="1"/>
    </row>
    <row r="610" spans="1:26" ht="18.600000000000001">
      <c r="A610" s="360" t="s">
        <v>990</v>
      </c>
      <c r="B610" s="360" t="s">
        <v>118</v>
      </c>
      <c r="C610" s="355" t="s">
        <v>1012</v>
      </c>
      <c r="D610">
        <v>20590</v>
      </c>
      <c r="E610" s="143">
        <v>128971</v>
      </c>
      <c r="F610" s="117">
        <v>1404</v>
      </c>
      <c r="G610" s="360" t="s">
        <v>296</v>
      </c>
      <c r="H610" s="144">
        <f>bargiri[[#This Row],[میزان بارگیری شده]]*bargiri[[#This Row],[فی]]</f>
        <v>2655512890</v>
      </c>
      <c r="I610" s="360">
        <f>IF(year=bargiri[[#This Row],[سال]],1,0)</f>
        <v>0</v>
      </c>
      <c r="J610" s="360" t="str">
        <f>VLOOKUP(bargiri[[#This Row],[شماره پیش فاکتور]],invoice[],16,0)</f>
        <v>عادی</v>
      </c>
      <c r="K610" s="252">
        <f>bargiri[[#This Row],[فی]]*bargiri[[#This Row],[میزان بارگیری شده]]</f>
        <v>2655512890</v>
      </c>
      <c r="X610" s="1"/>
      <c r="Y610" s="1"/>
      <c r="Z610" s="1"/>
    </row>
    <row r="611" spans="1:26" ht="18.600000000000001">
      <c r="A611" s="360" t="s">
        <v>988</v>
      </c>
      <c r="B611" s="360" t="s">
        <v>118</v>
      </c>
      <c r="C611" s="355" t="s">
        <v>1012</v>
      </c>
      <c r="D611">
        <v>20130</v>
      </c>
      <c r="E611" s="143">
        <v>128971</v>
      </c>
      <c r="F611" s="117">
        <v>1404</v>
      </c>
      <c r="G611" s="360" t="s">
        <v>296</v>
      </c>
      <c r="H611" s="144">
        <f>bargiri[[#This Row],[میزان بارگیری شده]]*bargiri[[#This Row],[فی]]</f>
        <v>2596186230</v>
      </c>
      <c r="I611" s="360">
        <f>IF(year=bargiri[[#This Row],[سال]],1,0)</f>
        <v>0</v>
      </c>
      <c r="J611" s="360" t="str">
        <f>VLOOKUP(bargiri[[#This Row],[شماره پیش فاکتور]],invoice[],16,0)</f>
        <v>عادی</v>
      </c>
      <c r="K611" s="252">
        <f>bargiri[[#This Row],[فی]]*bargiri[[#This Row],[میزان بارگیری شده]]</f>
        <v>2596186230</v>
      </c>
      <c r="X611" s="1"/>
      <c r="Y611" s="1"/>
      <c r="Z611" s="1"/>
    </row>
    <row r="612" spans="1:26" ht="18.600000000000001">
      <c r="A612" s="360" t="s">
        <v>988</v>
      </c>
      <c r="B612" s="360" t="s">
        <v>118</v>
      </c>
      <c r="C612" s="355" t="s">
        <v>1012</v>
      </c>
      <c r="D612">
        <v>19970</v>
      </c>
      <c r="E612" s="143">
        <v>128971</v>
      </c>
      <c r="F612" s="117">
        <v>1404</v>
      </c>
      <c r="G612" s="360" t="s">
        <v>296</v>
      </c>
      <c r="H612" s="144">
        <f>bargiri[[#This Row],[میزان بارگیری شده]]*bargiri[[#This Row],[فی]]</f>
        <v>2575550870</v>
      </c>
      <c r="I612" s="360">
        <f>IF(year=bargiri[[#This Row],[سال]],1,0)</f>
        <v>0</v>
      </c>
      <c r="J612" s="360" t="str">
        <f>VLOOKUP(bargiri[[#This Row],[شماره پیش فاکتور]],invoice[],16,0)</f>
        <v>عادی</v>
      </c>
      <c r="K612" s="252">
        <f>bargiri[[#This Row],[فی]]*bargiri[[#This Row],[میزان بارگیری شده]]</f>
        <v>2575550870</v>
      </c>
      <c r="X612" s="1"/>
      <c r="Y612" s="1"/>
      <c r="Z612" s="1"/>
    </row>
    <row r="613" spans="1:26" ht="18.600000000000001">
      <c r="A613" s="360" t="s">
        <v>981</v>
      </c>
      <c r="B613" s="360" t="s">
        <v>118</v>
      </c>
      <c r="C613" s="355" t="s">
        <v>1012</v>
      </c>
      <c r="D613">
        <v>20150</v>
      </c>
      <c r="E613" s="143">
        <v>128971</v>
      </c>
      <c r="F613" s="117">
        <v>1404</v>
      </c>
      <c r="G613" s="360" t="s">
        <v>297</v>
      </c>
      <c r="H613" s="144">
        <f>bargiri[[#This Row],[میزان بارگیری شده]]*bargiri[[#This Row],[فی]]</f>
        <v>2598765650</v>
      </c>
      <c r="I613" s="360">
        <f>IF(year=bargiri[[#This Row],[سال]],1,0)</f>
        <v>0</v>
      </c>
      <c r="J613" s="360" t="str">
        <f>VLOOKUP(bargiri[[#This Row],[شماره پیش فاکتور]],invoice[],16,0)</f>
        <v>عادی</v>
      </c>
      <c r="K613" s="252">
        <f>bargiri[[#This Row],[فی]]*bargiri[[#This Row],[میزان بارگیری شده]]</f>
        <v>2598765650</v>
      </c>
      <c r="X613" s="1"/>
      <c r="Y613" s="1"/>
      <c r="Z613" s="1"/>
    </row>
    <row r="614" spans="1:26" ht="18.600000000000001">
      <c r="A614" s="360" t="s">
        <v>981</v>
      </c>
      <c r="B614" s="360" t="s">
        <v>118</v>
      </c>
      <c r="C614" s="355" t="s">
        <v>1012</v>
      </c>
      <c r="D614">
        <v>19990</v>
      </c>
      <c r="E614" s="143">
        <v>128971</v>
      </c>
      <c r="F614" s="117">
        <v>1404</v>
      </c>
      <c r="G614" s="360" t="s">
        <v>297</v>
      </c>
      <c r="H614" s="144">
        <f>bargiri[[#This Row],[میزان بارگیری شده]]*bargiri[[#This Row],[فی]]</f>
        <v>2578130290</v>
      </c>
      <c r="I614" s="360">
        <f>IF(year=bargiri[[#This Row],[سال]],1,0)</f>
        <v>0</v>
      </c>
      <c r="J614" s="360" t="str">
        <f>VLOOKUP(bargiri[[#This Row],[شماره پیش فاکتور]],invoice[],16,0)</f>
        <v>عادی</v>
      </c>
      <c r="K614" s="252">
        <f>bargiri[[#This Row],[فی]]*bargiri[[#This Row],[میزان بارگیری شده]]</f>
        <v>2578130290</v>
      </c>
      <c r="X614" s="1"/>
      <c r="Y614" s="1"/>
      <c r="Z614" s="1"/>
    </row>
    <row r="615" spans="1:26" ht="18.600000000000001">
      <c r="A615" s="360" t="s">
        <v>981</v>
      </c>
      <c r="B615" s="360" t="s">
        <v>118</v>
      </c>
      <c r="C615" s="355" t="s">
        <v>1012</v>
      </c>
      <c r="D615">
        <v>20130</v>
      </c>
      <c r="E615" s="143">
        <v>128971</v>
      </c>
      <c r="F615" s="117">
        <v>1404</v>
      </c>
      <c r="G615" s="360" t="s">
        <v>297</v>
      </c>
      <c r="H615" s="144">
        <f>bargiri[[#This Row],[میزان بارگیری شده]]*bargiri[[#This Row],[فی]]</f>
        <v>2596186230</v>
      </c>
      <c r="I615" s="360">
        <f>IF(year=bargiri[[#This Row],[سال]],1,0)</f>
        <v>0</v>
      </c>
      <c r="J615" s="360" t="str">
        <f>VLOOKUP(bargiri[[#This Row],[شماره پیش فاکتور]],invoice[],16,0)</f>
        <v>عادی</v>
      </c>
      <c r="K615" s="252">
        <f>bargiri[[#This Row],[فی]]*bargiri[[#This Row],[میزان بارگیری شده]]</f>
        <v>2596186230</v>
      </c>
      <c r="X615" s="1"/>
      <c r="Y615" s="1"/>
      <c r="Z615" s="1"/>
    </row>
    <row r="616" spans="1:26" ht="18.600000000000001">
      <c r="A616" s="360" t="s">
        <v>981</v>
      </c>
      <c r="B616" s="360" t="s">
        <v>118</v>
      </c>
      <c r="C616" s="355" t="s">
        <v>991</v>
      </c>
      <c r="D616">
        <v>16700</v>
      </c>
      <c r="E616" s="143">
        <v>130266</v>
      </c>
      <c r="F616" s="117">
        <v>1404</v>
      </c>
      <c r="G616" s="360" t="s">
        <v>297</v>
      </c>
      <c r="H616" s="144">
        <f>bargiri[[#This Row],[میزان بارگیری شده]]*bargiri[[#This Row],[فی]]</f>
        <v>2175442200</v>
      </c>
      <c r="I616" s="360">
        <f>IF(year=bargiri[[#This Row],[سال]],1,0)</f>
        <v>0</v>
      </c>
      <c r="J616" s="360" t="str">
        <f>VLOOKUP(bargiri[[#This Row],[شماره پیش فاکتور]],invoice[],16,0)</f>
        <v>عادی</v>
      </c>
      <c r="K616" s="252">
        <f>bargiri[[#This Row],[فی]]*bargiri[[#This Row],[میزان بارگیری شده]]</f>
        <v>2175442200</v>
      </c>
      <c r="X616" s="1"/>
      <c r="Y616" s="1"/>
      <c r="Z616" s="1"/>
    </row>
    <row r="617" spans="1:26" ht="18.600000000000001">
      <c r="A617" s="360" t="s">
        <v>981</v>
      </c>
      <c r="B617" s="360" t="s">
        <v>118</v>
      </c>
      <c r="C617" s="355" t="s">
        <v>1012</v>
      </c>
      <c r="D617">
        <v>3200</v>
      </c>
      <c r="E617" s="143">
        <v>128971</v>
      </c>
      <c r="F617" s="117">
        <v>1404</v>
      </c>
      <c r="G617" s="360" t="s">
        <v>297</v>
      </c>
      <c r="H617" s="144">
        <f>bargiri[[#This Row],[میزان بارگیری شده]]*bargiri[[#This Row],[فی]]</f>
        <v>412707200</v>
      </c>
      <c r="I617" s="360">
        <f>IF(year=bargiri[[#This Row],[سال]],1,0)</f>
        <v>0</v>
      </c>
      <c r="J617" s="360" t="str">
        <f>VLOOKUP(bargiri[[#This Row],[شماره پیش فاکتور]],invoice[],16,0)</f>
        <v>عادی</v>
      </c>
      <c r="K617" s="252">
        <f>bargiri[[#This Row],[فی]]*bargiri[[#This Row],[میزان بارگیری شده]]</f>
        <v>412707200</v>
      </c>
      <c r="X617" s="1"/>
      <c r="Y617" s="1"/>
      <c r="Z617" s="1"/>
    </row>
    <row r="618" spans="1:26" ht="18.600000000000001">
      <c r="A618" s="360" t="s">
        <v>1023</v>
      </c>
      <c r="B618" s="360" t="s">
        <v>99</v>
      </c>
      <c r="C618" s="355" t="s">
        <v>821</v>
      </c>
      <c r="D618">
        <v>21960</v>
      </c>
      <c r="E618" s="143">
        <v>105000</v>
      </c>
      <c r="F618" s="117">
        <v>1405</v>
      </c>
      <c r="G618" s="360" t="s">
        <v>305</v>
      </c>
      <c r="H618" s="144">
        <f>bargiri[[#This Row],[میزان بارگیری شده]]*bargiri[[#This Row],[فی]]</f>
        <v>2305800000</v>
      </c>
      <c r="I618" s="360">
        <f>IF(year=bargiri[[#This Row],[سال]],1,0)</f>
        <v>1</v>
      </c>
      <c r="J618" s="360" t="str">
        <f>VLOOKUP(bargiri[[#This Row],[شماره پیش فاکتور]],invoice[],16,0)</f>
        <v>عادی</v>
      </c>
      <c r="K618" s="252">
        <f>bargiri[[#This Row],[فی]]*bargiri[[#This Row],[میزان بارگیری شده]]</f>
        <v>2305800000</v>
      </c>
      <c r="X618" s="1"/>
      <c r="Y618" s="1"/>
      <c r="Z618" s="1"/>
    </row>
    <row r="619" spans="1:26" ht="18.600000000000001">
      <c r="A619" s="360" t="s">
        <v>1023</v>
      </c>
      <c r="B619" s="360" t="s">
        <v>106</v>
      </c>
      <c r="C619" s="355" t="s">
        <v>913</v>
      </c>
      <c r="D619">
        <v>20180</v>
      </c>
      <c r="E619" s="143">
        <v>125000</v>
      </c>
      <c r="F619" s="117">
        <v>1405</v>
      </c>
      <c r="G619" s="360" t="s">
        <v>305</v>
      </c>
      <c r="H619" s="144">
        <f>bargiri[[#This Row],[میزان بارگیری شده]]*bargiri[[#This Row],[فی]]</f>
        <v>2522500000</v>
      </c>
      <c r="I619" s="360">
        <f>IF(year=bargiri[[#This Row],[سال]],1,0)</f>
        <v>1</v>
      </c>
      <c r="J619" s="360" t="str">
        <f>VLOOKUP(bargiri[[#This Row],[شماره پیش فاکتور]],invoice[],16,0)</f>
        <v>عادی</v>
      </c>
      <c r="K619" s="252">
        <f>bargiri[[#This Row],[فی]]*bargiri[[#This Row],[میزان بارگیری شده]]</f>
        <v>2522500000</v>
      </c>
      <c r="X619" s="1"/>
      <c r="Y619" s="1"/>
      <c r="Z619" s="1"/>
    </row>
    <row r="620" spans="1:26" ht="18.600000000000001">
      <c r="A620" s="360" t="s">
        <v>1023</v>
      </c>
      <c r="B620" s="360" t="s">
        <v>117</v>
      </c>
      <c r="C620" s="355" t="s">
        <v>983</v>
      </c>
      <c r="D620">
        <v>20060</v>
      </c>
      <c r="E620" s="143">
        <v>167500</v>
      </c>
      <c r="F620" s="117">
        <v>1405</v>
      </c>
      <c r="G620" s="360" t="s">
        <v>305</v>
      </c>
      <c r="H620" s="144">
        <f>bargiri[[#This Row],[میزان بارگیری شده]]*bargiri[[#This Row],[فی]]</f>
        <v>3360050000</v>
      </c>
      <c r="I620" s="360">
        <f>IF(year=bargiri[[#This Row],[سال]],1,0)</f>
        <v>1</v>
      </c>
      <c r="J620" s="360" t="str">
        <f>VLOOKUP(bargiri[[#This Row],[شماره پیش فاکتور]],invoice[],16,0)</f>
        <v>بورس</v>
      </c>
      <c r="K620" s="252">
        <f>bargiri[[#This Row],[فی]]*bargiri[[#This Row],[میزان بارگیری شده]]</f>
        <v>3360050000</v>
      </c>
      <c r="X620" s="1"/>
      <c r="Y620" s="1"/>
      <c r="Z620" s="1"/>
    </row>
    <row r="621" spans="1:26" ht="18.600000000000001">
      <c r="A621" s="360" t="s">
        <v>1023</v>
      </c>
      <c r="B621" s="360" t="s">
        <v>116</v>
      </c>
      <c r="C621" s="355" t="s">
        <v>565</v>
      </c>
      <c r="D621">
        <v>19990</v>
      </c>
      <c r="E621" s="143">
        <v>142000</v>
      </c>
      <c r="F621" s="117">
        <v>1405</v>
      </c>
      <c r="G621" s="360" t="s">
        <v>305</v>
      </c>
      <c r="H621" s="144">
        <f>bargiri[[#This Row],[میزان بارگیری شده]]*bargiri[[#This Row],[فی]]</f>
        <v>2838580000</v>
      </c>
      <c r="I621" s="360">
        <f>IF(year=bargiri[[#This Row],[سال]],1,0)</f>
        <v>1</v>
      </c>
      <c r="J621" s="360" t="str">
        <f>VLOOKUP(bargiri[[#This Row],[شماره پیش فاکتور]],invoice[],16,0)</f>
        <v>انجمن</v>
      </c>
      <c r="K621" s="252">
        <f>bargiri[[#This Row],[فی]]*bargiri[[#This Row],[میزان بارگیری شده]]</f>
        <v>2838580000</v>
      </c>
      <c r="X621" s="1"/>
      <c r="Y621" s="1"/>
      <c r="Z621" s="1"/>
    </row>
    <row r="622" spans="1:26" ht="18.600000000000001">
      <c r="A622" s="360" t="s">
        <v>1019</v>
      </c>
      <c r="B622" s="360" t="s">
        <v>106</v>
      </c>
      <c r="C622" s="355" t="s">
        <v>913</v>
      </c>
      <c r="D622">
        <v>18120</v>
      </c>
      <c r="E622" s="143">
        <v>125000</v>
      </c>
      <c r="F622" s="117">
        <v>1405</v>
      </c>
      <c r="G622" s="360" t="s">
        <v>305</v>
      </c>
      <c r="H622" s="144">
        <f>bargiri[[#This Row],[میزان بارگیری شده]]*bargiri[[#This Row],[فی]]</f>
        <v>2265000000</v>
      </c>
      <c r="I622" s="360">
        <f>IF(year=bargiri[[#This Row],[سال]],1,0)</f>
        <v>1</v>
      </c>
      <c r="J622" s="360" t="str">
        <f>VLOOKUP(bargiri[[#This Row],[شماره پیش فاکتور]],invoice[],16,0)</f>
        <v>عادی</v>
      </c>
      <c r="K622" s="252">
        <f>bargiri[[#This Row],[فی]]*bargiri[[#This Row],[میزان بارگیری شده]]</f>
        <v>2265000000</v>
      </c>
      <c r="X622" s="1"/>
      <c r="Y622" s="1"/>
      <c r="Z622" s="1"/>
    </row>
    <row r="623" spans="1:26" ht="18.600000000000001">
      <c r="A623" s="360" t="s">
        <v>1020</v>
      </c>
      <c r="B623" s="360" t="s">
        <v>106</v>
      </c>
      <c r="C623" s="355" t="s">
        <v>913</v>
      </c>
      <c r="D623">
        <v>5280</v>
      </c>
      <c r="E623" s="143">
        <v>125000</v>
      </c>
      <c r="F623" s="117">
        <v>1405</v>
      </c>
      <c r="G623" s="360" t="s">
        <v>305</v>
      </c>
      <c r="H623" s="144">
        <f>bargiri[[#This Row],[میزان بارگیری شده]]*bargiri[[#This Row],[فی]]</f>
        <v>660000000</v>
      </c>
      <c r="I623" s="360">
        <f>IF(year=bargiri[[#This Row],[سال]],1,0)</f>
        <v>1</v>
      </c>
      <c r="J623" s="360" t="str">
        <f>VLOOKUP(bargiri[[#This Row],[شماره پیش فاکتور]],invoice[],16,0)</f>
        <v>عادی</v>
      </c>
      <c r="K623" s="252">
        <f>bargiri[[#This Row],[فی]]*bargiri[[#This Row],[میزان بارگیری شده]]</f>
        <v>660000000</v>
      </c>
      <c r="X623" s="1"/>
      <c r="Y623" s="1"/>
      <c r="Z623" s="1"/>
    </row>
    <row r="624" spans="1:26" ht="18.600000000000001">
      <c r="A624" s="360" t="s">
        <v>1020</v>
      </c>
      <c r="B624" s="360" t="s">
        <v>106</v>
      </c>
      <c r="C624" s="355" t="s">
        <v>913</v>
      </c>
      <c r="D624">
        <v>20190</v>
      </c>
      <c r="E624" s="143">
        <v>125000</v>
      </c>
      <c r="F624" s="117">
        <v>1405</v>
      </c>
      <c r="G624" s="360" t="s">
        <v>305</v>
      </c>
      <c r="H624" s="144">
        <f>bargiri[[#This Row],[میزان بارگیری شده]]*bargiri[[#This Row],[فی]]</f>
        <v>2523750000</v>
      </c>
      <c r="I624" s="360">
        <f>IF(year=bargiri[[#This Row],[سال]],1,0)</f>
        <v>1</v>
      </c>
      <c r="J624" s="360" t="str">
        <f>VLOOKUP(bargiri[[#This Row],[شماره پیش فاکتور]],invoice[],16,0)</f>
        <v>عادی</v>
      </c>
      <c r="K624" s="252">
        <f>bargiri[[#This Row],[فی]]*bargiri[[#This Row],[میزان بارگیری شده]]</f>
        <v>2523750000</v>
      </c>
      <c r="X624" s="1"/>
      <c r="Y624" s="1"/>
      <c r="Z624" s="1"/>
    </row>
    <row r="625" spans="1:26" ht="18.600000000000001">
      <c r="A625" s="360" t="s">
        <v>1020</v>
      </c>
      <c r="B625" s="360" t="s">
        <v>116</v>
      </c>
      <c r="C625" s="355" t="s">
        <v>565</v>
      </c>
      <c r="D625">
        <v>15790</v>
      </c>
      <c r="E625" s="143">
        <v>142000</v>
      </c>
      <c r="F625" s="117">
        <v>1405</v>
      </c>
      <c r="G625" s="360" t="s">
        <v>305</v>
      </c>
      <c r="H625" s="144">
        <f>bargiri[[#This Row],[میزان بارگیری شده]]*bargiri[[#This Row],[فی]]</f>
        <v>2242180000</v>
      </c>
      <c r="I625" s="360">
        <f>IF(year=bargiri[[#This Row],[سال]],1,0)</f>
        <v>1</v>
      </c>
      <c r="J625" s="360" t="str">
        <f>VLOOKUP(bargiri[[#This Row],[شماره پیش فاکتور]],invoice[],16,0)</f>
        <v>انجمن</v>
      </c>
      <c r="K625" s="252">
        <f>bargiri[[#This Row],[فی]]*bargiri[[#This Row],[میزان بارگیری شده]]</f>
        <v>2242180000</v>
      </c>
      <c r="X625" s="1"/>
      <c r="Y625" s="1"/>
      <c r="Z625" s="1"/>
    </row>
    <row r="626" spans="1:26" ht="18.600000000000001">
      <c r="A626" s="360" t="s">
        <v>1014</v>
      </c>
      <c r="B626" s="360" t="s">
        <v>116</v>
      </c>
      <c r="C626" s="355" t="s">
        <v>565</v>
      </c>
      <c r="D626">
        <v>17310</v>
      </c>
      <c r="E626" s="143">
        <v>142000</v>
      </c>
      <c r="F626" s="117">
        <v>1405</v>
      </c>
      <c r="G626" s="360" t="s">
        <v>305</v>
      </c>
      <c r="H626" s="144">
        <f>bargiri[[#This Row],[میزان بارگیری شده]]*bargiri[[#This Row],[فی]]</f>
        <v>2458020000</v>
      </c>
      <c r="I626" s="360">
        <f>IF(year=bargiri[[#This Row],[سال]],1,0)</f>
        <v>1</v>
      </c>
      <c r="J626" s="360" t="str">
        <f>VLOOKUP(bargiri[[#This Row],[شماره پیش فاکتور]],invoice[],16,0)</f>
        <v>انجمن</v>
      </c>
      <c r="K626" s="252">
        <f>bargiri[[#This Row],[فی]]*bargiri[[#This Row],[میزان بارگیری شده]]</f>
        <v>2458020000</v>
      </c>
      <c r="X626" s="1"/>
      <c r="Y626" s="1"/>
      <c r="Z626" s="1"/>
    </row>
    <row r="627" spans="1:26" ht="18.600000000000001">
      <c r="A627" s="360" t="s">
        <v>1014</v>
      </c>
      <c r="B627" s="360" t="s">
        <v>102</v>
      </c>
      <c r="C627" s="355" t="s">
        <v>22</v>
      </c>
      <c r="D627">
        <v>11460</v>
      </c>
      <c r="E627" s="143">
        <v>89000</v>
      </c>
      <c r="F627" s="117">
        <v>1405</v>
      </c>
      <c r="G627" s="360" t="s">
        <v>305</v>
      </c>
      <c r="H627" s="144">
        <f>bargiri[[#This Row],[میزان بارگیری شده]]*bargiri[[#This Row],[فی]]</f>
        <v>1019940000</v>
      </c>
      <c r="I627" s="360">
        <f>IF(year=bargiri[[#This Row],[سال]],1,0)</f>
        <v>1</v>
      </c>
      <c r="J627" s="360" t="str">
        <f>VLOOKUP(bargiri[[#This Row],[شماره پیش فاکتور]],invoice[],16,0)</f>
        <v>عادی</v>
      </c>
      <c r="K627" s="252">
        <f>bargiri[[#This Row],[فی]]*bargiri[[#This Row],[میزان بارگیری شده]]</f>
        <v>1019940000</v>
      </c>
      <c r="X627" s="1"/>
      <c r="Y627" s="1"/>
      <c r="Z627" s="1"/>
    </row>
    <row r="628" spans="1:26" ht="18.600000000000001">
      <c r="A628" s="360" t="s">
        <v>1014</v>
      </c>
      <c r="B628" s="360" t="s">
        <v>116</v>
      </c>
      <c r="C628" s="355" t="s">
        <v>565</v>
      </c>
      <c r="D628">
        <v>17370</v>
      </c>
      <c r="E628" s="143">
        <v>142000</v>
      </c>
      <c r="F628" s="117">
        <v>1405</v>
      </c>
      <c r="G628" s="360" t="s">
        <v>305</v>
      </c>
      <c r="H628" s="144">
        <f>bargiri[[#This Row],[میزان بارگیری شده]]*bargiri[[#This Row],[فی]]</f>
        <v>2466540000</v>
      </c>
      <c r="I628" s="360">
        <f>IF(year=bargiri[[#This Row],[سال]],1,0)</f>
        <v>1</v>
      </c>
      <c r="J628" s="360" t="str">
        <f>VLOOKUP(bargiri[[#This Row],[شماره پیش فاکتور]],invoice[],16,0)</f>
        <v>انجمن</v>
      </c>
      <c r="K628" s="252">
        <f>bargiri[[#This Row],[فی]]*bargiri[[#This Row],[میزان بارگیری شده]]</f>
        <v>2466540000</v>
      </c>
      <c r="X628" s="1"/>
      <c r="Y628" s="1"/>
      <c r="Z628" s="1"/>
    </row>
    <row r="629" spans="1:26" ht="18.600000000000001">
      <c r="A629" s="360" t="s">
        <v>1015</v>
      </c>
      <c r="B629" s="360" t="s">
        <v>106</v>
      </c>
      <c r="C629" s="355" t="s">
        <v>913</v>
      </c>
      <c r="D629">
        <v>14880</v>
      </c>
      <c r="E629" s="143">
        <v>125000</v>
      </c>
      <c r="F629" s="117">
        <v>1405</v>
      </c>
      <c r="G629" s="360" t="s">
        <v>305</v>
      </c>
      <c r="H629" s="144">
        <f>bargiri[[#This Row],[میزان بارگیری شده]]*bargiri[[#This Row],[فی]]</f>
        <v>1860000000</v>
      </c>
      <c r="I629" s="360">
        <f>IF(year=bargiri[[#This Row],[سال]],1,0)</f>
        <v>1</v>
      </c>
      <c r="J629" s="360" t="str">
        <f>VLOOKUP(bargiri[[#This Row],[شماره پیش فاکتور]],invoice[],16,0)</f>
        <v>عادی</v>
      </c>
      <c r="K629" s="252">
        <f>bargiri[[#This Row],[فی]]*bargiri[[#This Row],[میزان بارگیری شده]]</f>
        <v>1860000000</v>
      </c>
      <c r="X629" s="1"/>
      <c r="Y629" s="1"/>
      <c r="Z629" s="1"/>
    </row>
    <row r="630" spans="1:26" ht="18.600000000000001">
      <c r="A630" s="360" t="s">
        <v>1015</v>
      </c>
      <c r="B630" s="360" t="s">
        <v>116</v>
      </c>
      <c r="C630" s="355" t="s">
        <v>647</v>
      </c>
      <c r="D630">
        <v>20140</v>
      </c>
      <c r="E630" s="143">
        <v>116500</v>
      </c>
      <c r="F630" s="117">
        <v>1405</v>
      </c>
      <c r="G630" s="360" t="s">
        <v>305</v>
      </c>
      <c r="H630" s="144">
        <f>bargiri[[#This Row],[میزان بارگیری شده]]*bargiri[[#This Row],[فی]]</f>
        <v>2346310000</v>
      </c>
      <c r="I630" s="360">
        <f>IF(year=bargiri[[#This Row],[سال]],1,0)</f>
        <v>1</v>
      </c>
      <c r="J630" s="360" t="str">
        <f>VLOOKUP(bargiri[[#This Row],[شماره پیش فاکتور]],invoice[],16,0)</f>
        <v>تعادلی</v>
      </c>
      <c r="K630" s="252">
        <f>bargiri[[#This Row],[فی]]*bargiri[[#This Row],[میزان بارگیری شده]]</f>
        <v>2346310000</v>
      </c>
      <c r="X630" s="1"/>
      <c r="Y630" s="1"/>
      <c r="Z630" s="1"/>
    </row>
    <row r="631" spans="1:26" ht="18.600000000000001">
      <c r="A631" s="360" t="s">
        <v>1015</v>
      </c>
      <c r="B631" s="360" t="s">
        <v>113</v>
      </c>
      <c r="C631" s="355" t="s">
        <v>822</v>
      </c>
      <c r="D631">
        <v>18720</v>
      </c>
      <c r="E631" s="143">
        <v>105000</v>
      </c>
      <c r="F631" s="117">
        <v>1405</v>
      </c>
      <c r="G631" s="360" t="s">
        <v>305</v>
      </c>
      <c r="H631" s="144">
        <f>bargiri[[#This Row],[میزان بارگیری شده]]*bargiri[[#This Row],[فی]]</f>
        <v>1965600000</v>
      </c>
      <c r="I631" s="360">
        <f>IF(year=bargiri[[#This Row],[سال]],1,0)</f>
        <v>1</v>
      </c>
      <c r="J631" s="360" t="str">
        <f>VLOOKUP(bargiri[[#This Row],[شماره پیش فاکتور]],invoice[],16,0)</f>
        <v>عادی</v>
      </c>
      <c r="K631" s="252">
        <f>bargiri[[#This Row],[فی]]*bargiri[[#This Row],[میزان بارگیری شده]]</f>
        <v>1965600000</v>
      </c>
      <c r="X631" s="1"/>
      <c r="Y631" s="1"/>
      <c r="Z631" s="1"/>
    </row>
    <row r="632" spans="1:26" ht="18.600000000000001">
      <c r="A632" s="360" t="s">
        <v>1016</v>
      </c>
      <c r="B632" s="360" t="s">
        <v>116</v>
      </c>
      <c r="C632" s="355" t="s">
        <v>608</v>
      </c>
      <c r="D632">
        <v>4050</v>
      </c>
      <c r="E632" s="143">
        <v>95000</v>
      </c>
      <c r="F632" s="117">
        <v>1405</v>
      </c>
      <c r="G632" s="360" t="s">
        <v>295</v>
      </c>
      <c r="H632" s="144">
        <f>bargiri[[#This Row],[میزان بارگیری شده]]*bargiri[[#This Row],[فی]]</f>
        <v>384750000</v>
      </c>
      <c r="I632" s="360">
        <f>IF(year=bargiri[[#This Row],[سال]],1,0)</f>
        <v>1</v>
      </c>
      <c r="J632" s="360" t="str">
        <f>VLOOKUP(bargiri[[#This Row],[شماره پیش فاکتور]],invoice[],16,0)</f>
        <v>عادی</v>
      </c>
      <c r="K632" s="252">
        <f>bargiri[[#This Row],[فی]]*bargiri[[#This Row],[میزان بارگیری شده]]</f>
        <v>384750000</v>
      </c>
      <c r="X632" s="1"/>
      <c r="Y632" s="1"/>
      <c r="Z632" s="1"/>
    </row>
    <row r="633" spans="1:26" ht="18.600000000000001">
      <c r="A633" s="360" t="s">
        <v>1016</v>
      </c>
      <c r="B633" s="360" t="s">
        <v>116</v>
      </c>
      <c r="C633" s="355" t="s">
        <v>565</v>
      </c>
      <c r="D633">
        <v>15750</v>
      </c>
      <c r="E633" s="143">
        <v>142000</v>
      </c>
      <c r="F633" s="117">
        <v>1405</v>
      </c>
      <c r="G633" s="360" t="s">
        <v>295</v>
      </c>
      <c r="H633" s="144">
        <f>bargiri[[#This Row],[میزان بارگیری شده]]*bargiri[[#This Row],[فی]]</f>
        <v>2236500000</v>
      </c>
      <c r="I633" s="360">
        <f>IF(year=bargiri[[#This Row],[سال]],1,0)</f>
        <v>1</v>
      </c>
      <c r="J633" s="360" t="str">
        <f>VLOOKUP(bargiri[[#This Row],[شماره پیش فاکتور]],invoice[],16,0)</f>
        <v>انجمن</v>
      </c>
      <c r="K633" s="252">
        <f>bargiri[[#This Row],[فی]]*bargiri[[#This Row],[میزان بارگیری شده]]</f>
        <v>2236500000</v>
      </c>
      <c r="X633" s="1"/>
      <c r="Y633" s="1"/>
      <c r="Z633" s="1"/>
    </row>
    <row r="634" spans="1:26" ht="18.600000000000001">
      <c r="A634" s="360" t="s">
        <v>1002</v>
      </c>
      <c r="B634" s="360" t="s">
        <v>116</v>
      </c>
      <c r="C634" s="355" t="s">
        <v>959</v>
      </c>
      <c r="D634">
        <v>20570</v>
      </c>
      <c r="E634" s="143">
        <v>167500</v>
      </c>
      <c r="F634" s="117">
        <v>1404</v>
      </c>
      <c r="G634" s="360" t="s">
        <v>296</v>
      </c>
      <c r="H634" s="144">
        <f>bargiri[[#This Row],[میزان بارگیری شده]]*bargiri[[#This Row],[فی]]</f>
        <v>3445475000</v>
      </c>
      <c r="I634" s="360">
        <f>IF(year=bargiri[[#This Row],[سال]],1,0)</f>
        <v>0</v>
      </c>
      <c r="J634" s="360" t="str">
        <f>VLOOKUP(bargiri[[#This Row],[شماره پیش فاکتور]],invoice[],16,0)</f>
        <v>بورس</v>
      </c>
      <c r="K634" s="252">
        <f>bargiri[[#This Row],[فی]]*bargiri[[#This Row],[میزان بارگیری شده]]</f>
        <v>3445475000</v>
      </c>
      <c r="X634" s="1"/>
      <c r="Y634" s="1"/>
      <c r="Z634" s="1"/>
    </row>
    <row r="635" spans="1:26" ht="18.600000000000001">
      <c r="A635" s="360" t="s">
        <v>1004</v>
      </c>
      <c r="B635" s="360" t="s">
        <v>116</v>
      </c>
      <c r="C635" s="355" t="s">
        <v>940</v>
      </c>
      <c r="D635">
        <v>17865</v>
      </c>
      <c r="E635" s="143">
        <v>167500</v>
      </c>
      <c r="F635" s="117">
        <v>1404</v>
      </c>
      <c r="G635" s="360" t="s">
        <v>296</v>
      </c>
      <c r="H635" s="144">
        <f>bargiri[[#This Row],[میزان بارگیری شده]]*bargiri[[#This Row],[فی]]</f>
        <v>2992387500</v>
      </c>
      <c r="I635" s="360">
        <f>IF(year=bargiri[[#This Row],[سال]],1,0)</f>
        <v>0</v>
      </c>
      <c r="J635" s="360" t="str">
        <f>VLOOKUP(bargiri[[#This Row],[شماره پیش فاکتور]],invoice[],16,0)</f>
        <v>بورس</v>
      </c>
      <c r="K635" s="252">
        <f>bargiri[[#This Row],[فی]]*bargiri[[#This Row],[میزان بارگیری شده]]</f>
        <v>2992387500</v>
      </c>
      <c r="X635" s="1"/>
      <c r="Y635" s="1"/>
      <c r="Z635" s="1"/>
    </row>
    <row r="636" spans="1:26" ht="18.600000000000001">
      <c r="A636" s="360" t="s">
        <v>1004</v>
      </c>
      <c r="B636" s="360" t="s">
        <v>116</v>
      </c>
      <c r="C636" s="355" t="s">
        <v>959</v>
      </c>
      <c r="D636">
        <v>2785</v>
      </c>
      <c r="E636" s="143">
        <v>167500</v>
      </c>
      <c r="F636" s="117">
        <v>1404</v>
      </c>
      <c r="G636" s="360" t="s">
        <v>296</v>
      </c>
      <c r="H636" s="144">
        <f>bargiri[[#This Row],[میزان بارگیری شده]]*bargiri[[#This Row],[فی]]</f>
        <v>466487500</v>
      </c>
      <c r="I636" s="360">
        <f>IF(year=bargiri[[#This Row],[سال]],1,0)</f>
        <v>0</v>
      </c>
      <c r="J636" s="360" t="str">
        <f>VLOOKUP(bargiri[[#This Row],[شماره پیش فاکتور]],invoice[],16,0)</f>
        <v>بورس</v>
      </c>
      <c r="K636" s="252">
        <f>bargiri[[#This Row],[فی]]*bargiri[[#This Row],[میزان بارگیری شده]]</f>
        <v>466487500</v>
      </c>
      <c r="X636" s="1"/>
      <c r="Y636" s="1"/>
      <c r="Z636" s="1"/>
    </row>
    <row r="637" spans="1:26" ht="18.600000000000001">
      <c r="A637" s="360" t="s">
        <v>998</v>
      </c>
      <c r="B637" s="360" t="s">
        <v>114</v>
      </c>
      <c r="C637" s="355" t="s">
        <v>905</v>
      </c>
      <c r="D637">
        <v>16050</v>
      </c>
      <c r="E637" s="143">
        <v>135000</v>
      </c>
      <c r="F637" s="117">
        <v>1404</v>
      </c>
      <c r="G637" s="360" t="s">
        <v>296</v>
      </c>
      <c r="H637" s="144">
        <f>bargiri[[#This Row],[میزان بارگیری شده]]*bargiri[[#This Row],[فی]]</f>
        <v>2166750000</v>
      </c>
      <c r="I637" s="360">
        <f>IF(year=bargiri[[#This Row],[سال]],1,0)</f>
        <v>0</v>
      </c>
      <c r="J637" s="360" t="str">
        <f>VLOOKUP(bargiri[[#This Row],[شماره پیش فاکتور]],invoice[],16,0)</f>
        <v>عادی</v>
      </c>
      <c r="K637" s="252">
        <f>bargiri[[#This Row],[فی]]*bargiri[[#This Row],[میزان بارگیری شده]]</f>
        <v>2166750000</v>
      </c>
      <c r="X637" s="1"/>
      <c r="Y637" s="1"/>
      <c r="Z637" s="1"/>
    </row>
    <row r="638" spans="1:26" ht="18.600000000000001">
      <c r="A638" s="360" t="s">
        <v>999</v>
      </c>
      <c r="B638" s="360" t="s">
        <v>114</v>
      </c>
      <c r="C638" s="355" t="s">
        <v>905</v>
      </c>
      <c r="D638">
        <v>21940</v>
      </c>
      <c r="E638" s="143">
        <v>135000</v>
      </c>
      <c r="F638" s="117">
        <v>1404</v>
      </c>
      <c r="G638" s="360" t="s">
        <v>296</v>
      </c>
      <c r="H638" s="144">
        <f>bargiri[[#This Row],[میزان بارگیری شده]]*bargiri[[#This Row],[فی]]</f>
        <v>2961900000</v>
      </c>
      <c r="I638" s="360">
        <f>IF(year=bargiri[[#This Row],[سال]],1,0)</f>
        <v>0</v>
      </c>
      <c r="J638" s="360" t="str">
        <f>VLOOKUP(bargiri[[#This Row],[شماره پیش فاکتور]],invoice[],16,0)</f>
        <v>عادی</v>
      </c>
      <c r="K638" s="252">
        <f>bargiri[[#This Row],[فی]]*bargiri[[#This Row],[میزان بارگیری شده]]</f>
        <v>2961900000</v>
      </c>
      <c r="X638" s="1"/>
      <c r="Y638" s="1"/>
      <c r="Z638" s="1"/>
    </row>
    <row r="639" spans="1:26" ht="18.600000000000001">
      <c r="A639" s="360" t="s">
        <v>999</v>
      </c>
      <c r="B639" s="360" t="s">
        <v>114</v>
      </c>
      <c r="C639" s="355" t="s">
        <v>905</v>
      </c>
      <c r="D639">
        <v>22950</v>
      </c>
      <c r="E639" s="143">
        <v>135000</v>
      </c>
      <c r="F639" s="117">
        <v>1404</v>
      </c>
      <c r="G639" s="360" t="s">
        <v>296</v>
      </c>
      <c r="H639" s="144">
        <f>bargiri[[#This Row],[میزان بارگیری شده]]*bargiri[[#This Row],[فی]]</f>
        <v>3098250000</v>
      </c>
      <c r="I639" s="360">
        <f>IF(year=bargiri[[#This Row],[سال]],1,0)</f>
        <v>0</v>
      </c>
      <c r="J639" s="360" t="str">
        <f>VLOOKUP(bargiri[[#This Row],[شماره پیش فاکتور]],invoice[],16,0)</f>
        <v>عادی</v>
      </c>
      <c r="K639" s="252">
        <f>bargiri[[#This Row],[فی]]*bargiri[[#This Row],[میزان بارگیری شده]]</f>
        <v>3098250000</v>
      </c>
      <c r="X639" s="1"/>
      <c r="Y639" s="1"/>
      <c r="Z639" s="1"/>
    </row>
    <row r="640" spans="1:26" ht="18.600000000000001">
      <c r="A640" s="360" t="s">
        <v>999</v>
      </c>
      <c r="B640" s="360" t="s">
        <v>114</v>
      </c>
      <c r="C640" s="355" t="s">
        <v>905</v>
      </c>
      <c r="D640">
        <v>22010</v>
      </c>
      <c r="E640" s="143">
        <v>135000</v>
      </c>
      <c r="F640" s="117">
        <v>1404</v>
      </c>
      <c r="G640" s="360" t="s">
        <v>296</v>
      </c>
      <c r="H640" s="144">
        <f>bargiri[[#This Row],[میزان بارگیری شده]]*bargiri[[#This Row],[فی]]</f>
        <v>2971350000</v>
      </c>
      <c r="I640" s="360">
        <f>IF(year=bargiri[[#This Row],[سال]],1,0)</f>
        <v>0</v>
      </c>
      <c r="J640" s="360" t="str">
        <f>VLOOKUP(bargiri[[#This Row],[شماره پیش فاکتور]],invoice[],16,0)</f>
        <v>عادی</v>
      </c>
      <c r="K640" s="252">
        <f>bargiri[[#This Row],[فی]]*bargiri[[#This Row],[میزان بارگیری شده]]</f>
        <v>2971350000</v>
      </c>
      <c r="X640" s="1"/>
      <c r="Y640" s="1"/>
      <c r="Z640" s="1"/>
    </row>
    <row r="641" spans="1:26" ht="18.600000000000001">
      <c r="A641" s="360" t="s">
        <v>1000</v>
      </c>
      <c r="B641" s="360" t="s">
        <v>114</v>
      </c>
      <c r="C641" s="355" t="s">
        <v>905</v>
      </c>
      <c r="D641">
        <v>22120</v>
      </c>
      <c r="E641" s="143">
        <v>135000</v>
      </c>
      <c r="F641" s="117">
        <v>1404</v>
      </c>
      <c r="G641" s="360" t="s">
        <v>296</v>
      </c>
      <c r="H641" s="144">
        <f>bargiri[[#This Row],[میزان بارگیری شده]]*bargiri[[#This Row],[فی]]</f>
        <v>2986200000</v>
      </c>
      <c r="I641" s="360">
        <f>IF(year=bargiri[[#This Row],[سال]],1,0)</f>
        <v>0</v>
      </c>
      <c r="J641" s="360" t="str">
        <f>VLOOKUP(bargiri[[#This Row],[شماره پیش فاکتور]],invoice[],16,0)</f>
        <v>عادی</v>
      </c>
      <c r="K641" s="252">
        <f>bargiri[[#This Row],[فی]]*bargiri[[#This Row],[میزان بارگیری شده]]</f>
        <v>2986200000</v>
      </c>
      <c r="X641" s="1"/>
      <c r="Y641" s="1"/>
      <c r="Z641" s="1"/>
    </row>
    <row r="642" spans="1:26" ht="18.600000000000001">
      <c r="A642" s="360" t="s">
        <v>1000</v>
      </c>
      <c r="B642" s="360" t="s">
        <v>114</v>
      </c>
      <c r="C642" s="355" t="s">
        <v>905</v>
      </c>
      <c r="D642">
        <v>21860</v>
      </c>
      <c r="E642" s="143">
        <v>135000</v>
      </c>
      <c r="F642" s="117">
        <v>1404</v>
      </c>
      <c r="G642" s="360" t="s">
        <v>296</v>
      </c>
      <c r="H642" s="144">
        <f>bargiri[[#This Row],[میزان بارگیری شده]]*bargiri[[#This Row],[فی]]</f>
        <v>2951100000</v>
      </c>
      <c r="I642" s="360">
        <f>IF(year=bargiri[[#This Row],[سال]],1,0)</f>
        <v>0</v>
      </c>
      <c r="J642" s="360" t="str">
        <f>VLOOKUP(bargiri[[#This Row],[شماره پیش فاکتور]],invoice[],16,0)</f>
        <v>عادی</v>
      </c>
      <c r="K642" s="252">
        <f>bargiri[[#This Row],[فی]]*bargiri[[#This Row],[میزان بارگیری شده]]</f>
        <v>2951100000</v>
      </c>
      <c r="X642" s="1"/>
      <c r="Y642" s="1"/>
      <c r="Z642" s="1"/>
    </row>
    <row r="643" spans="1:26" ht="18.600000000000001">
      <c r="A643" s="360" t="s">
        <v>1001</v>
      </c>
      <c r="B643" s="360" t="s">
        <v>101</v>
      </c>
      <c r="C643" s="355" t="s">
        <v>861</v>
      </c>
      <c r="D643">
        <v>22300</v>
      </c>
      <c r="E643" s="143">
        <v>116500</v>
      </c>
      <c r="F643" s="117">
        <v>1404</v>
      </c>
      <c r="G643" s="360" t="s">
        <v>296</v>
      </c>
      <c r="H643" s="144">
        <f>bargiri[[#This Row],[میزان بارگیری شده]]*bargiri[[#This Row],[فی]]</f>
        <v>2597950000</v>
      </c>
      <c r="I643" s="360">
        <f>IF(year=bargiri[[#This Row],[سال]],1,0)</f>
        <v>0</v>
      </c>
      <c r="J643" s="360" t="str">
        <f>VLOOKUP(bargiri[[#This Row],[شماره پیش فاکتور]],invoice[],16,0)</f>
        <v>تعادلی</v>
      </c>
      <c r="K643" s="252">
        <f>bargiri[[#This Row],[فی]]*bargiri[[#This Row],[میزان بارگیری شده]]</f>
        <v>2597950000</v>
      </c>
      <c r="X643" s="1"/>
      <c r="Y643" s="1"/>
      <c r="Z643" s="1"/>
    </row>
    <row r="644" spans="1:26" ht="18.600000000000001">
      <c r="A644" s="360" t="s">
        <v>1003</v>
      </c>
      <c r="B644" s="360" t="s">
        <v>116</v>
      </c>
      <c r="C644" s="355" t="s">
        <v>565</v>
      </c>
      <c r="D644">
        <v>20090</v>
      </c>
      <c r="E644" s="143">
        <v>142000</v>
      </c>
      <c r="F644" s="117">
        <v>1404</v>
      </c>
      <c r="G644" s="360" t="s">
        <v>296</v>
      </c>
      <c r="H644" s="144">
        <f>bargiri[[#This Row],[میزان بارگیری شده]]*bargiri[[#This Row],[فی]]</f>
        <v>2852780000</v>
      </c>
      <c r="I644" s="360">
        <f>IF(year=bargiri[[#This Row],[سال]],1,0)</f>
        <v>0</v>
      </c>
      <c r="J644" s="360" t="str">
        <f>VLOOKUP(bargiri[[#This Row],[شماره پیش فاکتور]],invoice[],16,0)</f>
        <v>انجمن</v>
      </c>
      <c r="K644" s="252">
        <f>bargiri[[#This Row],[فی]]*bargiri[[#This Row],[میزان بارگیری شده]]</f>
        <v>2852780000</v>
      </c>
      <c r="X644" s="1"/>
      <c r="Y644" s="1"/>
      <c r="Z644" s="1"/>
    </row>
    <row r="645" spans="1:26" ht="18.600000000000001">
      <c r="A645" s="360" t="s">
        <v>1003</v>
      </c>
      <c r="B645" s="360" t="s">
        <v>116</v>
      </c>
      <c r="C645" s="355" t="s">
        <v>608</v>
      </c>
      <c r="D645">
        <v>20760</v>
      </c>
      <c r="E645" s="143">
        <v>95000</v>
      </c>
      <c r="F645" s="117">
        <v>1404</v>
      </c>
      <c r="G645" s="360" t="s">
        <v>296</v>
      </c>
      <c r="H645" s="144">
        <f>bargiri[[#This Row],[میزان بارگیری شده]]*bargiri[[#This Row],[فی]]</f>
        <v>1972200000</v>
      </c>
      <c r="I645" s="360">
        <f>IF(year=bargiri[[#This Row],[سال]],1,0)</f>
        <v>0</v>
      </c>
      <c r="J645" s="360" t="str">
        <f>VLOOKUP(bargiri[[#This Row],[شماره پیش فاکتور]],invoice[],16,0)</f>
        <v>عادی</v>
      </c>
      <c r="K645" s="252">
        <f>bargiri[[#This Row],[فی]]*bargiri[[#This Row],[میزان بارگیری شده]]</f>
        <v>1972200000</v>
      </c>
      <c r="X645" s="1"/>
      <c r="Y645" s="1"/>
      <c r="Z645" s="1"/>
    </row>
    <row r="646" spans="1:26" ht="18.600000000000001">
      <c r="A646" s="360" t="s">
        <v>1005</v>
      </c>
      <c r="B646" s="360" t="s">
        <v>102</v>
      </c>
      <c r="C646" s="355" t="s">
        <v>559</v>
      </c>
      <c r="D646">
        <v>11720</v>
      </c>
      <c r="E646" s="143">
        <v>142000</v>
      </c>
      <c r="F646" s="117">
        <v>1404</v>
      </c>
      <c r="G646" s="360" t="s">
        <v>296</v>
      </c>
      <c r="H646" s="144">
        <f>bargiri[[#This Row],[میزان بارگیری شده]]*bargiri[[#This Row],[فی]]</f>
        <v>1664240000</v>
      </c>
      <c r="I646" s="360">
        <f>IF(year=bargiri[[#This Row],[سال]],1,0)</f>
        <v>0</v>
      </c>
      <c r="J646" s="360" t="str">
        <f>VLOOKUP(bargiri[[#This Row],[شماره پیش فاکتور]],invoice[],16,0)</f>
        <v>انجمن</v>
      </c>
      <c r="K646" s="252">
        <f>bargiri[[#This Row],[فی]]*bargiri[[#This Row],[میزان بارگیری شده]]</f>
        <v>1664240000</v>
      </c>
      <c r="X646" s="1"/>
      <c r="Y646" s="1"/>
      <c r="Z646" s="1"/>
    </row>
    <row r="647" spans="1:26" ht="18.600000000000001">
      <c r="A647" s="360" t="s">
        <v>996</v>
      </c>
      <c r="B647" s="360" t="s">
        <v>116</v>
      </c>
      <c r="C647" s="355" t="s">
        <v>565</v>
      </c>
      <c r="D647">
        <v>20090</v>
      </c>
      <c r="E647" s="143">
        <v>142000</v>
      </c>
      <c r="F647" s="117">
        <v>1404</v>
      </c>
      <c r="G647" s="360" t="s">
        <v>296</v>
      </c>
      <c r="H647" s="144">
        <f>bargiri[[#This Row],[میزان بارگیری شده]]*bargiri[[#This Row],[فی]]</f>
        <v>2852780000</v>
      </c>
      <c r="I647" s="360">
        <f>IF(year=bargiri[[#This Row],[سال]],1,0)</f>
        <v>0</v>
      </c>
      <c r="J647" s="360" t="str">
        <f>VLOOKUP(bargiri[[#This Row],[شماره پیش فاکتور]],invoice[],16,0)</f>
        <v>انجمن</v>
      </c>
      <c r="K647" s="252">
        <f>bargiri[[#This Row],[فی]]*bargiri[[#This Row],[میزان بارگیری شده]]</f>
        <v>2852780000</v>
      </c>
      <c r="X647" s="1"/>
      <c r="Y647" s="1"/>
      <c r="Z647" s="1"/>
    </row>
    <row r="648" spans="1:26" ht="18.600000000000001">
      <c r="A648" s="360" t="s">
        <v>996</v>
      </c>
      <c r="B648" s="360" t="s">
        <v>106</v>
      </c>
      <c r="C648" s="355" t="s">
        <v>913</v>
      </c>
      <c r="D648">
        <v>15840</v>
      </c>
      <c r="E648" s="143">
        <v>125000</v>
      </c>
      <c r="F648" s="117">
        <v>1404</v>
      </c>
      <c r="G648" s="360" t="s">
        <v>296</v>
      </c>
      <c r="H648" s="144">
        <f>bargiri[[#This Row],[میزان بارگیری شده]]*bargiri[[#This Row],[فی]]</f>
        <v>1980000000</v>
      </c>
      <c r="I648" s="360">
        <f>IF(year=bargiri[[#This Row],[سال]],1,0)</f>
        <v>0</v>
      </c>
      <c r="J648" s="360" t="str">
        <f>VLOOKUP(bargiri[[#This Row],[شماره پیش فاکتور]],invoice[],16,0)</f>
        <v>عادی</v>
      </c>
      <c r="K648" s="252">
        <f>bargiri[[#This Row],[فی]]*bargiri[[#This Row],[میزان بارگیری شده]]</f>
        <v>1980000000</v>
      </c>
      <c r="X648" s="1"/>
      <c r="Y648" s="1"/>
      <c r="Z648" s="1"/>
    </row>
    <row r="649" spans="1:26" ht="18.600000000000001">
      <c r="A649" s="360" t="s">
        <v>997</v>
      </c>
      <c r="B649" s="360" t="s">
        <v>116</v>
      </c>
      <c r="C649" s="355" t="s">
        <v>608</v>
      </c>
      <c r="D649">
        <v>20120</v>
      </c>
      <c r="E649" s="143">
        <v>95000</v>
      </c>
      <c r="F649" s="117">
        <v>1404</v>
      </c>
      <c r="G649" s="360" t="s">
        <v>296</v>
      </c>
      <c r="H649" s="144">
        <f>bargiri[[#This Row],[میزان بارگیری شده]]*bargiri[[#This Row],[فی]]</f>
        <v>1911400000</v>
      </c>
      <c r="I649" s="360">
        <f>IF(year=bargiri[[#This Row],[سال]],1,0)</f>
        <v>0</v>
      </c>
      <c r="J649" s="360" t="str">
        <f>VLOOKUP(bargiri[[#This Row],[شماره پیش فاکتور]],invoice[],16,0)</f>
        <v>عادی</v>
      </c>
      <c r="K649" s="252">
        <f>bargiri[[#This Row],[فی]]*bargiri[[#This Row],[میزان بارگیری شده]]</f>
        <v>1911400000</v>
      </c>
      <c r="X649" s="1"/>
      <c r="Y649" s="1"/>
      <c r="Z649" s="1"/>
    </row>
    <row r="650" spans="1:26" ht="18.600000000000001">
      <c r="A650" s="360" t="s">
        <v>997</v>
      </c>
      <c r="B650" s="360" t="s">
        <v>99</v>
      </c>
      <c r="C650" s="355" t="s">
        <v>821</v>
      </c>
      <c r="D650">
        <v>18870</v>
      </c>
      <c r="E650" s="143">
        <v>105000</v>
      </c>
      <c r="F650" s="117">
        <v>1404</v>
      </c>
      <c r="G650" s="360" t="s">
        <v>296</v>
      </c>
      <c r="H650" s="144">
        <f>bargiri[[#This Row],[میزان بارگیری شده]]*bargiri[[#This Row],[فی]]</f>
        <v>1981350000</v>
      </c>
      <c r="I650" s="360">
        <f>IF(year=bargiri[[#This Row],[سال]],1,0)</f>
        <v>0</v>
      </c>
      <c r="J650" s="360" t="str">
        <f>VLOOKUP(bargiri[[#This Row],[شماره پیش فاکتور]],invoice[],16,0)</f>
        <v>عادی</v>
      </c>
      <c r="K650" s="252">
        <f>bargiri[[#This Row],[فی]]*bargiri[[#This Row],[میزان بارگیری شده]]</f>
        <v>1981350000</v>
      </c>
      <c r="X650" s="1"/>
      <c r="Y650" s="1"/>
      <c r="Z650" s="1"/>
    </row>
    <row r="651" spans="1:26" ht="18.600000000000001">
      <c r="A651" s="360" t="s">
        <v>997</v>
      </c>
      <c r="B651" s="360" t="s">
        <v>125</v>
      </c>
      <c r="C651" s="355" t="s">
        <v>870</v>
      </c>
      <c r="D651">
        <v>14420</v>
      </c>
      <c r="E651" s="143">
        <v>135000</v>
      </c>
      <c r="F651" s="117">
        <v>1404</v>
      </c>
      <c r="G651" s="360" t="s">
        <v>296</v>
      </c>
      <c r="H651" s="144">
        <f>bargiri[[#This Row],[میزان بارگیری شده]]*bargiri[[#This Row],[فی]]</f>
        <v>1946700000</v>
      </c>
      <c r="I651" s="360">
        <f>IF(year=bargiri[[#This Row],[سال]],1,0)</f>
        <v>0</v>
      </c>
      <c r="J651" s="360" t="str">
        <f>VLOOKUP(bargiri[[#This Row],[شماره پیش فاکتور]],invoice[],16,0)</f>
        <v>عادی</v>
      </c>
      <c r="K651" s="252">
        <f>bargiri[[#This Row],[فی]]*bargiri[[#This Row],[میزان بارگیری شده]]</f>
        <v>1946700000</v>
      </c>
      <c r="X651" s="1"/>
      <c r="Y651" s="1"/>
      <c r="Z651" s="1"/>
    </row>
    <row r="652" spans="1:26" ht="18.600000000000001">
      <c r="A652" s="360" t="s">
        <v>995</v>
      </c>
      <c r="B652" s="360" t="s">
        <v>103</v>
      </c>
      <c r="C652" s="355" t="s">
        <v>560</v>
      </c>
      <c r="D652">
        <v>6040</v>
      </c>
      <c r="E652" s="143">
        <v>142000</v>
      </c>
      <c r="F652" s="117">
        <v>1404</v>
      </c>
      <c r="G652" s="360" t="s">
        <v>296</v>
      </c>
      <c r="H652" s="144">
        <f>bargiri[[#This Row],[میزان بارگیری شده]]*bargiri[[#This Row],[فی]]</f>
        <v>857680000</v>
      </c>
      <c r="I652" s="360">
        <f>IF(year=bargiri[[#This Row],[سال]],1,0)</f>
        <v>0</v>
      </c>
      <c r="J652" s="360" t="str">
        <f>VLOOKUP(bargiri[[#This Row],[شماره پیش فاکتور]],invoice[],16,0)</f>
        <v>انجمن</v>
      </c>
      <c r="K652" s="252">
        <f>bargiri[[#This Row],[فی]]*bargiri[[#This Row],[میزان بارگیری شده]]</f>
        <v>857680000</v>
      </c>
      <c r="X652" s="1"/>
      <c r="Y652" s="1"/>
      <c r="Z652" s="1"/>
    </row>
    <row r="653" spans="1:26" ht="18.600000000000001">
      <c r="A653" s="360" t="s">
        <v>995</v>
      </c>
      <c r="B653" s="360" t="s">
        <v>116</v>
      </c>
      <c r="C653" s="355" t="s">
        <v>926</v>
      </c>
      <c r="D653">
        <v>18045</v>
      </c>
      <c r="E653" s="143">
        <v>167500</v>
      </c>
      <c r="F653" s="117">
        <v>1404</v>
      </c>
      <c r="G653" s="360" t="s">
        <v>296</v>
      </c>
      <c r="H653" s="144">
        <f>bargiri[[#This Row],[میزان بارگیری شده]]*bargiri[[#This Row],[فی]]</f>
        <v>3022537500</v>
      </c>
      <c r="I653" s="360">
        <f>IF(year=bargiri[[#This Row],[سال]],1,0)</f>
        <v>0</v>
      </c>
      <c r="J653" s="360" t="str">
        <f>VLOOKUP(bargiri[[#This Row],[شماره پیش فاکتور]],invoice[],16,0)</f>
        <v>بورس</v>
      </c>
      <c r="K653" s="252">
        <f>bargiri[[#This Row],[فی]]*bargiri[[#This Row],[میزان بارگیری شده]]</f>
        <v>3022537500</v>
      </c>
      <c r="X653" s="1"/>
      <c r="Y653" s="1"/>
      <c r="Z653" s="1"/>
    </row>
    <row r="654" spans="1:26" ht="20.399999999999999">
      <c r="A654" s="360" t="s">
        <v>995</v>
      </c>
      <c r="B654" s="360" t="s">
        <v>116</v>
      </c>
      <c r="C654" s="344" t="s">
        <v>940</v>
      </c>
      <c r="D654">
        <v>2135</v>
      </c>
      <c r="E654" s="143">
        <v>167500</v>
      </c>
      <c r="F654" s="117">
        <v>1404</v>
      </c>
      <c r="G654" s="360" t="s">
        <v>296</v>
      </c>
      <c r="H654" s="144">
        <f>bargiri[[#This Row],[میزان بارگیری شده]]*bargiri[[#This Row],[فی]]</f>
        <v>357612500</v>
      </c>
      <c r="I654" s="360">
        <f>IF(year=bargiri[[#This Row],[سال]],1,0)</f>
        <v>0</v>
      </c>
      <c r="J654" s="360" t="str">
        <f>VLOOKUP(bargiri[[#This Row],[شماره پیش فاکتور]],invoice[],16,0)</f>
        <v>بورس</v>
      </c>
      <c r="K654" s="252">
        <f>bargiri[[#This Row],[فی]]*bargiri[[#This Row],[میزان بارگیری شده]]</f>
        <v>357612500</v>
      </c>
      <c r="X654" s="1"/>
      <c r="Y654" s="1"/>
      <c r="Z654" s="1"/>
    </row>
    <row r="655" spans="1:26" ht="20.399999999999999">
      <c r="A655" s="360" t="s">
        <v>981</v>
      </c>
      <c r="B655" s="360" t="s">
        <v>118</v>
      </c>
      <c r="C655" s="344" t="s">
        <v>991</v>
      </c>
      <c r="D655">
        <v>20830</v>
      </c>
      <c r="E655" s="143">
        <v>130266</v>
      </c>
      <c r="F655" s="117">
        <v>1404</v>
      </c>
      <c r="G655" s="360" t="s">
        <v>297</v>
      </c>
      <c r="H655" s="144">
        <f>bargiri[[#This Row],[میزان بارگیری شده]]*bargiri[[#This Row],[فی]]</f>
        <v>2713440780</v>
      </c>
      <c r="I655" s="360">
        <f>IF(year=bargiri[[#This Row],[سال]],1,0)</f>
        <v>0</v>
      </c>
      <c r="J655" s="360" t="str">
        <f>VLOOKUP(bargiri[[#This Row],[شماره پیش فاکتور]],invoice[],16,0)</f>
        <v>عادی</v>
      </c>
      <c r="K655" s="252">
        <f>bargiri[[#This Row],[فی]]*bargiri[[#This Row],[میزان بارگیری شده]]</f>
        <v>2713440780</v>
      </c>
      <c r="X655" s="1"/>
      <c r="Y655" s="1"/>
      <c r="Z655" s="1"/>
    </row>
    <row r="656" spans="1:26" ht="18.600000000000001">
      <c r="A656" s="360" t="s">
        <v>981</v>
      </c>
      <c r="B656" s="360" t="s">
        <v>118</v>
      </c>
      <c r="C656" s="355" t="s">
        <v>991</v>
      </c>
      <c r="D656">
        <v>20990</v>
      </c>
      <c r="E656" s="143">
        <v>130266</v>
      </c>
      <c r="F656" s="117">
        <v>1404</v>
      </c>
      <c r="G656" s="360" t="s">
        <v>297</v>
      </c>
      <c r="H656" s="144">
        <f>bargiri[[#This Row],[میزان بارگیری شده]]*bargiri[[#This Row],[فی]]</f>
        <v>2734283340</v>
      </c>
      <c r="I656" s="360">
        <f>IF(year=bargiri[[#This Row],[سال]],1,0)</f>
        <v>0</v>
      </c>
      <c r="J656" s="360" t="str">
        <f>VLOOKUP(bargiri[[#This Row],[شماره پیش فاکتور]],invoice[],16,0)</f>
        <v>عادی</v>
      </c>
      <c r="K656" s="252">
        <f>bargiri[[#This Row],[فی]]*bargiri[[#This Row],[میزان بارگیری شده]]</f>
        <v>2734283340</v>
      </c>
      <c r="X656" s="1"/>
      <c r="Y656" s="1"/>
      <c r="Z656" s="1"/>
    </row>
    <row r="657" spans="1:26" ht="18.600000000000001">
      <c r="A657" s="360" t="s">
        <v>981</v>
      </c>
      <c r="B657" s="360" t="s">
        <v>118</v>
      </c>
      <c r="C657" s="355" t="s">
        <v>991</v>
      </c>
      <c r="D657">
        <v>20950</v>
      </c>
      <c r="E657" s="143">
        <v>130266</v>
      </c>
      <c r="F657" s="117">
        <v>1404</v>
      </c>
      <c r="G657" s="360" t="s">
        <v>297</v>
      </c>
      <c r="H657" s="144">
        <f>bargiri[[#This Row],[میزان بارگیری شده]]*bargiri[[#This Row],[فی]]</f>
        <v>2729072700</v>
      </c>
      <c r="I657" s="360">
        <f>IF(year=bargiri[[#This Row],[سال]],1,0)</f>
        <v>0</v>
      </c>
      <c r="J657" s="360" t="str">
        <f>VLOOKUP(bargiri[[#This Row],[شماره پیش فاکتور]],invoice[],16,0)</f>
        <v>عادی</v>
      </c>
      <c r="K657" s="252">
        <f>bargiri[[#This Row],[فی]]*bargiri[[#This Row],[میزان بارگیری شده]]</f>
        <v>2729072700</v>
      </c>
      <c r="X657" s="1"/>
      <c r="Y657" s="1"/>
      <c r="Z657" s="1"/>
    </row>
    <row r="658" spans="1:26" ht="18.600000000000001">
      <c r="A658" s="360" t="s">
        <v>981</v>
      </c>
      <c r="B658" s="360" t="s">
        <v>118</v>
      </c>
      <c r="C658" s="355" t="s">
        <v>991</v>
      </c>
      <c r="D658">
        <v>20930</v>
      </c>
      <c r="E658" s="143">
        <v>130266</v>
      </c>
      <c r="F658" s="117">
        <v>1404</v>
      </c>
      <c r="G658" s="360" t="s">
        <v>297</v>
      </c>
      <c r="H658" s="144">
        <f>bargiri[[#This Row],[میزان بارگیری شده]]*bargiri[[#This Row],[فی]]</f>
        <v>2726467380</v>
      </c>
      <c r="I658" s="360">
        <f>IF(year=bargiri[[#This Row],[سال]],1,0)</f>
        <v>0</v>
      </c>
      <c r="J658" s="360" t="str">
        <f>VLOOKUP(bargiri[[#This Row],[شماره پیش فاکتور]],invoice[],16,0)</f>
        <v>عادی</v>
      </c>
      <c r="K658" s="252">
        <f>bargiri[[#This Row],[فی]]*bargiri[[#This Row],[میزان بارگیری شده]]</f>
        <v>2726467380</v>
      </c>
      <c r="X658" s="1"/>
      <c r="Y658" s="1"/>
      <c r="Z658" s="1"/>
    </row>
    <row r="659" spans="1:26" ht="18.600000000000001">
      <c r="A659" s="360" t="s">
        <v>978</v>
      </c>
      <c r="B659" s="360" t="s">
        <v>118</v>
      </c>
      <c r="C659" s="355" t="s">
        <v>991</v>
      </c>
      <c r="D659">
        <v>20950</v>
      </c>
      <c r="E659" s="143">
        <v>130266</v>
      </c>
      <c r="F659" s="117">
        <v>1404</v>
      </c>
      <c r="G659" s="360" t="s">
        <v>297</v>
      </c>
      <c r="H659" s="144">
        <f>bargiri[[#This Row],[میزان بارگیری شده]]*bargiri[[#This Row],[فی]]</f>
        <v>2729072700</v>
      </c>
      <c r="I659" s="360">
        <f>IF(year=bargiri[[#This Row],[سال]],1,0)</f>
        <v>0</v>
      </c>
      <c r="J659" s="360" t="str">
        <f>VLOOKUP(bargiri[[#This Row],[شماره پیش فاکتور]],invoice[],16,0)</f>
        <v>عادی</v>
      </c>
      <c r="K659" s="252">
        <f>bargiri[[#This Row],[فی]]*bargiri[[#This Row],[میزان بارگیری شده]]</f>
        <v>2729072700</v>
      </c>
      <c r="X659" s="1"/>
      <c r="Y659" s="1"/>
      <c r="Z659" s="1"/>
    </row>
    <row r="660" spans="1:26" ht="18.600000000000001">
      <c r="A660" s="360" t="s">
        <v>978</v>
      </c>
      <c r="B660" s="360" t="s">
        <v>118</v>
      </c>
      <c r="C660" s="355" t="s">
        <v>991</v>
      </c>
      <c r="D660">
        <v>20970</v>
      </c>
      <c r="E660" s="143">
        <v>130266</v>
      </c>
      <c r="F660" s="117">
        <v>1404</v>
      </c>
      <c r="G660" s="360" t="s">
        <v>297</v>
      </c>
      <c r="H660" s="144">
        <f>bargiri[[#This Row],[میزان بارگیری شده]]*bargiri[[#This Row],[فی]]</f>
        <v>2731678020</v>
      </c>
      <c r="I660" s="360">
        <f>IF(year=bargiri[[#This Row],[سال]],1,0)</f>
        <v>0</v>
      </c>
      <c r="J660" s="360" t="str">
        <f>VLOOKUP(bargiri[[#This Row],[شماره پیش فاکتور]],invoice[],16,0)</f>
        <v>عادی</v>
      </c>
      <c r="K660" s="252">
        <f>bargiri[[#This Row],[فی]]*bargiri[[#This Row],[میزان بارگیری شده]]</f>
        <v>2731678020</v>
      </c>
      <c r="X660" s="1"/>
      <c r="Y660" s="1"/>
      <c r="Z660" s="1"/>
    </row>
    <row r="661" spans="1:26" ht="18.600000000000001">
      <c r="A661" s="360" t="s">
        <v>976</v>
      </c>
      <c r="B661" s="360" t="s">
        <v>118</v>
      </c>
      <c r="C661" s="355" t="s">
        <v>991</v>
      </c>
      <c r="D661">
        <v>20870</v>
      </c>
      <c r="E661" s="143">
        <v>130266</v>
      </c>
      <c r="F661" s="117">
        <v>1404</v>
      </c>
      <c r="G661" s="360" t="s">
        <v>297</v>
      </c>
      <c r="H661" s="144">
        <f>bargiri[[#This Row],[میزان بارگیری شده]]*bargiri[[#This Row],[فی]]</f>
        <v>2718651420</v>
      </c>
      <c r="I661" s="360">
        <f>IF(year=bargiri[[#This Row],[سال]],1,0)</f>
        <v>0</v>
      </c>
      <c r="J661" s="360" t="str">
        <f>VLOOKUP(bargiri[[#This Row],[شماره پیش فاکتور]],invoice[],16,0)</f>
        <v>عادی</v>
      </c>
      <c r="K661" s="252">
        <f>bargiri[[#This Row],[فی]]*bargiri[[#This Row],[میزان بارگیری شده]]</f>
        <v>2718651420</v>
      </c>
      <c r="X661" s="1"/>
      <c r="Y661" s="1"/>
      <c r="Z661" s="1"/>
    </row>
    <row r="662" spans="1:26" ht="18.600000000000001">
      <c r="A662" s="360" t="s">
        <v>976</v>
      </c>
      <c r="B662" s="360" t="s">
        <v>118</v>
      </c>
      <c r="C662" s="355" t="s">
        <v>991</v>
      </c>
      <c r="D662">
        <v>20860</v>
      </c>
      <c r="E662" s="143">
        <v>130266</v>
      </c>
      <c r="F662" s="117">
        <v>1404</v>
      </c>
      <c r="G662" s="360" t="s">
        <v>297</v>
      </c>
      <c r="H662" s="144">
        <f>bargiri[[#This Row],[میزان بارگیری شده]]*bargiri[[#This Row],[فی]]</f>
        <v>2717348760</v>
      </c>
      <c r="I662" s="360">
        <f>IF(year=bargiri[[#This Row],[سال]],1,0)</f>
        <v>0</v>
      </c>
      <c r="J662" s="360" t="str">
        <f>VLOOKUP(bargiri[[#This Row],[شماره پیش فاکتور]],invoice[],16,0)</f>
        <v>عادی</v>
      </c>
      <c r="K662" s="252">
        <f>bargiri[[#This Row],[فی]]*bargiri[[#This Row],[میزان بارگیری شده]]</f>
        <v>2717348760</v>
      </c>
      <c r="X662" s="1"/>
      <c r="Y662" s="1"/>
      <c r="Z662" s="1"/>
    </row>
    <row r="663" spans="1:26" ht="18.600000000000001">
      <c r="A663" s="360" t="s">
        <v>976</v>
      </c>
      <c r="B663" s="360" t="s">
        <v>118</v>
      </c>
      <c r="C663" s="355" t="s">
        <v>991</v>
      </c>
      <c r="D663">
        <v>20600</v>
      </c>
      <c r="E663" s="143">
        <v>130266</v>
      </c>
      <c r="F663" s="117">
        <v>1404</v>
      </c>
      <c r="G663" s="360" t="s">
        <v>297</v>
      </c>
      <c r="H663" s="144">
        <f>bargiri[[#This Row],[میزان بارگیری شده]]*bargiri[[#This Row],[فی]]</f>
        <v>2683479600</v>
      </c>
      <c r="I663" s="360">
        <f>IF(year=bargiri[[#This Row],[سال]],1,0)</f>
        <v>0</v>
      </c>
      <c r="J663" s="360" t="str">
        <f>VLOOKUP(bargiri[[#This Row],[شماره پیش فاکتور]],invoice[],16,0)</f>
        <v>عادی</v>
      </c>
      <c r="K663" s="252">
        <f>bargiri[[#This Row],[فی]]*bargiri[[#This Row],[میزان بارگیری شده]]</f>
        <v>2683479600</v>
      </c>
      <c r="X663" s="1"/>
      <c r="Y663" s="1"/>
      <c r="Z663" s="1"/>
    </row>
    <row r="664" spans="1:26" ht="18.600000000000001">
      <c r="A664" s="360" t="s">
        <v>974</v>
      </c>
      <c r="B664" s="360" t="s">
        <v>118</v>
      </c>
      <c r="C664" s="355" t="s">
        <v>991</v>
      </c>
      <c r="D664">
        <v>20920</v>
      </c>
      <c r="E664" s="143">
        <v>130266</v>
      </c>
      <c r="F664" s="117">
        <v>1404</v>
      </c>
      <c r="G664" s="360" t="s">
        <v>297</v>
      </c>
      <c r="H664" s="144">
        <f>bargiri[[#This Row],[میزان بارگیری شده]]*bargiri[[#This Row],[فی]]</f>
        <v>2725164720</v>
      </c>
      <c r="I664" s="360">
        <f>IF(year=bargiri[[#This Row],[سال]],1,0)</f>
        <v>0</v>
      </c>
      <c r="J664" s="360" t="str">
        <f>VLOOKUP(bargiri[[#This Row],[شماره پیش فاکتور]],invoice[],16,0)</f>
        <v>عادی</v>
      </c>
      <c r="K664" s="252">
        <f>bargiri[[#This Row],[فی]]*bargiri[[#This Row],[میزان بارگیری شده]]</f>
        <v>2725164720</v>
      </c>
      <c r="X664" s="1"/>
      <c r="Y664" s="1"/>
      <c r="Z664" s="1"/>
    </row>
    <row r="665" spans="1:26" ht="18.600000000000001">
      <c r="A665" s="360" t="s">
        <v>974</v>
      </c>
      <c r="B665" s="360" t="s">
        <v>118</v>
      </c>
      <c r="C665" s="355" t="s">
        <v>991</v>
      </c>
      <c r="D665">
        <v>20470</v>
      </c>
      <c r="E665" s="143">
        <v>130266</v>
      </c>
      <c r="F665" s="117">
        <v>1404</v>
      </c>
      <c r="G665" s="360" t="s">
        <v>297</v>
      </c>
      <c r="H665" s="144">
        <f>bargiri[[#This Row],[میزان بارگیری شده]]*bargiri[[#This Row],[فی]]</f>
        <v>2666545020</v>
      </c>
      <c r="I665" s="360">
        <f>IF(year=bargiri[[#This Row],[سال]],1,0)</f>
        <v>0</v>
      </c>
      <c r="J665" s="360" t="str">
        <f>VLOOKUP(bargiri[[#This Row],[شماره پیش فاکتور]],invoice[],16,0)</f>
        <v>عادی</v>
      </c>
      <c r="K665" s="252">
        <f>bargiri[[#This Row],[فی]]*bargiri[[#This Row],[میزان بارگیری شده]]</f>
        <v>2666545020</v>
      </c>
      <c r="X665" s="1"/>
      <c r="Y665" s="1"/>
      <c r="Z665" s="1"/>
    </row>
    <row r="666" spans="1:26" ht="18.600000000000001">
      <c r="A666" s="360" t="s">
        <v>974</v>
      </c>
      <c r="B666" s="360" t="s">
        <v>118</v>
      </c>
      <c r="C666" s="355" t="s">
        <v>991</v>
      </c>
      <c r="D666">
        <v>20400</v>
      </c>
      <c r="E666" s="143">
        <v>130266</v>
      </c>
      <c r="F666" s="117">
        <v>1404</v>
      </c>
      <c r="G666" s="360" t="s">
        <v>297</v>
      </c>
      <c r="H666" s="144">
        <f>bargiri[[#This Row],[میزان بارگیری شده]]*bargiri[[#This Row],[فی]]</f>
        <v>2657426400</v>
      </c>
      <c r="I666" s="360">
        <f>IF(year=bargiri[[#This Row],[سال]],1,0)</f>
        <v>0</v>
      </c>
      <c r="J666" s="360" t="str">
        <f>VLOOKUP(bargiri[[#This Row],[شماره پیش فاکتور]],invoice[],16,0)</f>
        <v>عادی</v>
      </c>
      <c r="K666" s="252">
        <f>bargiri[[#This Row],[فی]]*bargiri[[#This Row],[میزان بارگیری شده]]</f>
        <v>2657426400</v>
      </c>
      <c r="X666" s="1"/>
      <c r="Y666" s="1"/>
      <c r="Z666" s="1"/>
    </row>
    <row r="667" spans="1:26" ht="18.600000000000001">
      <c r="A667" s="360" t="s">
        <v>970</v>
      </c>
      <c r="B667" s="360" t="s">
        <v>118</v>
      </c>
      <c r="C667" s="355" t="s">
        <v>991</v>
      </c>
      <c r="D667">
        <v>20570</v>
      </c>
      <c r="E667" s="143">
        <v>130266</v>
      </c>
      <c r="F667" s="117">
        <v>1404</v>
      </c>
      <c r="G667" s="360" t="s">
        <v>297</v>
      </c>
      <c r="H667" s="144">
        <f>bargiri[[#This Row],[میزان بارگیری شده]]*bargiri[[#This Row],[فی]]</f>
        <v>2679571620</v>
      </c>
      <c r="I667" s="360">
        <f>IF(year=bargiri[[#This Row],[سال]],1,0)</f>
        <v>0</v>
      </c>
      <c r="J667" s="360" t="str">
        <f>VLOOKUP(bargiri[[#This Row],[شماره پیش فاکتور]],invoice[],16,0)</f>
        <v>عادی</v>
      </c>
      <c r="K667" s="252">
        <f>bargiri[[#This Row],[فی]]*bargiri[[#This Row],[میزان بارگیری شده]]</f>
        <v>2679571620</v>
      </c>
      <c r="X667" s="1"/>
      <c r="Y667" s="1"/>
      <c r="Z667" s="1"/>
    </row>
    <row r="668" spans="1:26" ht="18.600000000000001">
      <c r="A668" s="360" t="s">
        <v>970</v>
      </c>
      <c r="B668" s="360" t="s">
        <v>118</v>
      </c>
      <c r="C668" s="355" t="s">
        <v>991</v>
      </c>
      <c r="D668">
        <v>20590</v>
      </c>
      <c r="E668" s="143">
        <v>130266</v>
      </c>
      <c r="F668" s="117">
        <v>1404</v>
      </c>
      <c r="G668" s="360" t="s">
        <v>297</v>
      </c>
      <c r="H668" s="144">
        <f>bargiri[[#This Row],[میزان بارگیری شده]]*bargiri[[#This Row],[فی]]</f>
        <v>2682176940</v>
      </c>
      <c r="I668" s="360">
        <f>IF(year=bargiri[[#This Row],[سال]],1,0)</f>
        <v>0</v>
      </c>
      <c r="J668" s="360" t="str">
        <f>VLOOKUP(bargiri[[#This Row],[شماره پیش فاکتور]],invoice[],16,0)</f>
        <v>عادی</v>
      </c>
      <c r="K668" s="252">
        <f>bargiri[[#This Row],[فی]]*bargiri[[#This Row],[میزان بارگیری شده]]</f>
        <v>2682176940</v>
      </c>
      <c r="X668" s="1"/>
      <c r="Y668" s="1"/>
      <c r="Z668" s="1"/>
    </row>
    <row r="669" spans="1:26" ht="18.600000000000001">
      <c r="A669" s="360" t="s">
        <v>992</v>
      </c>
      <c r="B669" s="360" t="s">
        <v>118</v>
      </c>
      <c r="C669" s="355" t="s">
        <v>991</v>
      </c>
      <c r="D669">
        <v>20590</v>
      </c>
      <c r="E669" s="143">
        <v>130266</v>
      </c>
      <c r="F669" s="117">
        <v>1404</v>
      </c>
      <c r="G669" s="360" t="s">
        <v>297</v>
      </c>
      <c r="H669" s="144">
        <f>bargiri[[#This Row],[میزان بارگیری شده]]*bargiri[[#This Row],[فی]]</f>
        <v>2682176940</v>
      </c>
      <c r="I669" s="360">
        <f>IF(year=bargiri[[#This Row],[سال]],1,0)</f>
        <v>0</v>
      </c>
      <c r="J669" s="360" t="str">
        <f>VLOOKUP(bargiri[[#This Row],[شماره پیش فاکتور]],invoice[],16,0)</f>
        <v>عادی</v>
      </c>
      <c r="K669" s="252">
        <f>bargiri[[#This Row],[فی]]*bargiri[[#This Row],[میزان بارگیری شده]]</f>
        <v>2682176940</v>
      </c>
      <c r="X669" s="1"/>
      <c r="Y669" s="1"/>
      <c r="Z669" s="1"/>
    </row>
    <row r="670" spans="1:26" ht="18.600000000000001">
      <c r="A670" s="360" t="s">
        <v>992</v>
      </c>
      <c r="B670" s="360" t="s">
        <v>118</v>
      </c>
      <c r="C670" s="355" t="s">
        <v>991</v>
      </c>
      <c r="D670">
        <v>20010</v>
      </c>
      <c r="E670" s="143">
        <v>130266</v>
      </c>
      <c r="F670" s="117">
        <v>1404</v>
      </c>
      <c r="G670" s="360" t="s">
        <v>297</v>
      </c>
      <c r="H670" s="144">
        <f>bargiri[[#This Row],[میزان بارگیری شده]]*bargiri[[#This Row],[فی]]</f>
        <v>2606622660</v>
      </c>
      <c r="I670" s="360">
        <f>IF(year=bargiri[[#This Row],[سال]],1,0)</f>
        <v>0</v>
      </c>
      <c r="J670" s="360" t="str">
        <f>VLOOKUP(bargiri[[#This Row],[شماره پیش فاکتور]],invoice[],16,0)</f>
        <v>عادی</v>
      </c>
      <c r="K670" s="252">
        <f>bargiri[[#This Row],[فی]]*bargiri[[#This Row],[میزان بارگیری شده]]</f>
        <v>2606622660</v>
      </c>
      <c r="X670" s="1"/>
      <c r="Y670" s="1"/>
      <c r="Z670" s="1"/>
    </row>
    <row r="671" spans="1:26" ht="18.600000000000001">
      <c r="A671" s="360" t="s">
        <v>992</v>
      </c>
      <c r="B671" s="360" t="s">
        <v>118</v>
      </c>
      <c r="C671" s="355" t="s">
        <v>991</v>
      </c>
      <c r="D671">
        <v>20530</v>
      </c>
      <c r="E671" s="143">
        <v>130266</v>
      </c>
      <c r="F671" s="117">
        <v>1404</v>
      </c>
      <c r="G671" s="360" t="s">
        <v>297</v>
      </c>
      <c r="H671" s="144">
        <f>bargiri[[#This Row],[میزان بارگیری شده]]*bargiri[[#This Row],[فی]]</f>
        <v>2674360980</v>
      </c>
      <c r="I671" s="360">
        <f>IF(year=bargiri[[#This Row],[سال]],1,0)</f>
        <v>0</v>
      </c>
      <c r="J671" s="360" t="str">
        <f>VLOOKUP(bargiri[[#This Row],[شماره پیش فاکتور]],invoice[],16,0)</f>
        <v>عادی</v>
      </c>
      <c r="K671" s="252">
        <f>bargiri[[#This Row],[فی]]*bargiri[[#This Row],[میزان بارگیری شده]]</f>
        <v>2674360980</v>
      </c>
      <c r="X671" s="1"/>
      <c r="Y671" s="1"/>
      <c r="Z671" s="1"/>
    </row>
    <row r="672" spans="1:26" ht="18.600000000000001">
      <c r="A672" s="360" t="s">
        <v>992</v>
      </c>
      <c r="B672" s="360" t="s">
        <v>118</v>
      </c>
      <c r="C672" s="355" t="s">
        <v>991</v>
      </c>
      <c r="D672">
        <v>20820</v>
      </c>
      <c r="E672" s="143">
        <v>130266</v>
      </c>
      <c r="F672" s="117">
        <v>1404</v>
      </c>
      <c r="G672" s="360" t="s">
        <v>297</v>
      </c>
      <c r="H672" s="144">
        <f>bargiri[[#This Row],[میزان بارگیری شده]]*bargiri[[#This Row],[فی]]</f>
        <v>2712138120</v>
      </c>
      <c r="I672" s="360">
        <f>IF(year=bargiri[[#This Row],[سال]],1,0)</f>
        <v>0</v>
      </c>
      <c r="J672" s="360" t="str">
        <f>VLOOKUP(bargiri[[#This Row],[شماره پیش فاکتور]],invoice[],16,0)</f>
        <v>عادی</v>
      </c>
      <c r="K672" s="252">
        <f>bargiri[[#This Row],[فی]]*bargiri[[#This Row],[میزان بارگیری شده]]</f>
        <v>2712138120</v>
      </c>
      <c r="X672" s="1"/>
      <c r="Y672" s="1"/>
      <c r="Z672" s="1"/>
    </row>
    <row r="673" spans="1:26" ht="18.600000000000001">
      <c r="A673" s="360" t="s">
        <v>966</v>
      </c>
      <c r="B673" s="360" t="s">
        <v>118</v>
      </c>
      <c r="C673" s="355" t="s">
        <v>991</v>
      </c>
      <c r="D673">
        <v>21170</v>
      </c>
      <c r="E673" s="143">
        <v>130266</v>
      </c>
      <c r="F673" s="117">
        <v>1404</v>
      </c>
      <c r="G673" s="360" t="s">
        <v>297</v>
      </c>
      <c r="H673" s="144">
        <f>bargiri[[#This Row],[میزان بارگیری شده]]*bargiri[[#This Row],[فی]]</f>
        <v>2757731220</v>
      </c>
      <c r="I673" s="360">
        <f>IF(year=bargiri[[#This Row],[سال]],1,0)</f>
        <v>0</v>
      </c>
      <c r="J673" s="360" t="str">
        <f>VLOOKUP(bargiri[[#This Row],[شماره پیش فاکتور]],invoice[],16,0)</f>
        <v>عادی</v>
      </c>
      <c r="K673" s="252">
        <f>bargiri[[#This Row],[فی]]*bargiri[[#This Row],[میزان بارگیری شده]]</f>
        <v>2757731220</v>
      </c>
      <c r="X673" s="1"/>
      <c r="Y673" s="1"/>
      <c r="Z673" s="1"/>
    </row>
    <row r="674" spans="1:26" ht="18.600000000000001">
      <c r="A674" s="360" t="s">
        <v>993</v>
      </c>
      <c r="B674" s="360" t="s">
        <v>101</v>
      </c>
      <c r="C674" s="355" t="s">
        <v>711</v>
      </c>
      <c r="D674">
        <v>17305</v>
      </c>
      <c r="E674" s="143">
        <v>116500</v>
      </c>
      <c r="F674" s="117">
        <v>1404</v>
      </c>
      <c r="G674" s="360" t="s">
        <v>296</v>
      </c>
      <c r="H674" s="144">
        <f>bargiri[[#This Row],[میزان بارگیری شده]]*bargiri[[#This Row],[فی]]</f>
        <v>2016032500</v>
      </c>
      <c r="I674" s="360">
        <f>IF(year=bargiri[[#This Row],[سال]],1,0)</f>
        <v>0</v>
      </c>
      <c r="J674" s="360" t="str">
        <f>VLOOKUP(bargiri[[#This Row],[شماره پیش فاکتور]],invoice[],16,0)</f>
        <v>تعادلی</v>
      </c>
      <c r="K674" s="252">
        <f>bargiri[[#This Row],[فی]]*bargiri[[#This Row],[میزان بارگیری شده]]</f>
        <v>2016032500</v>
      </c>
      <c r="X674" s="1"/>
      <c r="Y674" s="1"/>
      <c r="Z674" s="1"/>
    </row>
    <row r="675" spans="1:26" ht="18.600000000000001">
      <c r="A675" s="360" t="s">
        <v>993</v>
      </c>
      <c r="B675" s="360" t="s">
        <v>101</v>
      </c>
      <c r="C675" s="355" t="s">
        <v>861</v>
      </c>
      <c r="D675">
        <v>5565</v>
      </c>
      <c r="E675" s="143">
        <v>116500</v>
      </c>
      <c r="F675" s="117">
        <v>1404</v>
      </c>
      <c r="G675" s="360" t="s">
        <v>296</v>
      </c>
      <c r="H675" s="144">
        <f>bargiri[[#This Row],[میزان بارگیری شده]]*bargiri[[#This Row],[فی]]</f>
        <v>648322500</v>
      </c>
      <c r="I675" s="360">
        <f>IF(year=bargiri[[#This Row],[سال]],1,0)</f>
        <v>0</v>
      </c>
      <c r="J675" s="360" t="str">
        <f>VLOOKUP(bargiri[[#This Row],[شماره پیش فاکتور]],invoice[],16,0)</f>
        <v>تعادلی</v>
      </c>
      <c r="K675" s="252">
        <f>bargiri[[#This Row],[فی]]*bargiri[[#This Row],[میزان بارگیری شده]]</f>
        <v>648322500</v>
      </c>
      <c r="X675" s="1"/>
      <c r="Y675" s="1"/>
      <c r="Z675" s="1"/>
    </row>
    <row r="676" spans="1:26" ht="18.600000000000001">
      <c r="A676" s="360" t="s">
        <v>966</v>
      </c>
      <c r="B676" s="360" t="s">
        <v>118</v>
      </c>
      <c r="C676" s="355" t="s">
        <v>991</v>
      </c>
      <c r="D676">
        <v>19950</v>
      </c>
      <c r="E676" s="143">
        <v>130266</v>
      </c>
      <c r="F676" s="117">
        <v>1404</v>
      </c>
      <c r="G676" s="360" t="s">
        <v>297</v>
      </c>
      <c r="H676" s="144">
        <f>bargiri[[#This Row],[میزان بارگیری شده]]*bargiri[[#This Row],[فی]]</f>
        <v>2598806700</v>
      </c>
      <c r="I676" s="360">
        <f>IF(year=bargiri[[#This Row],[سال]],1,0)</f>
        <v>0</v>
      </c>
      <c r="J676" s="360" t="str">
        <f>VLOOKUP(bargiri[[#This Row],[شماره پیش فاکتور]],invoice[],16,0)</f>
        <v>عادی</v>
      </c>
      <c r="K676" s="252">
        <f>bargiri[[#This Row],[فی]]*bargiri[[#This Row],[میزان بارگیری شده]]</f>
        <v>2598806700</v>
      </c>
      <c r="X676" s="1"/>
      <c r="Y676" s="1"/>
      <c r="Z676" s="1"/>
    </row>
    <row r="677" spans="1:26" ht="18.600000000000001">
      <c r="A677" s="360" t="s">
        <v>993</v>
      </c>
      <c r="B677" s="360" t="s">
        <v>113</v>
      </c>
      <c r="C677" s="355" t="s">
        <v>822</v>
      </c>
      <c r="D677">
        <v>22130</v>
      </c>
      <c r="E677" s="143">
        <v>105000</v>
      </c>
      <c r="F677" s="117">
        <v>1404</v>
      </c>
      <c r="G677" s="360" t="s">
        <v>296</v>
      </c>
      <c r="H677" s="144">
        <f>bargiri[[#This Row],[میزان بارگیری شده]]*bargiri[[#This Row],[فی]]</f>
        <v>2323650000</v>
      </c>
      <c r="I677" s="360">
        <f>IF(year=bargiri[[#This Row],[سال]],1,0)</f>
        <v>0</v>
      </c>
      <c r="J677" s="360" t="str">
        <f>VLOOKUP(bargiri[[#This Row],[شماره پیش فاکتور]],invoice[],16,0)</f>
        <v>عادی</v>
      </c>
      <c r="K677" s="252">
        <f>bargiri[[#This Row],[فی]]*bargiri[[#This Row],[میزان بارگیری شده]]</f>
        <v>2323650000</v>
      </c>
      <c r="X677" s="1"/>
      <c r="Y677" s="1"/>
      <c r="Z677" s="1"/>
    </row>
    <row r="678" spans="1:26" ht="18.600000000000001">
      <c r="A678" s="360" t="s">
        <v>966</v>
      </c>
      <c r="B678" s="360" t="s">
        <v>118</v>
      </c>
      <c r="C678" s="355" t="s">
        <v>991</v>
      </c>
      <c r="D678">
        <v>20190</v>
      </c>
      <c r="E678" s="143">
        <v>130266</v>
      </c>
      <c r="F678" s="117">
        <v>1404</v>
      </c>
      <c r="G678" s="360" t="s">
        <v>297</v>
      </c>
      <c r="H678" s="144">
        <f>bargiri[[#This Row],[میزان بارگیری شده]]*bargiri[[#This Row],[فی]]</f>
        <v>2630070540</v>
      </c>
      <c r="I678" s="360">
        <f>IF(year=bargiri[[#This Row],[سال]],1,0)</f>
        <v>0</v>
      </c>
      <c r="J678" s="360" t="str">
        <f>VLOOKUP(bargiri[[#This Row],[شماره پیش فاکتور]],invoice[],16,0)</f>
        <v>عادی</v>
      </c>
      <c r="K678" s="252">
        <f>bargiri[[#This Row],[فی]]*bargiri[[#This Row],[میزان بارگیری شده]]</f>
        <v>2630070540</v>
      </c>
      <c r="X678" s="1"/>
      <c r="Y678" s="1"/>
      <c r="Z678" s="1"/>
    </row>
    <row r="679" spans="1:26" ht="18.600000000000001">
      <c r="A679" s="360" t="s">
        <v>966</v>
      </c>
      <c r="B679" s="360" t="s">
        <v>118</v>
      </c>
      <c r="C679" s="355" t="s">
        <v>991</v>
      </c>
      <c r="D679">
        <v>19910</v>
      </c>
      <c r="E679" s="143">
        <v>130266</v>
      </c>
      <c r="F679" s="117">
        <v>1404</v>
      </c>
      <c r="G679" s="360" t="s">
        <v>297</v>
      </c>
      <c r="H679" s="144">
        <f>bargiri[[#This Row],[میزان بارگیری شده]]*bargiri[[#This Row],[فی]]</f>
        <v>2593596060</v>
      </c>
      <c r="I679" s="360">
        <f>IF(year=bargiri[[#This Row],[سال]],1,0)</f>
        <v>0</v>
      </c>
      <c r="J679" s="360" t="str">
        <f>VLOOKUP(bargiri[[#This Row],[شماره پیش فاکتور]],invoice[],16,0)</f>
        <v>عادی</v>
      </c>
      <c r="K679" s="252">
        <f>bargiri[[#This Row],[فی]]*bargiri[[#This Row],[میزان بارگیری شده]]</f>
        <v>2593596060</v>
      </c>
      <c r="X679" s="1"/>
      <c r="Y679" s="1"/>
      <c r="Z679" s="1"/>
    </row>
    <row r="680" spans="1:26" ht="18.600000000000001">
      <c r="A680" s="360" t="s">
        <v>993</v>
      </c>
      <c r="B680" s="360" t="s">
        <v>103</v>
      </c>
      <c r="C680" s="355" t="s">
        <v>560</v>
      </c>
      <c r="D680">
        <v>19940</v>
      </c>
      <c r="E680" s="143">
        <v>142000</v>
      </c>
      <c r="F680" s="117">
        <v>1404</v>
      </c>
      <c r="G680" s="360" t="s">
        <v>296</v>
      </c>
      <c r="H680" s="144">
        <f>bargiri[[#This Row],[میزان بارگیری شده]]*bargiri[[#This Row],[فی]]</f>
        <v>2831480000</v>
      </c>
      <c r="I680" s="360">
        <f>IF(year=bargiri[[#This Row],[سال]],1,0)</f>
        <v>0</v>
      </c>
      <c r="J680" s="360" t="str">
        <f>VLOOKUP(bargiri[[#This Row],[شماره پیش فاکتور]],invoice[],16,0)</f>
        <v>انجمن</v>
      </c>
      <c r="K680" s="252">
        <f>bargiri[[#This Row],[فی]]*bargiri[[#This Row],[میزان بارگیری شده]]</f>
        <v>2831480000</v>
      </c>
      <c r="X680" s="1"/>
      <c r="Y680" s="1"/>
      <c r="Z680" s="1"/>
    </row>
    <row r="681" spans="1:26" ht="18.600000000000001">
      <c r="A681" s="360" t="s">
        <v>993</v>
      </c>
      <c r="B681" s="360" t="s">
        <v>102</v>
      </c>
      <c r="C681" s="355" t="s">
        <v>22</v>
      </c>
      <c r="D681">
        <v>11570</v>
      </c>
      <c r="E681" s="143">
        <v>89000</v>
      </c>
      <c r="F681" s="117">
        <v>1404</v>
      </c>
      <c r="G681" s="360" t="s">
        <v>296</v>
      </c>
      <c r="H681" s="144">
        <f>bargiri[[#This Row],[میزان بارگیری شده]]*bargiri[[#This Row],[فی]]</f>
        <v>1029730000</v>
      </c>
      <c r="I681" s="360">
        <f>IF(year=bargiri[[#This Row],[سال]],1,0)</f>
        <v>0</v>
      </c>
      <c r="J681" s="360" t="str">
        <f>VLOOKUP(bargiri[[#This Row],[شماره پیش فاکتور]],invoice[],16,0)</f>
        <v>عادی</v>
      </c>
      <c r="K681" s="252">
        <f>bargiri[[#This Row],[فی]]*bargiri[[#This Row],[میزان بارگیری شده]]</f>
        <v>1029730000</v>
      </c>
      <c r="X681" s="1"/>
      <c r="Y681" s="1"/>
      <c r="Z681" s="1"/>
    </row>
    <row r="682" spans="1:26" ht="18.600000000000001">
      <c r="A682" s="360" t="s">
        <v>966</v>
      </c>
      <c r="B682" s="360" t="s">
        <v>118</v>
      </c>
      <c r="C682" s="355" t="s">
        <v>991</v>
      </c>
      <c r="D682">
        <v>20130</v>
      </c>
      <c r="E682" s="143">
        <v>130266</v>
      </c>
      <c r="F682" s="117">
        <v>1404</v>
      </c>
      <c r="G682" s="360" t="s">
        <v>297</v>
      </c>
      <c r="H682" s="144">
        <f>bargiri[[#This Row],[میزان بارگیری شده]]*bargiri[[#This Row],[فی]]</f>
        <v>2622254580</v>
      </c>
      <c r="I682" s="360">
        <f>IF(year=bargiri[[#This Row],[سال]],1,0)</f>
        <v>0</v>
      </c>
      <c r="J682" s="360" t="str">
        <f>VLOOKUP(bargiri[[#This Row],[شماره پیش فاکتور]],invoice[],16,0)</f>
        <v>عادی</v>
      </c>
      <c r="K682" s="252">
        <f>bargiri[[#This Row],[فی]]*bargiri[[#This Row],[میزان بارگیری شده]]</f>
        <v>2622254580</v>
      </c>
      <c r="X682" s="1"/>
      <c r="Y682" s="1"/>
      <c r="Z682" s="1"/>
    </row>
    <row r="683" spans="1:26" ht="18.600000000000001">
      <c r="A683" s="360" t="s">
        <v>993</v>
      </c>
      <c r="B683" s="360" t="s">
        <v>117</v>
      </c>
      <c r="C683" s="355" t="s">
        <v>1013</v>
      </c>
      <c r="D683">
        <v>20060</v>
      </c>
      <c r="E683" s="143">
        <v>120000</v>
      </c>
      <c r="F683" s="117">
        <v>1404</v>
      </c>
      <c r="G683" s="360" t="s">
        <v>296</v>
      </c>
      <c r="H683" s="144">
        <f>bargiri[[#This Row],[میزان بارگیری شده]]*bargiri[[#This Row],[فی]]</f>
        <v>2407200000</v>
      </c>
      <c r="I683" s="360">
        <f>IF(year=bargiri[[#This Row],[سال]],1,0)</f>
        <v>0</v>
      </c>
      <c r="J683" s="360" t="str">
        <f>VLOOKUP(bargiri[[#This Row],[شماره پیش فاکتور]],invoice[],16,0)</f>
        <v>عادی</v>
      </c>
      <c r="K683" s="252">
        <f>bargiri[[#This Row],[فی]]*bargiri[[#This Row],[میزان بارگیری شده]]</f>
        <v>2407200000</v>
      </c>
      <c r="X683" s="1"/>
      <c r="Y683" s="1"/>
      <c r="Z683" s="1"/>
    </row>
    <row r="684" spans="1:26" ht="18.600000000000001">
      <c r="A684" s="360" t="s">
        <v>966</v>
      </c>
      <c r="B684" s="360" t="s">
        <v>118</v>
      </c>
      <c r="C684" s="355" t="s">
        <v>948</v>
      </c>
      <c r="D684">
        <v>10850</v>
      </c>
      <c r="E684" s="143">
        <v>115372</v>
      </c>
      <c r="F684" s="117">
        <v>1404</v>
      </c>
      <c r="G684" s="360" t="s">
        <v>297</v>
      </c>
      <c r="H684" s="144">
        <f>bargiri[[#This Row],[میزان بارگیری شده]]*bargiri[[#This Row],[فی]]</f>
        <v>1251786200</v>
      </c>
      <c r="I684" s="360">
        <f>IF(year=bargiri[[#This Row],[سال]],1,0)</f>
        <v>0</v>
      </c>
      <c r="J684" s="360" t="str">
        <f>VLOOKUP(bargiri[[#This Row],[شماره پیش فاکتور]],invoice[],16,0)</f>
        <v>عادی</v>
      </c>
      <c r="K684" s="252">
        <f>bargiri[[#This Row],[فی]]*bargiri[[#This Row],[میزان بارگیری شده]]</f>
        <v>1251786200</v>
      </c>
      <c r="X684" s="1"/>
      <c r="Y684" s="1"/>
      <c r="Z684" s="1"/>
    </row>
    <row r="685" spans="1:26" ht="18.600000000000001">
      <c r="A685" s="360" t="s">
        <v>966</v>
      </c>
      <c r="B685" s="360" t="s">
        <v>118</v>
      </c>
      <c r="C685" s="355" t="s">
        <v>991</v>
      </c>
      <c r="D685">
        <v>9100</v>
      </c>
      <c r="E685" s="143">
        <v>130266</v>
      </c>
      <c r="F685" s="117">
        <v>1404</v>
      </c>
      <c r="G685" s="360" t="s">
        <v>297</v>
      </c>
      <c r="H685" s="144">
        <f>bargiri[[#This Row],[میزان بارگیری شده]]*bargiri[[#This Row],[فی]]</f>
        <v>1185420600</v>
      </c>
      <c r="I685" s="360">
        <f>IF(year=bargiri[[#This Row],[سال]],1,0)</f>
        <v>0</v>
      </c>
      <c r="J685" s="360" t="str">
        <f>VLOOKUP(bargiri[[#This Row],[شماره پیش فاکتور]],invoice[],16,0)</f>
        <v>عادی</v>
      </c>
      <c r="K685" s="252">
        <f>bargiri[[#This Row],[فی]]*bargiri[[#This Row],[میزان بارگیری شده]]</f>
        <v>1185420600</v>
      </c>
      <c r="X685" s="1"/>
      <c r="Y685" s="1"/>
      <c r="Z685" s="1"/>
    </row>
    <row r="686" spans="1:26" ht="18.600000000000001">
      <c r="A686" s="360" t="s">
        <v>993</v>
      </c>
      <c r="B686" s="360" t="s">
        <v>99</v>
      </c>
      <c r="C686" s="355" t="s">
        <v>821</v>
      </c>
      <c r="D686">
        <v>22060</v>
      </c>
      <c r="E686" s="143">
        <v>105000</v>
      </c>
      <c r="F686" s="117">
        <v>1404</v>
      </c>
      <c r="G686" s="360" t="s">
        <v>296</v>
      </c>
      <c r="H686" s="144">
        <f>bargiri[[#This Row],[میزان بارگیری شده]]*bargiri[[#This Row],[فی]]</f>
        <v>2316300000</v>
      </c>
      <c r="I686" s="360">
        <f>IF(year=bargiri[[#This Row],[سال]],1,0)</f>
        <v>0</v>
      </c>
      <c r="J686" s="360" t="str">
        <f>VLOOKUP(bargiri[[#This Row],[شماره پیش فاکتور]],invoice[],16,0)</f>
        <v>عادی</v>
      </c>
      <c r="K686" s="252">
        <f>bargiri[[#This Row],[فی]]*bargiri[[#This Row],[میزان بارگیری شده]]</f>
        <v>2316300000</v>
      </c>
      <c r="X686" s="1"/>
      <c r="Y686" s="1"/>
      <c r="Z686" s="1"/>
    </row>
    <row r="687" spans="1:26" ht="18.600000000000001">
      <c r="A687" s="360" t="s">
        <v>993</v>
      </c>
      <c r="B687" s="360" t="s">
        <v>116</v>
      </c>
      <c r="C687" s="355" t="s">
        <v>565</v>
      </c>
      <c r="D687">
        <v>20030</v>
      </c>
      <c r="E687" s="143">
        <v>142000</v>
      </c>
      <c r="F687" s="117">
        <v>1404</v>
      </c>
      <c r="G687" s="360" t="s">
        <v>296</v>
      </c>
      <c r="H687" s="144">
        <f>bargiri[[#This Row],[میزان بارگیری شده]]*bargiri[[#This Row],[فی]]</f>
        <v>2844260000</v>
      </c>
      <c r="I687" s="360">
        <f>IF(year=bargiri[[#This Row],[سال]],1,0)</f>
        <v>0</v>
      </c>
      <c r="J687" s="360" t="str">
        <f>VLOOKUP(bargiri[[#This Row],[شماره پیش فاکتور]],invoice[],16,0)</f>
        <v>انجمن</v>
      </c>
      <c r="K687" s="252">
        <f>bargiri[[#This Row],[فی]]*bargiri[[#This Row],[میزان بارگیری شده]]</f>
        <v>2844260000</v>
      </c>
      <c r="X687" s="1"/>
      <c r="Y687" s="1"/>
      <c r="Z687" s="1"/>
    </row>
    <row r="688" spans="1:26" ht="18.600000000000001">
      <c r="A688" s="360" t="s">
        <v>994</v>
      </c>
      <c r="B688" s="360" t="s">
        <v>98</v>
      </c>
      <c r="C688" s="355" t="s">
        <v>900</v>
      </c>
      <c r="D688">
        <v>23150</v>
      </c>
      <c r="E688" s="143">
        <v>116500</v>
      </c>
      <c r="F688" s="117">
        <v>1404</v>
      </c>
      <c r="G688" s="360" t="s">
        <v>296</v>
      </c>
      <c r="H688" s="144">
        <f>bargiri[[#This Row],[میزان بارگیری شده]]*bargiri[[#This Row],[فی]]</f>
        <v>2696975000</v>
      </c>
      <c r="I688" s="360">
        <f>IF(year=bargiri[[#This Row],[سال]],1,0)</f>
        <v>0</v>
      </c>
      <c r="J688" s="360" t="str">
        <f>VLOOKUP(bargiri[[#This Row],[شماره پیش فاکتور]],invoice[],16,0)</f>
        <v>تعادلی</v>
      </c>
      <c r="K688" s="252">
        <f>bargiri[[#This Row],[فی]]*bargiri[[#This Row],[میزان بارگیری شده]]</f>
        <v>2696975000</v>
      </c>
      <c r="X688" s="1"/>
      <c r="Y688" s="1"/>
      <c r="Z688" s="1"/>
    </row>
    <row r="689" spans="1:26" ht="18.600000000000001">
      <c r="A689" s="360" t="s">
        <v>990</v>
      </c>
      <c r="B689" s="360" t="s">
        <v>102</v>
      </c>
      <c r="C689" s="355" t="s">
        <v>559</v>
      </c>
      <c r="D689">
        <v>10730</v>
      </c>
      <c r="E689" s="143">
        <v>142000</v>
      </c>
      <c r="F689" s="117">
        <v>1404</v>
      </c>
      <c r="G689" s="360" t="s">
        <v>296</v>
      </c>
      <c r="H689" s="144">
        <f>bargiri[[#This Row],[میزان بارگیری شده]]*bargiri[[#This Row],[فی]]</f>
        <v>1523660000</v>
      </c>
      <c r="I689" s="360">
        <f>IF(year=bargiri[[#This Row],[سال]],1,0)</f>
        <v>0</v>
      </c>
      <c r="J689" s="360" t="str">
        <f>VLOOKUP(bargiri[[#This Row],[شماره پیش فاکتور]],invoice[],16,0)</f>
        <v>انجمن</v>
      </c>
      <c r="K689" s="252">
        <f>bargiri[[#This Row],[فی]]*bargiri[[#This Row],[میزان بارگیری شده]]</f>
        <v>1523660000</v>
      </c>
      <c r="X689" s="1"/>
      <c r="Y689" s="1"/>
      <c r="Z689" s="1"/>
    </row>
    <row r="690" spans="1:26" ht="18.600000000000001">
      <c r="A690" s="360" t="s">
        <v>980</v>
      </c>
      <c r="B690" s="360" t="s">
        <v>117</v>
      </c>
      <c r="C690" s="355" t="s">
        <v>566</v>
      </c>
      <c r="D690">
        <v>7845</v>
      </c>
      <c r="E690" s="143">
        <v>142000</v>
      </c>
      <c r="F690" s="117">
        <v>1404</v>
      </c>
      <c r="G690" s="360" t="s">
        <v>297</v>
      </c>
      <c r="H690" s="144">
        <f>bargiri[[#This Row],[میزان بارگیری شده]]*bargiri[[#This Row],[فی]]</f>
        <v>1113990000</v>
      </c>
      <c r="I690" s="360">
        <f>IF(year=bargiri[[#This Row],[سال]],1,0)</f>
        <v>0</v>
      </c>
      <c r="J690" s="360" t="str">
        <f>VLOOKUP(bargiri[[#This Row],[شماره پیش فاکتور]],invoice[],16,0)</f>
        <v>انجمن</v>
      </c>
      <c r="K690" s="252">
        <f>bargiri[[#This Row],[فی]]*bargiri[[#This Row],[میزان بارگیری شده]]</f>
        <v>1113990000</v>
      </c>
      <c r="X690" s="1"/>
      <c r="Y690" s="1"/>
      <c r="Z690" s="1"/>
    </row>
    <row r="691" spans="1:26" ht="18.600000000000001">
      <c r="A691" s="360" t="s">
        <v>980</v>
      </c>
      <c r="B691" s="360" t="s">
        <v>117</v>
      </c>
      <c r="C691" s="355" t="s">
        <v>1013</v>
      </c>
      <c r="D691">
        <v>12615</v>
      </c>
      <c r="E691" s="143">
        <v>120000</v>
      </c>
      <c r="F691" s="117">
        <v>1404</v>
      </c>
      <c r="G691" s="360" t="s">
        <v>297</v>
      </c>
      <c r="H691" s="144">
        <f>bargiri[[#This Row],[میزان بارگیری شده]]*bargiri[[#This Row],[فی]]</f>
        <v>1513800000</v>
      </c>
      <c r="I691" s="360">
        <f>IF(year=bargiri[[#This Row],[سال]],1,0)</f>
        <v>0</v>
      </c>
      <c r="J691" s="360" t="str">
        <f>VLOOKUP(bargiri[[#This Row],[شماره پیش فاکتور]],invoice[],16,0)</f>
        <v>عادی</v>
      </c>
      <c r="K691" s="252">
        <f>bargiri[[#This Row],[فی]]*bargiri[[#This Row],[میزان بارگیری شده]]</f>
        <v>1513800000</v>
      </c>
      <c r="X691" s="1"/>
      <c r="Y691" s="1"/>
      <c r="Z691" s="1"/>
    </row>
    <row r="692" spans="1:26" ht="18.600000000000001">
      <c r="A692" s="360" t="s">
        <v>980</v>
      </c>
      <c r="B692" s="360" t="s">
        <v>117</v>
      </c>
      <c r="C692" s="355" t="s">
        <v>566</v>
      </c>
      <c r="D692">
        <v>20240</v>
      </c>
      <c r="E692" s="143">
        <v>142000</v>
      </c>
      <c r="F692" s="117">
        <v>1404</v>
      </c>
      <c r="G692" s="360" t="s">
        <v>297</v>
      </c>
      <c r="H692" s="144">
        <f>bargiri[[#This Row],[میزان بارگیری شده]]*bargiri[[#This Row],[فی]]</f>
        <v>2874080000</v>
      </c>
      <c r="I692" s="360">
        <f>IF(year=bargiri[[#This Row],[سال]],1,0)</f>
        <v>0</v>
      </c>
      <c r="J692" s="360" t="str">
        <f>VLOOKUP(bargiri[[#This Row],[شماره پیش فاکتور]],invoice[],16,0)</f>
        <v>انجمن</v>
      </c>
      <c r="K692" s="252">
        <f>bargiri[[#This Row],[فی]]*bargiri[[#This Row],[میزان بارگیری شده]]</f>
        <v>2874080000</v>
      </c>
      <c r="X692" s="1"/>
      <c r="Y692" s="1"/>
      <c r="Z692" s="1"/>
    </row>
    <row r="693" spans="1:26" ht="18.600000000000001">
      <c r="A693" s="360" t="s">
        <v>988</v>
      </c>
      <c r="B693" s="360" t="s">
        <v>117</v>
      </c>
      <c r="C693" s="355" t="s">
        <v>983</v>
      </c>
      <c r="D693">
        <v>19900</v>
      </c>
      <c r="E693" s="143">
        <v>167500</v>
      </c>
      <c r="F693" s="117">
        <v>1404</v>
      </c>
      <c r="G693" s="360" t="s">
        <v>296</v>
      </c>
      <c r="H693" s="144">
        <f>bargiri[[#This Row],[میزان بارگیری شده]]*bargiri[[#This Row],[فی]]</f>
        <v>3333250000</v>
      </c>
      <c r="I693" s="360">
        <f>IF(year=bargiri[[#This Row],[سال]],1,0)</f>
        <v>0</v>
      </c>
      <c r="J693" s="360" t="str">
        <f>VLOOKUP(bargiri[[#This Row],[شماره پیش فاکتور]],invoice[],16,0)</f>
        <v>بورس</v>
      </c>
      <c r="K693" s="252">
        <f>bargiri[[#This Row],[فی]]*bargiri[[#This Row],[میزان بارگیری شده]]</f>
        <v>3333250000</v>
      </c>
      <c r="X693" s="1"/>
      <c r="Y693" s="1"/>
      <c r="Z693" s="1"/>
    </row>
    <row r="694" spans="1:26" ht="18.600000000000001">
      <c r="A694" s="360" t="s">
        <v>989</v>
      </c>
      <c r="B694" s="360" t="s">
        <v>102</v>
      </c>
      <c r="C694" s="355" t="s">
        <v>22</v>
      </c>
      <c r="D694">
        <v>10980</v>
      </c>
      <c r="E694" s="143">
        <v>89000</v>
      </c>
      <c r="F694" s="117">
        <v>1404</v>
      </c>
      <c r="G694" s="360" t="s">
        <v>297</v>
      </c>
      <c r="H694" s="144">
        <f>bargiri[[#This Row],[میزان بارگیری شده]]*bargiri[[#This Row],[فی]]</f>
        <v>977220000</v>
      </c>
      <c r="I694" s="360">
        <f>IF(year=bargiri[[#This Row],[سال]],1,0)</f>
        <v>0</v>
      </c>
      <c r="J694" s="360" t="str">
        <f>VLOOKUP(bargiri[[#This Row],[شماره پیش فاکتور]],invoice[],16,0)</f>
        <v>عادی</v>
      </c>
      <c r="K694" s="252">
        <f>bargiri[[#This Row],[فی]]*bargiri[[#This Row],[میزان بارگیری شده]]</f>
        <v>977220000</v>
      </c>
      <c r="X694" s="1"/>
      <c r="Y694" s="1"/>
      <c r="Z694" s="1"/>
    </row>
    <row r="695" spans="1:26" ht="18.600000000000001">
      <c r="A695" s="360" t="s">
        <v>989</v>
      </c>
      <c r="B695" s="360" t="s">
        <v>104</v>
      </c>
      <c r="C695" s="355" t="s">
        <v>982</v>
      </c>
      <c r="D695">
        <v>19900</v>
      </c>
      <c r="E695" s="143">
        <v>167500</v>
      </c>
      <c r="F695" s="117">
        <v>1404</v>
      </c>
      <c r="G695" s="360" t="s">
        <v>297</v>
      </c>
      <c r="H695" s="144">
        <f>bargiri[[#This Row],[میزان بارگیری شده]]*bargiri[[#This Row],[فی]]</f>
        <v>3333250000</v>
      </c>
      <c r="I695" s="360">
        <f>IF(year=bargiri[[#This Row],[سال]],1,0)</f>
        <v>0</v>
      </c>
      <c r="J695" s="360" t="str">
        <f>VLOOKUP(bargiri[[#This Row],[شماره پیش فاکتور]],invoice[],16,0)</f>
        <v>بورس</v>
      </c>
      <c r="K695" s="252">
        <f>bargiri[[#This Row],[فی]]*bargiri[[#This Row],[میزان بارگیری شده]]</f>
        <v>3333250000</v>
      </c>
      <c r="X695" s="1"/>
      <c r="Y695" s="1"/>
      <c r="Z695" s="1"/>
    </row>
    <row r="696" spans="1:26" ht="18.600000000000001">
      <c r="A696" s="360" t="s">
        <v>989</v>
      </c>
      <c r="B696" s="360" t="s">
        <v>106</v>
      </c>
      <c r="C696" s="355" t="s">
        <v>913</v>
      </c>
      <c r="D696">
        <v>20130</v>
      </c>
      <c r="E696" s="143">
        <v>125000</v>
      </c>
      <c r="F696" s="117">
        <v>1404</v>
      </c>
      <c r="G696" s="360" t="s">
        <v>297</v>
      </c>
      <c r="H696" s="144">
        <f>bargiri[[#This Row],[میزان بارگیری شده]]*bargiri[[#This Row],[فی]]</f>
        <v>2516250000</v>
      </c>
      <c r="I696" s="360">
        <f>IF(year=bargiri[[#This Row],[سال]],1,0)</f>
        <v>0</v>
      </c>
      <c r="J696" s="360" t="str">
        <f>VLOOKUP(bargiri[[#This Row],[شماره پیش فاکتور]],invoice[],16,0)</f>
        <v>عادی</v>
      </c>
      <c r="K696" s="252">
        <f>bargiri[[#This Row],[فی]]*bargiri[[#This Row],[میزان بارگیری شده]]</f>
        <v>2516250000</v>
      </c>
      <c r="X696" s="1"/>
      <c r="Y696" s="1"/>
      <c r="Z696" s="1"/>
    </row>
    <row r="697" spans="1:26" ht="18.600000000000001">
      <c r="A697" s="360" t="s">
        <v>986</v>
      </c>
      <c r="B697" s="360" t="s">
        <v>106</v>
      </c>
      <c r="C697" s="355" t="s">
        <v>913</v>
      </c>
      <c r="D697">
        <v>20000</v>
      </c>
      <c r="E697" s="143">
        <v>125000</v>
      </c>
      <c r="F697" s="117">
        <v>1404</v>
      </c>
      <c r="G697" s="360" t="s">
        <v>297</v>
      </c>
      <c r="H697" s="144">
        <f>bargiri[[#This Row],[میزان بارگیری شده]]*bargiri[[#This Row],[فی]]</f>
        <v>2500000000</v>
      </c>
      <c r="I697" s="360">
        <f>IF(year=bargiri[[#This Row],[سال]],1,0)</f>
        <v>0</v>
      </c>
      <c r="J697" s="360" t="str">
        <f>VLOOKUP(bargiri[[#This Row],[شماره پیش فاکتور]],invoice[],16,0)</f>
        <v>عادی</v>
      </c>
      <c r="K697" s="252">
        <f>bargiri[[#This Row],[فی]]*bargiri[[#This Row],[میزان بارگیری شده]]</f>
        <v>2500000000</v>
      </c>
      <c r="X697" s="1"/>
      <c r="Y697" s="1"/>
      <c r="Z697" s="1"/>
    </row>
    <row r="698" spans="1:26" ht="18.600000000000001">
      <c r="A698" s="360" t="s">
        <v>986</v>
      </c>
      <c r="B698" s="360" t="s">
        <v>125</v>
      </c>
      <c r="C698" s="355" t="s">
        <v>870</v>
      </c>
      <c r="D698">
        <v>14320</v>
      </c>
      <c r="E698" s="143">
        <v>135000</v>
      </c>
      <c r="F698" s="117">
        <v>1404</v>
      </c>
      <c r="G698" s="360" t="s">
        <v>297</v>
      </c>
      <c r="H698" s="144">
        <f>bargiri[[#This Row],[میزان بارگیری شده]]*bargiri[[#This Row],[فی]]</f>
        <v>1933200000</v>
      </c>
      <c r="I698" s="360">
        <f>IF(year=bargiri[[#This Row],[سال]],1,0)</f>
        <v>0</v>
      </c>
      <c r="J698" s="360" t="str">
        <f>VLOOKUP(bargiri[[#This Row],[شماره پیش فاکتور]],invoice[],16,0)</f>
        <v>عادی</v>
      </c>
      <c r="K698" s="252">
        <f>bargiri[[#This Row],[فی]]*bargiri[[#This Row],[میزان بارگیری شده]]</f>
        <v>1933200000</v>
      </c>
      <c r="X698" s="1"/>
      <c r="Y698" s="1"/>
      <c r="Z698" s="1"/>
    </row>
    <row r="699" spans="1:26" ht="18.600000000000001">
      <c r="A699" s="360" t="s">
        <v>986</v>
      </c>
      <c r="B699" s="360" t="s">
        <v>116</v>
      </c>
      <c r="C699" s="355" t="s">
        <v>608</v>
      </c>
      <c r="D699">
        <v>12060</v>
      </c>
      <c r="E699" s="143">
        <v>95000</v>
      </c>
      <c r="F699" s="117">
        <v>1404</v>
      </c>
      <c r="G699" s="360" t="s">
        <v>297</v>
      </c>
      <c r="H699" s="144">
        <f>bargiri[[#This Row],[میزان بارگیری شده]]*bargiri[[#This Row],[فی]]</f>
        <v>1145700000</v>
      </c>
      <c r="I699" s="360">
        <f>IF(year=bargiri[[#This Row],[سال]],1,0)</f>
        <v>0</v>
      </c>
      <c r="J699" s="360" t="str">
        <f>VLOOKUP(bargiri[[#This Row],[شماره پیش فاکتور]],invoice[],16,0)</f>
        <v>عادی</v>
      </c>
      <c r="K699" s="252">
        <f>bargiri[[#This Row],[فی]]*bargiri[[#This Row],[میزان بارگیری شده]]</f>
        <v>1145700000</v>
      </c>
      <c r="X699" s="1"/>
      <c r="Y699" s="1"/>
      <c r="Z699" s="1"/>
    </row>
    <row r="700" spans="1:26" ht="18.600000000000001">
      <c r="A700" s="360" t="s">
        <v>986</v>
      </c>
      <c r="B700" s="360" t="s">
        <v>113</v>
      </c>
      <c r="C700" s="355" t="s">
        <v>822</v>
      </c>
      <c r="D700">
        <v>19990</v>
      </c>
      <c r="E700" s="143">
        <v>105000</v>
      </c>
      <c r="F700" s="117">
        <v>1404</v>
      </c>
      <c r="G700" s="360" t="s">
        <v>297</v>
      </c>
      <c r="H700" s="144">
        <f>bargiri[[#This Row],[میزان بارگیری شده]]*bargiri[[#This Row],[فی]]</f>
        <v>2098950000</v>
      </c>
      <c r="I700" s="360">
        <f>IF(year=bargiri[[#This Row],[سال]],1,0)</f>
        <v>0</v>
      </c>
      <c r="J700" s="360" t="str">
        <f>VLOOKUP(bargiri[[#This Row],[شماره پیش فاکتور]],invoice[],16,0)</f>
        <v>عادی</v>
      </c>
      <c r="K700" s="252">
        <f>bargiri[[#This Row],[فی]]*bargiri[[#This Row],[میزان بارگیری شده]]</f>
        <v>2098950000</v>
      </c>
      <c r="X700" s="1"/>
      <c r="Y700" s="1"/>
      <c r="Z700" s="1"/>
    </row>
    <row r="701" spans="1:26" ht="18.600000000000001">
      <c r="A701" s="360" t="s">
        <v>987</v>
      </c>
      <c r="B701" s="360" t="s">
        <v>122</v>
      </c>
      <c r="C701" s="355" t="s">
        <v>568</v>
      </c>
      <c r="D701">
        <v>17130</v>
      </c>
      <c r="E701" s="143">
        <v>142000</v>
      </c>
      <c r="F701" s="117">
        <v>1404</v>
      </c>
      <c r="G701" s="360" t="s">
        <v>297</v>
      </c>
      <c r="H701" s="144">
        <f>bargiri[[#This Row],[میزان بارگیری شده]]*bargiri[[#This Row],[فی]]</f>
        <v>2432460000</v>
      </c>
      <c r="I701" s="360">
        <f>IF(year=bargiri[[#This Row],[سال]],1,0)</f>
        <v>0</v>
      </c>
      <c r="J701" s="360" t="str">
        <f>VLOOKUP(bargiri[[#This Row],[شماره پیش فاکتور]],invoice[],16,0)</f>
        <v>انجمن</v>
      </c>
      <c r="K701" s="252">
        <f>bargiri[[#This Row],[فی]]*bargiri[[#This Row],[میزان بارگیری شده]]</f>
        <v>2432460000</v>
      </c>
      <c r="X701" s="1"/>
      <c r="Y701" s="1"/>
      <c r="Z701" s="1"/>
    </row>
    <row r="702" spans="1:26" ht="18.600000000000001">
      <c r="A702" s="360" t="s">
        <v>987</v>
      </c>
      <c r="B702" s="360" t="s">
        <v>116</v>
      </c>
      <c r="C702" s="355" t="s">
        <v>926</v>
      </c>
      <c r="D702">
        <v>17990</v>
      </c>
      <c r="E702" s="143">
        <v>167500</v>
      </c>
      <c r="F702" s="117">
        <v>1404</v>
      </c>
      <c r="G702" s="360" t="s">
        <v>297</v>
      </c>
      <c r="H702" s="144">
        <f>bargiri[[#This Row],[میزان بارگیری شده]]*bargiri[[#This Row],[فی]]</f>
        <v>3013325000</v>
      </c>
      <c r="I702" s="360">
        <f>IF(year=bargiri[[#This Row],[سال]],1,0)</f>
        <v>0</v>
      </c>
      <c r="J702" s="360" t="str">
        <f>VLOOKUP(bargiri[[#This Row],[شماره پیش فاکتور]],invoice[],16,0)</f>
        <v>بورس</v>
      </c>
      <c r="K702" s="252">
        <f>bargiri[[#This Row],[فی]]*bargiri[[#This Row],[میزان بارگیری شده]]</f>
        <v>3013325000</v>
      </c>
      <c r="X702" s="1"/>
      <c r="Y702" s="1"/>
      <c r="Z702" s="1"/>
    </row>
    <row r="703" spans="1:26" ht="18.600000000000001">
      <c r="A703" s="360" t="s">
        <v>987</v>
      </c>
      <c r="B703" s="360" t="s">
        <v>102</v>
      </c>
      <c r="C703" s="355" t="s">
        <v>559</v>
      </c>
      <c r="D703">
        <v>11470</v>
      </c>
      <c r="E703" s="143">
        <v>142000</v>
      </c>
      <c r="F703" s="117">
        <v>1404</v>
      </c>
      <c r="G703" s="360" t="s">
        <v>297</v>
      </c>
      <c r="H703" s="144">
        <f>bargiri[[#This Row],[میزان بارگیری شده]]*bargiri[[#This Row],[فی]]</f>
        <v>1628740000</v>
      </c>
      <c r="I703" s="360">
        <f>IF(year=bargiri[[#This Row],[سال]],1,0)</f>
        <v>0</v>
      </c>
      <c r="J703" s="360" t="str">
        <f>VLOOKUP(bargiri[[#This Row],[شماره پیش فاکتور]],invoice[],16,0)</f>
        <v>انجمن</v>
      </c>
      <c r="K703" s="252">
        <f>bargiri[[#This Row],[فی]]*bargiri[[#This Row],[میزان بارگیری شده]]</f>
        <v>1628740000</v>
      </c>
      <c r="X703" s="1"/>
      <c r="Y703" s="1"/>
      <c r="Z703" s="1"/>
    </row>
    <row r="704" spans="1:26" ht="18.600000000000001">
      <c r="A704" s="360" t="s">
        <v>987</v>
      </c>
      <c r="B704" s="360" t="s">
        <v>116</v>
      </c>
      <c r="C704" s="355" t="s">
        <v>565</v>
      </c>
      <c r="D704">
        <v>19030</v>
      </c>
      <c r="E704" s="143">
        <v>142000</v>
      </c>
      <c r="F704" s="117">
        <v>1404</v>
      </c>
      <c r="G704" s="360" t="s">
        <v>297</v>
      </c>
      <c r="H704" s="144">
        <f>bargiri[[#This Row],[میزان بارگیری شده]]*bargiri[[#This Row],[فی]]</f>
        <v>2702260000</v>
      </c>
      <c r="I704" s="360">
        <f>IF(year=bargiri[[#This Row],[سال]],1,0)</f>
        <v>0</v>
      </c>
      <c r="J704" s="360" t="str">
        <f>VLOOKUP(bargiri[[#This Row],[شماره پیش فاکتور]],invoice[],16,0)</f>
        <v>انجمن</v>
      </c>
      <c r="K704" s="252">
        <f>bargiri[[#This Row],[فی]]*bargiri[[#This Row],[میزان بارگیری شده]]</f>
        <v>2702260000</v>
      </c>
      <c r="X704" s="1"/>
      <c r="Y704" s="1"/>
      <c r="Z704" s="1"/>
    </row>
    <row r="705" spans="1:26" ht="18.600000000000001">
      <c r="A705" s="360" t="s">
        <v>987</v>
      </c>
      <c r="B705" s="360" t="s">
        <v>99</v>
      </c>
      <c r="C705" s="355" t="s">
        <v>821</v>
      </c>
      <c r="D705">
        <v>19010</v>
      </c>
      <c r="E705" s="143">
        <v>105000</v>
      </c>
      <c r="F705" s="117">
        <v>1404</v>
      </c>
      <c r="G705" s="360" t="s">
        <v>297</v>
      </c>
      <c r="H705" s="144">
        <f>bargiri[[#This Row],[میزان بارگیری شده]]*bargiri[[#This Row],[فی]]</f>
        <v>1996050000</v>
      </c>
      <c r="I705" s="360">
        <f>IF(year=bargiri[[#This Row],[سال]],1,0)</f>
        <v>0</v>
      </c>
      <c r="J705" s="360" t="str">
        <f>VLOOKUP(bargiri[[#This Row],[شماره پیش فاکتور]],invoice[],16,0)</f>
        <v>عادی</v>
      </c>
      <c r="K705" s="252">
        <f>bargiri[[#This Row],[فی]]*bargiri[[#This Row],[میزان بارگیری شده]]</f>
        <v>1996050000</v>
      </c>
      <c r="X705" s="1"/>
      <c r="Y705" s="1"/>
      <c r="Z705" s="1"/>
    </row>
    <row r="706" spans="1:26" ht="18.600000000000001">
      <c r="A706" s="360" t="s">
        <v>981</v>
      </c>
      <c r="B706" s="360" t="s">
        <v>113</v>
      </c>
      <c r="C706" s="355" t="s">
        <v>822</v>
      </c>
      <c r="D706">
        <v>19200</v>
      </c>
      <c r="E706" s="143">
        <v>105000</v>
      </c>
      <c r="F706" s="117">
        <v>1404</v>
      </c>
      <c r="G706" s="360" t="s">
        <v>297</v>
      </c>
      <c r="H706" s="144">
        <f>bargiri[[#This Row],[میزان بارگیری شده]]*bargiri[[#This Row],[فی]]</f>
        <v>2016000000</v>
      </c>
      <c r="I706" s="360">
        <f>IF(year=bargiri[[#This Row],[سال]],1,0)</f>
        <v>0</v>
      </c>
      <c r="J706" s="360" t="str">
        <f>VLOOKUP(bargiri[[#This Row],[شماره پیش فاکتور]],invoice[],16,0)</f>
        <v>عادی</v>
      </c>
      <c r="K706" s="252">
        <f>bargiri[[#This Row],[فی]]*bargiri[[#This Row],[میزان بارگیری شده]]</f>
        <v>2016000000</v>
      </c>
      <c r="X706" s="1"/>
      <c r="Y706" s="1"/>
      <c r="Z706" s="1"/>
    </row>
    <row r="707" spans="1:26" ht="18.600000000000001">
      <c r="A707" s="360" t="s">
        <v>978</v>
      </c>
      <c r="B707" s="360" t="s">
        <v>106</v>
      </c>
      <c r="C707" s="355" t="s">
        <v>781</v>
      </c>
      <c r="D707">
        <v>7110</v>
      </c>
      <c r="E707" s="143">
        <v>111000</v>
      </c>
      <c r="F707" s="117">
        <v>1404</v>
      </c>
      <c r="G707" s="360" t="s">
        <v>297</v>
      </c>
      <c r="H707" s="144">
        <f>bargiri[[#This Row],[میزان بارگیری شده]]*bargiri[[#This Row],[فی]]</f>
        <v>789210000</v>
      </c>
      <c r="I707" s="360">
        <f>IF(year=bargiri[[#This Row],[سال]],1,0)</f>
        <v>0</v>
      </c>
      <c r="J707" s="360" t="str">
        <f>VLOOKUP(bargiri[[#This Row],[شماره پیش فاکتور]],invoice[],16,0)</f>
        <v>عادی</v>
      </c>
      <c r="K707" s="252">
        <f>bargiri[[#This Row],[فی]]*bargiri[[#This Row],[میزان بارگیری شده]]</f>
        <v>789210000</v>
      </c>
      <c r="X707" s="1"/>
      <c r="Y707" s="1"/>
      <c r="Z707" s="1"/>
    </row>
    <row r="708" spans="1:26" ht="18.600000000000001">
      <c r="A708" s="360" t="s">
        <v>978</v>
      </c>
      <c r="B708" s="360" t="s">
        <v>106</v>
      </c>
      <c r="C708" s="355" t="s">
        <v>913</v>
      </c>
      <c r="D708">
        <v>10930</v>
      </c>
      <c r="E708" s="143">
        <v>125000</v>
      </c>
      <c r="F708" s="117">
        <v>1404</v>
      </c>
      <c r="G708" s="360" t="s">
        <v>297</v>
      </c>
      <c r="H708" s="144">
        <f>bargiri[[#This Row],[میزان بارگیری شده]]*bargiri[[#This Row],[فی]]</f>
        <v>1366250000</v>
      </c>
      <c r="I708" s="360">
        <f>IF(year=bargiri[[#This Row],[سال]],1,0)</f>
        <v>0</v>
      </c>
      <c r="J708" s="360" t="str">
        <f>VLOOKUP(bargiri[[#This Row],[شماره پیش فاکتور]],invoice[],16,0)</f>
        <v>عادی</v>
      </c>
      <c r="K708" s="252">
        <f>bargiri[[#This Row],[فی]]*bargiri[[#This Row],[میزان بارگیری شده]]</f>
        <v>1366250000</v>
      </c>
      <c r="X708" s="1"/>
      <c r="Y708" s="1"/>
      <c r="Z708" s="1"/>
    </row>
    <row r="709" spans="1:26" ht="18.600000000000001">
      <c r="A709" s="360" t="s">
        <v>978</v>
      </c>
      <c r="B709" s="360" t="s">
        <v>101</v>
      </c>
      <c r="C709" s="355" t="s">
        <v>650</v>
      </c>
      <c r="D709">
        <v>17475</v>
      </c>
      <c r="E709" s="143">
        <v>116500</v>
      </c>
      <c r="F709" s="117">
        <v>1404</v>
      </c>
      <c r="G709" s="360" t="s">
        <v>297</v>
      </c>
      <c r="H709" s="144">
        <f>bargiri[[#This Row],[میزان بارگیری شده]]*bargiri[[#This Row],[فی]]</f>
        <v>2035837500</v>
      </c>
      <c r="I709" s="360">
        <f>IF(year=bargiri[[#This Row],[سال]],1,0)</f>
        <v>0</v>
      </c>
      <c r="J709" s="360" t="str">
        <f>VLOOKUP(bargiri[[#This Row],[شماره پیش فاکتور]],invoice[],16,0)</f>
        <v>تعادلی</v>
      </c>
      <c r="K709" s="252">
        <f>bargiri[[#This Row],[فی]]*bargiri[[#This Row],[میزان بارگیری شده]]</f>
        <v>2035837500</v>
      </c>
      <c r="X709" s="1"/>
      <c r="Y709" s="1"/>
      <c r="Z709" s="1"/>
    </row>
    <row r="710" spans="1:26" ht="18.600000000000001">
      <c r="A710" s="360" t="s">
        <v>978</v>
      </c>
      <c r="B710" s="360" t="s">
        <v>101</v>
      </c>
      <c r="C710" s="355" t="s">
        <v>711</v>
      </c>
      <c r="D710">
        <v>2695</v>
      </c>
      <c r="E710" s="143">
        <v>116500</v>
      </c>
      <c r="F710" s="117">
        <v>1404</v>
      </c>
      <c r="G710" s="360" t="s">
        <v>297</v>
      </c>
      <c r="H710" s="144">
        <f>bargiri[[#This Row],[میزان بارگیری شده]]*bargiri[[#This Row],[فی]]</f>
        <v>313967500</v>
      </c>
      <c r="I710" s="360">
        <f>IF(year=bargiri[[#This Row],[سال]],1,0)</f>
        <v>0</v>
      </c>
      <c r="J710" s="360" t="str">
        <f>VLOOKUP(bargiri[[#This Row],[شماره پیش فاکتور]],invoice[],16,0)</f>
        <v>تعادلی</v>
      </c>
      <c r="K710" s="252">
        <f>bargiri[[#This Row],[فی]]*bargiri[[#This Row],[میزان بارگیری شده]]</f>
        <v>313967500</v>
      </c>
      <c r="X710" s="1"/>
      <c r="Y710" s="1"/>
      <c r="Z710" s="1"/>
    </row>
    <row r="711" spans="1:26" ht="18.600000000000001">
      <c r="A711" s="360" t="s">
        <v>978</v>
      </c>
      <c r="B711" s="360" t="s">
        <v>116</v>
      </c>
      <c r="C711" s="355" t="s">
        <v>608</v>
      </c>
      <c r="D711">
        <v>17990</v>
      </c>
      <c r="E711" s="143">
        <v>95000</v>
      </c>
      <c r="F711" s="117">
        <v>1404</v>
      </c>
      <c r="G711" s="360" t="s">
        <v>297</v>
      </c>
      <c r="H711" s="144">
        <f>bargiri[[#This Row],[میزان بارگیری شده]]*bargiri[[#This Row],[فی]]</f>
        <v>1709050000</v>
      </c>
      <c r="I711" s="360">
        <f>IF(year=bargiri[[#This Row],[سال]],1,0)</f>
        <v>0</v>
      </c>
      <c r="J711" s="360" t="str">
        <f>VLOOKUP(bargiri[[#This Row],[شماره پیش فاکتور]],invoice[],16,0)</f>
        <v>عادی</v>
      </c>
      <c r="K711" s="252">
        <f>bargiri[[#This Row],[فی]]*bargiri[[#This Row],[میزان بارگیری شده]]</f>
        <v>1709050000</v>
      </c>
      <c r="X711" s="1"/>
      <c r="Y711" s="1"/>
      <c r="Z711" s="1"/>
    </row>
    <row r="712" spans="1:26" ht="18.600000000000001">
      <c r="A712" s="360" t="s">
        <v>978</v>
      </c>
      <c r="B712" s="360" t="s">
        <v>99</v>
      </c>
      <c r="C712" s="355" t="s">
        <v>821</v>
      </c>
      <c r="D712">
        <v>20060</v>
      </c>
      <c r="E712" s="143">
        <v>105000</v>
      </c>
      <c r="F712" s="117">
        <v>1404</v>
      </c>
      <c r="G712" s="360" t="s">
        <v>297</v>
      </c>
      <c r="H712" s="144">
        <f>bargiri[[#This Row],[میزان بارگیری شده]]*bargiri[[#This Row],[فی]]</f>
        <v>2106300000</v>
      </c>
      <c r="I712" s="360">
        <f>IF(year=bargiri[[#This Row],[سال]],1,0)</f>
        <v>0</v>
      </c>
      <c r="J712" s="360" t="str">
        <f>VLOOKUP(bargiri[[#This Row],[شماره پیش فاکتور]],invoice[],16,0)</f>
        <v>عادی</v>
      </c>
      <c r="K712" s="252">
        <f>bargiri[[#This Row],[فی]]*bargiri[[#This Row],[میزان بارگیری شده]]</f>
        <v>2106300000</v>
      </c>
      <c r="X712" s="1"/>
      <c r="Y712" s="1"/>
      <c r="Z712" s="1"/>
    </row>
    <row r="713" spans="1:26" ht="18.600000000000001">
      <c r="A713" s="360" t="s">
        <v>978</v>
      </c>
      <c r="B713" s="360" t="s">
        <v>106</v>
      </c>
      <c r="C713" s="355" t="s">
        <v>781</v>
      </c>
      <c r="D713">
        <v>22210</v>
      </c>
      <c r="E713" s="143">
        <v>111000</v>
      </c>
      <c r="F713" s="117">
        <v>1404</v>
      </c>
      <c r="G713" s="360" t="s">
        <v>297</v>
      </c>
      <c r="H713" s="144">
        <f>bargiri[[#This Row],[میزان بارگیری شده]]*bargiri[[#This Row],[فی]]</f>
        <v>2465310000</v>
      </c>
      <c r="I713" s="360">
        <f>IF(year=bargiri[[#This Row],[سال]],1,0)</f>
        <v>0</v>
      </c>
      <c r="J713" s="360" t="str">
        <f>VLOOKUP(bargiri[[#This Row],[شماره پیش فاکتور]],invoice[],16,0)</f>
        <v>عادی</v>
      </c>
      <c r="K713" s="252">
        <f>bargiri[[#This Row],[فی]]*bargiri[[#This Row],[میزان بارگیری شده]]</f>
        <v>2465310000</v>
      </c>
      <c r="X713" s="1"/>
      <c r="Y713" s="1"/>
      <c r="Z713" s="1"/>
    </row>
    <row r="714" spans="1:26" ht="18.600000000000001">
      <c r="A714" s="360" t="s">
        <v>971</v>
      </c>
      <c r="B714" s="360" t="s">
        <v>124</v>
      </c>
      <c r="C714" s="355" t="s">
        <v>979</v>
      </c>
      <c r="D714">
        <v>22580</v>
      </c>
      <c r="E714" s="143">
        <v>110000</v>
      </c>
      <c r="F714" s="117">
        <v>1404</v>
      </c>
      <c r="G714" s="360" t="s">
        <v>297</v>
      </c>
      <c r="H714" s="144">
        <f>bargiri[[#This Row],[میزان بارگیری شده]]*bargiri[[#This Row],[فی]]</f>
        <v>2483800000</v>
      </c>
      <c r="I714" s="360">
        <f>IF(year=bargiri[[#This Row],[سال]],1,0)</f>
        <v>0</v>
      </c>
      <c r="J714" s="360" t="str">
        <f>VLOOKUP(bargiri[[#This Row],[شماره پیش فاکتور]],invoice[],16,0)</f>
        <v>عادی</v>
      </c>
      <c r="K714" s="252">
        <f>bargiri[[#This Row],[فی]]*bargiri[[#This Row],[میزان بارگیری شده]]</f>
        <v>2483800000</v>
      </c>
      <c r="X714" s="1"/>
      <c r="Y714" s="1"/>
      <c r="Z714" s="1"/>
    </row>
    <row r="715" spans="1:26" ht="18.600000000000001">
      <c r="A715" s="360" t="s">
        <v>980</v>
      </c>
      <c r="B715" s="360" t="s">
        <v>116</v>
      </c>
      <c r="C715" s="355" t="s">
        <v>926</v>
      </c>
      <c r="D715">
        <v>17460</v>
      </c>
      <c r="E715" s="143">
        <v>167500</v>
      </c>
      <c r="F715" s="117">
        <v>1404</v>
      </c>
      <c r="G715" s="360" t="s">
        <v>297</v>
      </c>
      <c r="H715" s="144">
        <f>bargiri[[#This Row],[میزان بارگیری شده]]*bargiri[[#This Row],[فی]]</f>
        <v>2924550000</v>
      </c>
      <c r="I715" s="360">
        <f>IF(year=bargiri[[#This Row],[سال]],1,0)</f>
        <v>0</v>
      </c>
      <c r="J715" s="360" t="str">
        <f>VLOOKUP(bargiri[[#This Row],[شماره پیش فاکتور]],invoice[],16,0)</f>
        <v>بورس</v>
      </c>
      <c r="K715" s="252">
        <f>bargiri[[#This Row],[فی]]*bargiri[[#This Row],[میزان بارگیری شده]]</f>
        <v>2924550000</v>
      </c>
      <c r="X715" s="1"/>
      <c r="Y715" s="1"/>
      <c r="Z715" s="1"/>
    </row>
    <row r="716" spans="1:26" ht="18.600000000000001">
      <c r="A716" s="360" t="s">
        <v>976</v>
      </c>
      <c r="B716" s="360" t="s">
        <v>116</v>
      </c>
      <c r="C716" s="355" t="s">
        <v>565</v>
      </c>
      <c r="D716">
        <v>20740</v>
      </c>
      <c r="E716" s="143">
        <v>142000</v>
      </c>
      <c r="F716" s="117">
        <v>1404</v>
      </c>
      <c r="G716" s="360" t="s">
        <v>297</v>
      </c>
      <c r="H716" s="144">
        <f>bargiri[[#This Row],[میزان بارگیری شده]]*bargiri[[#This Row],[فی]]</f>
        <v>2945080000</v>
      </c>
      <c r="I716" s="360">
        <f>IF(year=bargiri[[#This Row],[سال]],1,0)</f>
        <v>0</v>
      </c>
      <c r="J716" s="360" t="str">
        <f>VLOOKUP(bargiri[[#This Row],[شماره پیش فاکتور]],invoice[],16,0)</f>
        <v>انجمن</v>
      </c>
      <c r="K716" s="252">
        <f>bargiri[[#This Row],[فی]]*bargiri[[#This Row],[میزان بارگیری شده]]</f>
        <v>2945080000</v>
      </c>
      <c r="X716" s="1"/>
      <c r="Y716" s="1"/>
      <c r="Z716" s="1"/>
    </row>
    <row r="717" spans="1:26" ht="18.600000000000001">
      <c r="A717" s="360" t="s">
        <v>976</v>
      </c>
      <c r="B717" s="360" t="s">
        <v>114</v>
      </c>
      <c r="C717" s="355" t="s">
        <v>905</v>
      </c>
      <c r="D717">
        <v>22570</v>
      </c>
      <c r="E717" s="143">
        <v>135000</v>
      </c>
      <c r="F717" s="117">
        <v>1404</v>
      </c>
      <c r="G717" s="360" t="s">
        <v>297</v>
      </c>
      <c r="H717" s="144">
        <f>bargiri[[#This Row],[میزان بارگیری شده]]*bargiri[[#This Row],[فی]]</f>
        <v>3046950000</v>
      </c>
      <c r="I717" s="360">
        <f>IF(year=bargiri[[#This Row],[سال]],1,0)</f>
        <v>0</v>
      </c>
      <c r="J717" s="360" t="str">
        <f>VLOOKUP(bargiri[[#This Row],[شماره پیش فاکتور]],invoice[],16,0)</f>
        <v>عادی</v>
      </c>
      <c r="K717" s="252">
        <f>bargiri[[#This Row],[فی]]*bargiri[[#This Row],[میزان بارگیری شده]]</f>
        <v>3046950000</v>
      </c>
      <c r="X717" s="1"/>
      <c r="Y717" s="1"/>
      <c r="Z717" s="1"/>
    </row>
    <row r="718" spans="1:26" ht="18.600000000000001">
      <c r="A718" s="360" t="s">
        <v>976</v>
      </c>
      <c r="B718" s="360" t="s">
        <v>116</v>
      </c>
      <c r="C718" s="355" t="s">
        <v>608</v>
      </c>
      <c r="D718">
        <v>20860</v>
      </c>
      <c r="E718" s="143">
        <v>95000</v>
      </c>
      <c r="F718" s="117">
        <v>1404</v>
      </c>
      <c r="G718" s="360" t="s">
        <v>297</v>
      </c>
      <c r="H718" s="144">
        <f>bargiri[[#This Row],[میزان بارگیری شده]]*bargiri[[#This Row],[فی]]</f>
        <v>1981700000</v>
      </c>
      <c r="I718" s="360">
        <f>IF(year=bargiri[[#This Row],[سال]],1,0)</f>
        <v>0</v>
      </c>
      <c r="J718" s="360" t="str">
        <f>VLOOKUP(bargiri[[#This Row],[شماره پیش فاکتور]],invoice[],16,0)</f>
        <v>عادی</v>
      </c>
      <c r="K718" s="252">
        <f>bargiri[[#This Row],[فی]]*bargiri[[#This Row],[میزان بارگیری شده]]</f>
        <v>1981700000</v>
      </c>
      <c r="X718" s="1"/>
      <c r="Y718" s="1"/>
      <c r="Z718" s="1"/>
    </row>
    <row r="719" spans="1:26" ht="18.600000000000001">
      <c r="A719" s="360" t="s">
        <v>977</v>
      </c>
      <c r="B719" s="360" t="s">
        <v>116</v>
      </c>
      <c r="C719" s="355" t="s">
        <v>926</v>
      </c>
      <c r="D719">
        <v>20580</v>
      </c>
      <c r="E719" s="143">
        <v>167500</v>
      </c>
      <c r="F719" s="117">
        <v>1404</v>
      </c>
      <c r="G719" s="360" t="s">
        <v>297</v>
      </c>
      <c r="H719" s="144">
        <f>bargiri[[#This Row],[میزان بارگیری شده]]*bargiri[[#This Row],[فی]]</f>
        <v>3447150000</v>
      </c>
      <c r="I719" s="360">
        <f>IF(year=bargiri[[#This Row],[سال]],1,0)</f>
        <v>0</v>
      </c>
      <c r="J719" s="360" t="str">
        <f>VLOOKUP(bargiri[[#This Row],[شماره پیش فاکتور]],invoice[],16,0)</f>
        <v>بورس</v>
      </c>
      <c r="K719" s="252">
        <f>bargiri[[#This Row],[فی]]*bargiri[[#This Row],[میزان بارگیری شده]]</f>
        <v>3447150000</v>
      </c>
      <c r="X719" s="1"/>
      <c r="Y719" s="1"/>
      <c r="Z719" s="1"/>
    </row>
    <row r="720" spans="1:26" ht="18.600000000000001">
      <c r="A720" s="360" t="s">
        <v>974</v>
      </c>
      <c r="B720" s="360" t="s">
        <v>116</v>
      </c>
      <c r="C720" s="355" t="s">
        <v>565</v>
      </c>
      <c r="D720">
        <v>20250</v>
      </c>
      <c r="E720" s="143">
        <v>142000</v>
      </c>
      <c r="F720" s="117">
        <v>1404</v>
      </c>
      <c r="G720" s="360" t="s">
        <v>297</v>
      </c>
      <c r="H720" s="144">
        <f>bargiri[[#This Row],[میزان بارگیری شده]]*bargiri[[#This Row],[فی]]</f>
        <v>2875500000</v>
      </c>
      <c r="I720" s="360">
        <f>IF(year=bargiri[[#This Row],[سال]],1,0)</f>
        <v>0</v>
      </c>
      <c r="J720" s="360" t="str">
        <f>VLOOKUP(bargiri[[#This Row],[شماره پیش فاکتور]],invoice[],16,0)</f>
        <v>انجمن</v>
      </c>
      <c r="K720" s="252">
        <f>bargiri[[#This Row],[فی]]*bargiri[[#This Row],[میزان بارگیری شده]]</f>
        <v>2875500000</v>
      </c>
      <c r="X720" s="1"/>
      <c r="Y720" s="1"/>
      <c r="Z720" s="1"/>
    </row>
    <row r="721" spans="1:26" ht="18.600000000000001">
      <c r="A721" s="360" t="s">
        <v>974</v>
      </c>
      <c r="B721" s="360" t="s">
        <v>106</v>
      </c>
      <c r="C721" s="355" t="s">
        <v>781</v>
      </c>
      <c r="D721">
        <v>22290</v>
      </c>
      <c r="E721" s="143">
        <v>111000</v>
      </c>
      <c r="F721" s="117">
        <v>1404</v>
      </c>
      <c r="G721" s="360" t="s">
        <v>297</v>
      </c>
      <c r="H721" s="144">
        <f>bargiri[[#This Row],[میزان بارگیری شده]]*bargiri[[#This Row],[فی]]</f>
        <v>2474190000</v>
      </c>
      <c r="I721" s="360">
        <f>IF(year=bargiri[[#This Row],[سال]],1,0)</f>
        <v>0</v>
      </c>
      <c r="J721" s="360" t="str">
        <f>VLOOKUP(bargiri[[#This Row],[شماره پیش فاکتور]],invoice[],16,0)</f>
        <v>عادی</v>
      </c>
      <c r="K721" s="252">
        <f>bargiri[[#This Row],[فی]]*bargiri[[#This Row],[میزان بارگیری شده]]</f>
        <v>2474190000</v>
      </c>
      <c r="X721" s="1"/>
      <c r="Y721" s="1"/>
      <c r="Z721" s="1"/>
    </row>
    <row r="722" spans="1:26" ht="18.600000000000001">
      <c r="A722" s="360" t="s">
        <v>974</v>
      </c>
      <c r="B722" s="360" t="s">
        <v>116</v>
      </c>
      <c r="C722" s="355" t="s">
        <v>608</v>
      </c>
      <c r="D722">
        <v>15110</v>
      </c>
      <c r="E722" s="143">
        <v>95000</v>
      </c>
      <c r="F722" s="117">
        <v>1404</v>
      </c>
      <c r="G722" s="360" t="s">
        <v>297</v>
      </c>
      <c r="H722" s="144">
        <f>bargiri[[#This Row],[میزان بارگیری شده]]*bargiri[[#This Row],[فی]]</f>
        <v>1435450000</v>
      </c>
      <c r="I722" s="360">
        <f>IF(year=bargiri[[#This Row],[سال]],1,0)</f>
        <v>0</v>
      </c>
      <c r="J722" s="360" t="str">
        <f>VLOOKUP(bargiri[[#This Row],[شماره پیش فاکتور]],invoice[],16,0)</f>
        <v>عادی</v>
      </c>
      <c r="K722" s="252">
        <f>bargiri[[#This Row],[فی]]*bargiri[[#This Row],[میزان بارگیری شده]]</f>
        <v>1435450000</v>
      </c>
      <c r="X722" s="1"/>
      <c r="Y722" s="1"/>
      <c r="Z722" s="1"/>
    </row>
    <row r="723" spans="1:26" ht="18.600000000000001">
      <c r="A723" s="360" t="s">
        <v>974</v>
      </c>
      <c r="B723" s="360" t="s">
        <v>113</v>
      </c>
      <c r="C723" s="355" t="s">
        <v>822</v>
      </c>
      <c r="D723">
        <v>19060</v>
      </c>
      <c r="E723" s="143">
        <v>105000</v>
      </c>
      <c r="F723" s="117">
        <v>1404</v>
      </c>
      <c r="G723" s="360" t="s">
        <v>297</v>
      </c>
      <c r="H723" s="144">
        <f>bargiri[[#This Row],[میزان بارگیری شده]]*bargiri[[#This Row],[فی]]</f>
        <v>2001300000</v>
      </c>
      <c r="I723" s="360">
        <f>IF(year=bargiri[[#This Row],[سال]],1,0)</f>
        <v>0</v>
      </c>
      <c r="J723" s="360" t="str">
        <f>VLOOKUP(bargiri[[#This Row],[شماره پیش فاکتور]],invoice[],16,0)</f>
        <v>عادی</v>
      </c>
      <c r="K723" s="252">
        <f>bargiri[[#This Row],[فی]]*bargiri[[#This Row],[میزان بارگیری شده]]</f>
        <v>2001300000</v>
      </c>
      <c r="X723" s="1"/>
      <c r="Y723" s="1"/>
      <c r="Z723" s="1"/>
    </row>
    <row r="724" spans="1:26" ht="18.600000000000001">
      <c r="A724" s="360" t="s">
        <v>974</v>
      </c>
      <c r="B724" s="360" t="s">
        <v>100</v>
      </c>
      <c r="C724" s="355" t="s">
        <v>555</v>
      </c>
      <c r="D724">
        <v>6720</v>
      </c>
      <c r="E724" s="143">
        <v>142000</v>
      </c>
      <c r="F724" s="117">
        <v>1404</v>
      </c>
      <c r="G724" s="360" t="s">
        <v>297</v>
      </c>
      <c r="H724" s="144">
        <f>bargiri[[#This Row],[میزان بارگیری شده]]*bargiri[[#This Row],[فی]]</f>
        <v>954240000</v>
      </c>
      <c r="I724" s="360">
        <f>IF(year=bargiri[[#This Row],[سال]],1,0)</f>
        <v>0</v>
      </c>
      <c r="J724" s="360" t="str">
        <f>VLOOKUP(bargiri[[#This Row],[شماره پیش فاکتور]],invoice[],16,0)</f>
        <v>انجمن</v>
      </c>
      <c r="K724" s="252">
        <f>bargiri[[#This Row],[فی]]*bargiri[[#This Row],[میزان بارگیری شده]]</f>
        <v>954240000</v>
      </c>
      <c r="X724" s="1"/>
      <c r="Y724" s="1"/>
      <c r="Z724" s="1"/>
    </row>
    <row r="725" spans="1:26" ht="18.600000000000001">
      <c r="A725" s="360" t="s">
        <v>975</v>
      </c>
      <c r="B725" s="360" t="s">
        <v>101</v>
      </c>
      <c r="C725" s="355" t="s">
        <v>558</v>
      </c>
      <c r="D725">
        <v>19415</v>
      </c>
      <c r="E725" s="143">
        <v>142000</v>
      </c>
      <c r="F725" s="117">
        <v>1404</v>
      </c>
      <c r="G725" s="360" t="s">
        <v>297</v>
      </c>
      <c r="H725" s="144">
        <f>bargiri[[#This Row],[میزان بارگیری شده]]*bargiri[[#This Row],[فی]]</f>
        <v>2756930000</v>
      </c>
      <c r="I725" s="360">
        <f>IF(year=bargiri[[#This Row],[سال]],1,0)</f>
        <v>0</v>
      </c>
      <c r="J725" s="360" t="str">
        <f>VLOOKUP(bargiri[[#This Row],[شماره پیش فاکتور]],invoice[],16,0)</f>
        <v>انجمن</v>
      </c>
      <c r="K725" s="252">
        <f>bargiri[[#This Row],[فی]]*bargiri[[#This Row],[میزان بارگیری شده]]</f>
        <v>2756930000</v>
      </c>
      <c r="X725" s="1"/>
      <c r="Y725" s="1"/>
      <c r="Z725" s="1"/>
    </row>
    <row r="726" spans="1:26" ht="18.600000000000001">
      <c r="A726" s="360" t="s">
        <v>975</v>
      </c>
      <c r="B726" s="360" t="s">
        <v>101</v>
      </c>
      <c r="C726" s="355" t="s">
        <v>960</v>
      </c>
      <c r="D726">
        <v>620</v>
      </c>
      <c r="E726" s="143">
        <v>167500</v>
      </c>
      <c r="F726" s="117">
        <v>1404</v>
      </c>
      <c r="G726" s="360" t="s">
        <v>297</v>
      </c>
      <c r="H726" s="144">
        <f>bargiri[[#This Row],[میزان بارگیری شده]]*bargiri[[#This Row],[فی]]</f>
        <v>103850000</v>
      </c>
      <c r="I726" s="360">
        <f>IF(year=bargiri[[#This Row],[سال]],1,0)</f>
        <v>0</v>
      </c>
      <c r="J726" s="360" t="str">
        <f>VLOOKUP(bargiri[[#This Row],[شماره پیش فاکتور]],invoice[],16,0)</f>
        <v>بورس</v>
      </c>
      <c r="K726" s="252">
        <f>bargiri[[#This Row],[فی]]*bargiri[[#This Row],[میزان بارگیری شده]]</f>
        <v>103850000</v>
      </c>
      <c r="X726" s="1"/>
      <c r="Y726" s="1"/>
      <c r="Z726" s="1"/>
    </row>
    <row r="727" spans="1:26" ht="18.600000000000001">
      <c r="A727" s="360" t="s">
        <v>975</v>
      </c>
      <c r="B727" s="360" t="s">
        <v>101</v>
      </c>
      <c r="C727" s="355" t="s">
        <v>650</v>
      </c>
      <c r="D727">
        <v>2525</v>
      </c>
      <c r="E727" s="143">
        <v>116500</v>
      </c>
      <c r="F727" s="117">
        <v>1404</v>
      </c>
      <c r="G727" s="360" t="s">
        <v>297</v>
      </c>
      <c r="H727" s="144">
        <f>bargiri[[#This Row],[میزان بارگیری شده]]*bargiri[[#This Row],[فی]]</f>
        <v>294162500</v>
      </c>
      <c r="I727" s="360">
        <f>IF(year=bargiri[[#This Row],[سال]],1,0)</f>
        <v>0</v>
      </c>
      <c r="J727" s="360" t="str">
        <f>VLOOKUP(bargiri[[#This Row],[شماره پیش فاکتور]],invoice[],16,0)</f>
        <v>تعادلی</v>
      </c>
      <c r="K727" s="252">
        <f>bargiri[[#This Row],[فی]]*bargiri[[#This Row],[میزان بارگیری شده]]</f>
        <v>294162500</v>
      </c>
      <c r="X727" s="1"/>
      <c r="Y727" s="1"/>
      <c r="Z727" s="1"/>
    </row>
    <row r="728" spans="1:26" ht="18.600000000000001">
      <c r="A728" s="360" t="s">
        <v>975</v>
      </c>
      <c r="B728" s="360" t="s">
        <v>114</v>
      </c>
      <c r="C728" s="355" t="s">
        <v>62</v>
      </c>
      <c r="D728">
        <v>20400</v>
      </c>
      <c r="E728" s="143">
        <v>75000</v>
      </c>
      <c r="F728" s="117">
        <v>1404</v>
      </c>
      <c r="G728" s="360" t="s">
        <v>297</v>
      </c>
      <c r="H728" s="144">
        <f>bargiri[[#This Row],[میزان بارگیری شده]]*bargiri[[#This Row],[فی]]</f>
        <v>1530000000</v>
      </c>
      <c r="I728" s="360">
        <f>IF(year=bargiri[[#This Row],[سال]],1,0)</f>
        <v>0</v>
      </c>
      <c r="J728" s="360" t="str">
        <f>VLOOKUP(bargiri[[#This Row],[شماره پیش فاکتور]],invoice[],16,0)</f>
        <v>عادی</v>
      </c>
      <c r="K728" s="252">
        <f>bargiri[[#This Row],[فی]]*bargiri[[#This Row],[میزان بارگیری شده]]</f>
        <v>1530000000</v>
      </c>
      <c r="X728" s="1"/>
      <c r="Y728" s="1"/>
      <c r="Z728" s="1"/>
    </row>
    <row r="729" spans="1:26" ht="18.600000000000001">
      <c r="A729" s="360" t="s">
        <v>975</v>
      </c>
      <c r="B729" s="360" t="s">
        <v>114</v>
      </c>
      <c r="C729" s="355" t="s">
        <v>905</v>
      </c>
      <c r="D729">
        <v>2180</v>
      </c>
      <c r="E729" s="143">
        <v>135000</v>
      </c>
      <c r="F729" s="117">
        <v>1404</v>
      </c>
      <c r="G729" s="360" t="s">
        <v>297</v>
      </c>
      <c r="H729" s="144">
        <f>bargiri[[#This Row],[میزان بارگیری شده]]*bargiri[[#This Row],[فی]]</f>
        <v>294300000</v>
      </c>
      <c r="I729" s="360">
        <f>IF(year=bargiri[[#This Row],[سال]],1,0)</f>
        <v>0</v>
      </c>
      <c r="J729" s="360" t="str">
        <f>VLOOKUP(bargiri[[#This Row],[شماره پیش فاکتور]],invoice[],16,0)</f>
        <v>عادی</v>
      </c>
      <c r="K729" s="252">
        <f>bargiri[[#This Row],[فی]]*bargiri[[#This Row],[میزان بارگیری شده]]</f>
        <v>294300000</v>
      </c>
      <c r="X729" s="1"/>
      <c r="Y729" s="1"/>
      <c r="Z729" s="1"/>
    </row>
    <row r="730" spans="1:26" ht="18.600000000000001">
      <c r="A730" s="360" t="s">
        <v>975</v>
      </c>
      <c r="B730" s="360" t="s">
        <v>109</v>
      </c>
      <c r="C730" s="355" t="s">
        <v>563</v>
      </c>
      <c r="D730">
        <v>19740</v>
      </c>
      <c r="E730" s="143">
        <v>142000</v>
      </c>
      <c r="F730" s="117">
        <v>1404</v>
      </c>
      <c r="G730" s="360" t="s">
        <v>297</v>
      </c>
      <c r="H730" s="144">
        <f>bargiri[[#This Row],[میزان بارگیری شده]]*bargiri[[#This Row],[فی]]</f>
        <v>2803080000</v>
      </c>
      <c r="I730" s="360">
        <f>IF(year=bargiri[[#This Row],[سال]],1,0)</f>
        <v>0</v>
      </c>
      <c r="J730" s="360" t="str">
        <f>VLOOKUP(bargiri[[#This Row],[شماره پیش فاکتور]],invoice[],16,0)</f>
        <v>انجمن</v>
      </c>
      <c r="K730" s="252">
        <f>bargiri[[#This Row],[فی]]*bargiri[[#This Row],[میزان بارگیری شده]]</f>
        <v>2803080000</v>
      </c>
      <c r="X730" s="1"/>
      <c r="Y730" s="1"/>
      <c r="Z730" s="1"/>
    </row>
    <row r="731" spans="1:26" ht="18.600000000000001">
      <c r="A731" s="360" t="s">
        <v>975</v>
      </c>
      <c r="B731" s="360" t="s">
        <v>104</v>
      </c>
      <c r="C731" s="355" t="s">
        <v>561</v>
      </c>
      <c r="D731">
        <v>18150</v>
      </c>
      <c r="E731" s="143">
        <v>142000</v>
      </c>
      <c r="F731" s="117">
        <v>1404</v>
      </c>
      <c r="G731" s="360" t="s">
        <v>297</v>
      </c>
      <c r="H731" s="144">
        <f>bargiri[[#This Row],[میزان بارگیری شده]]*bargiri[[#This Row],[فی]]</f>
        <v>2577300000</v>
      </c>
      <c r="I731" s="360">
        <f>IF(year=bargiri[[#This Row],[سال]],1,0)</f>
        <v>0</v>
      </c>
      <c r="J731" s="360" t="str">
        <f>VLOOKUP(bargiri[[#This Row],[شماره پیش فاکتور]],invoice[],16,0)</f>
        <v>انجمن</v>
      </c>
      <c r="K731" s="252">
        <f>bargiri[[#This Row],[فی]]*bargiri[[#This Row],[میزان بارگیری شده]]</f>
        <v>2577300000</v>
      </c>
      <c r="X731" s="1"/>
      <c r="Y731" s="1"/>
      <c r="Z731" s="1"/>
    </row>
    <row r="732" spans="1:26" ht="18.600000000000001">
      <c r="A732" s="360" t="s">
        <v>975</v>
      </c>
      <c r="B732" s="360" t="s">
        <v>113</v>
      </c>
      <c r="C732" s="355" t="s">
        <v>822</v>
      </c>
      <c r="D732">
        <v>18910</v>
      </c>
      <c r="E732" s="143">
        <v>105000</v>
      </c>
      <c r="F732" s="117">
        <v>1404</v>
      </c>
      <c r="G732" s="360" t="s">
        <v>297</v>
      </c>
      <c r="H732" s="144">
        <f>bargiri[[#This Row],[میزان بارگیری شده]]*bargiri[[#This Row],[فی]]</f>
        <v>1985550000</v>
      </c>
      <c r="I732" s="360">
        <f>IF(year=bargiri[[#This Row],[سال]],1,0)</f>
        <v>0</v>
      </c>
      <c r="J732" s="360" t="str">
        <f>VLOOKUP(bargiri[[#This Row],[شماره پیش فاکتور]],invoice[],16,0)</f>
        <v>عادی</v>
      </c>
      <c r="K732" s="252">
        <f>bargiri[[#This Row],[فی]]*bargiri[[#This Row],[میزان بارگیری شده]]</f>
        <v>1985550000</v>
      </c>
      <c r="X732" s="1"/>
      <c r="Y732" s="1"/>
      <c r="Z732" s="1"/>
    </row>
    <row r="733" spans="1:26" ht="18.600000000000001">
      <c r="A733" s="360" t="s">
        <v>970</v>
      </c>
      <c r="B733" s="360" t="s">
        <v>99</v>
      </c>
      <c r="C733" s="355" t="s">
        <v>821</v>
      </c>
      <c r="D733">
        <v>18430</v>
      </c>
      <c r="E733" s="143">
        <v>105000</v>
      </c>
      <c r="F733" s="117">
        <v>1404</v>
      </c>
      <c r="G733" s="360" t="s">
        <v>297</v>
      </c>
      <c r="H733" s="144">
        <f>bargiri[[#This Row],[میزان بارگیری شده]]*bargiri[[#This Row],[فی]]</f>
        <v>1935150000</v>
      </c>
      <c r="I733" s="360">
        <f>IF(year=bargiri[[#This Row],[سال]],1,0)</f>
        <v>0</v>
      </c>
      <c r="J733" s="360" t="str">
        <f>VLOOKUP(bargiri[[#This Row],[شماره پیش فاکتور]],invoice[],16,0)</f>
        <v>عادی</v>
      </c>
      <c r="K733" s="252">
        <f>bargiri[[#This Row],[فی]]*bargiri[[#This Row],[میزان بارگیری شده]]</f>
        <v>1935150000</v>
      </c>
      <c r="X733" s="1"/>
      <c r="Y733" s="1"/>
      <c r="Z733" s="1"/>
    </row>
    <row r="734" spans="1:26" ht="18.600000000000001">
      <c r="A734" s="360" t="s">
        <v>970</v>
      </c>
      <c r="B734" s="360" t="s">
        <v>125</v>
      </c>
      <c r="C734" s="355" t="s">
        <v>870</v>
      </c>
      <c r="D734">
        <v>14500</v>
      </c>
      <c r="E734" s="143">
        <v>135000</v>
      </c>
      <c r="F734" s="117">
        <v>1404</v>
      </c>
      <c r="G734" s="360" t="s">
        <v>297</v>
      </c>
      <c r="H734" s="144">
        <f>bargiri[[#This Row],[میزان بارگیری شده]]*bargiri[[#This Row],[فی]]</f>
        <v>1957500000</v>
      </c>
      <c r="I734" s="360">
        <f>IF(year=bargiri[[#This Row],[سال]],1,0)</f>
        <v>0</v>
      </c>
      <c r="J734" s="360" t="str">
        <f>VLOOKUP(bargiri[[#This Row],[شماره پیش فاکتور]],invoice[],16,0)</f>
        <v>عادی</v>
      </c>
      <c r="K734" s="252">
        <f>bargiri[[#This Row],[فی]]*bargiri[[#This Row],[میزان بارگیری شده]]</f>
        <v>1957500000</v>
      </c>
      <c r="X734" s="1"/>
      <c r="Y734" s="1"/>
      <c r="Z734" s="1"/>
    </row>
    <row r="735" spans="1:26" ht="18.600000000000001">
      <c r="A735" s="360" t="s">
        <v>970</v>
      </c>
      <c r="B735" s="360" t="s">
        <v>101</v>
      </c>
      <c r="C735" s="355" t="s">
        <v>953</v>
      </c>
      <c r="D735">
        <v>3440</v>
      </c>
      <c r="E735" s="143">
        <v>167500</v>
      </c>
      <c r="F735" s="117">
        <v>1404</v>
      </c>
      <c r="G735" s="360" t="s">
        <v>297</v>
      </c>
      <c r="H735" s="144">
        <f>bargiri[[#This Row],[میزان بارگیری شده]]*bargiri[[#This Row],[فی]]</f>
        <v>576200000</v>
      </c>
      <c r="I735" s="360">
        <f>IF(year=bargiri[[#This Row],[سال]],1,0)</f>
        <v>0</v>
      </c>
      <c r="J735" s="360" t="str">
        <f>VLOOKUP(bargiri[[#This Row],[شماره پیش فاکتور]],invoice[],16,0)</f>
        <v>بورس</v>
      </c>
      <c r="K735" s="252">
        <f>bargiri[[#This Row],[فی]]*bargiri[[#This Row],[میزان بارگیری شده]]</f>
        <v>576200000</v>
      </c>
      <c r="X735" s="1"/>
      <c r="Y735" s="1"/>
      <c r="Z735" s="1"/>
    </row>
    <row r="736" spans="1:26" ht="18.600000000000001">
      <c r="A736" s="360" t="s">
        <v>970</v>
      </c>
      <c r="B736" s="360" t="s">
        <v>101</v>
      </c>
      <c r="C736" s="355" t="s">
        <v>960</v>
      </c>
      <c r="D736">
        <v>19380</v>
      </c>
      <c r="E736" s="143">
        <v>167500</v>
      </c>
      <c r="F736" s="117">
        <v>1404</v>
      </c>
      <c r="G736" s="360" t="s">
        <v>297</v>
      </c>
      <c r="H736" s="144">
        <f>bargiri[[#This Row],[میزان بارگیری شده]]*bargiri[[#This Row],[فی]]</f>
        <v>3246150000</v>
      </c>
      <c r="I736" s="360">
        <f>IF(year=bargiri[[#This Row],[سال]],1,0)</f>
        <v>0</v>
      </c>
      <c r="J736" s="360" t="str">
        <f>VLOOKUP(bargiri[[#This Row],[شماره پیش فاکتور]],invoice[],16,0)</f>
        <v>بورس</v>
      </c>
      <c r="K736" s="252">
        <f>bargiri[[#This Row],[فی]]*bargiri[[#This Row],[میزان بارگیری شده]]</f>
        <v>3246150000</v>
      </c>
      <c r="X736" s="1"/>
      <c r="Y736" s="1"/>
      <c r="Z736" s="1"/>
    </row>
    <row r="737" spans="1:26" ht="18.600000000000001">
      <c r="A737" s="360" t="s">
        <v>970</v>
      </c>
      <c r="B737" s="360" t="s">
        <v>122</v>
      </c>
      <c r="C737" s="355" t="s">
        <v>568</v>
      </c>
      <c r="D737">
        <v>10350</v>
      </c>
      <c r="E737" s="143">
        <v>142000</v>
      </c>
      <c r="F737" s="117">
        <v>1404</v>
      </c>
      <c r="G737" s="360" t="s">
        <v>297</v>
      </c>
      <c r="H737" s="144">
        <f>bargiri[[#This Row],[میزان بارگیری شده]]*bargiri[[#This Row],[فی]]</f>
        <v>1469700000</v>
      </c>
      <c r="I737" s="360">
        <f>IF(year=bargiri[[#This Row],[سال]],1,0)</f>
        <v>0</v>
      </c>
      <c r="J737" s="360" t="str">
        <f>VLOOKUP(bargiri[[#This Row],[شماره پیش فاکتور]],invoice[],16,0)</f>
        <v>انجمن</v>
      </c>
      <c r="K737" s="252">
        <f>bargiri[[#This Row],[فی]]*bargiri[[#This Row],[میزان بارگیری شده]]</f>
        <v>1469700000</v>
      </c>
      <c r="X737" s="1"/>
      <c r="Y737" s="1"/>
      <c r="Z737" s="1"/>
    </row>
    <row r="738" spans="1:26" ht="18.600000000000001">
      <c r="A738" s="360" t="s">
        <v>971</v>
      </c>
      <c r="B738" s="360" t="s">
        <v>103</v>
      </c>
      <c r="C738" s="355" t="s">
        <v>560</v>
      </c>
      <c r="D738">
        <v>7130</v>
      </c>
      <c r="E738" s="143">
        <v>142000</v>
      </c>
      <c r="F738" s="117">
        <v>1404</v>
      </c>
      <c r="G738" s="360" t="s">
        <v>297</v>
      </c>
      <c r="H738" s="144">
        <f>bargiri[[#This Row],[میزان بارگیری شده]]*bargiri[[#This Row],[فی]]</f>
        <v>1012460000</v>
      </c>
      <c r="I738" s="360">
        <f>IF(year=bargiri[[#This Row],[سال]],1,0)</f>
        <v>0</v>
      </c>
      <c r="J738" s="360" t="str">
        <f>VLOOKUP(bargiri[[#This Row],[شماره پیش فاکتور]],invoice[],16,0)</f>
        <v>انجمن</v>
      </c>
      <c r="K738" s="252">
        <f>bargiri[[#This Row],[فی]]*bargiri[[#This Row],[میزان بارگیری شده]]</f>
        <v>1012460000</v>
      </c>
      <c r="X738" s="1"/>
      <c r="Y738" s="1"/>
      <c r="Z738" s="1"/>
    </row>
    <row r="739" spans="1:26" ht="18.600000000000001">
      <c r="A739" s="360" t="s">
        <v>968</v>
      </c>
      <c r="B739" s="360" t="s">
        <v>116</v>
      </c>
      <c r="C739" s="355" t="s">
        <v>926</v>
      </c>
      <c r="D739">
        <v>16280</v>
      </c>
      <c r="E739" s="143">
        <v>167500</v>
      </c>
      <c r="F739" s="117">
        <v>1404</v>
      </c>
      <c r="G739" s="360" t="s">
        <v>297</v>
      </c>
      <c r="H739" s="144">
        <f>bargiri[[#This Row],[میزان بارگیری شده]]*bargiri[[#This Row],[فی]]</f>
        <v>2726900000</v>
      </c>
      <c r="I739" s="360">
        <f>IF(year=bargiri[[#This Row],[سال]],1,0)</f>
        <v>0</v>
      </c>
      <c r="J739" s="360" t="str">
        <f>VLOOKUP(bargiri[[#This Row],[شماره پیش فاکتور]],invoice[],16,0)</f>
        <v>بورس</v>
      </c>
      <c r="K739" s="252">
        <f>bargiri[[#This Row],[فی]]*bargiri[[#This Row],[میزان بارگیری شده]]</f>
        <v>2726900000</v>
      </c>
      <c r="X739" s="1"/>
      <c r="Y739" s="1"/>
      <c r="Z739" s="1"/>
    </row>
    <row r="740" spans="1:26" ht="18.600000000000001">
      <c r="A740" s="360" t="s">
        <v>968</v>
      </c>
      <c r="B740" s="360" t="s">
        <v>100</v>
      </c>
      <c r="C740" s="355" t="s">
        <v>555</v>
      </c>
      <c r="D740">
        <v>6860</v>
      </c>
      <c r="E740" s="143">
        <v>142000</v>
      </c>
      <c r="F740" s="117">
        <v>1404</v>
      </c>
      <c r="G740" s="360" t="s">
        <v>297</v>
      </c>
      <c r="H740" s="144">
        <f>bargiri[[#This Row],[میزان بارگیری شده]]*bargiri[[#This Row],[فی]]</f>
        <v>974120000</v>
      </c>
      <c r="I740" s="360">
        <f>IF(year=bargiri[[#This Row],[سال]],1,0)</f>
        <v>0</v>
      </c>
      <c r="J740" s="360" t="str">
        <f>VLOOKUP(bargiri[[#This Row],[شماره پیش فاکتور]],invoice[],16,0)</f>
        <v>انجمن</v>
      </c>
      <c r="K740" s="252">
        <f>bargiri[[#This Row],[فی]]*bargiri[[#This Row],[میزان بارگیری شده]]</f>
        <v>974120000</v>
      </c>
      <c r="X740" s="1"/>
      <c r="Y740" s="1"/>
      <c r="Z740" s="1"/>
    </row>
    <row r="741" spans="1:26" ht="18.600000000000001">
      <c r="A741" s="360" t="s">
        <v>969</v>
      </c>
      <c r="B741" s="360" t="s">
        <v>102</v>
      </c>
      <c r="C741" s="355" t="s">
        <v>22</v>
      </c>
      <c r="D741">
        <v>11540</v>
      </c>
      <c r="E741" s="143">
        <v>89000</v>
      </c>
      <c r="F741" s="117">
        <v>1404</v>
      </c>
      <c r="G741" s="360" t="s">
        <v>297</v>
      </c>
      <c r="H741" s="144">
        <f>bargiri[[#This Row],[میزان بارگیری شده]]*bargiri[[#This Row],[فی]]</f>
        <v>1027060000</v>
      </c>
      <c r="I741" s="360">
        <f>IF(year=bargiri[[#This Row],[سال]],1,0)</f>
        <v>0</v>
      </c>
      <c r="J741" s="360" t="str">
        <f>VLOOKUP(bargiri[[#This Row],[شماره پیش فاکتور]],invoice[],16,0)</f>
        <v>عادی</v>
      </c>
      <c r="K741" s="252">
        <f>bargiri[[#This Row],[فی]]*bargiri[[#This Row],[میزان بارگیری شده]]</f>
        <v>1027060000</v>
      </c>
      <c r="X741" s="1"/>
      <c r="Y741" s="1"/>
      <c r="Z741" s="1"/>
    </row>
    <row r="742" spans="1:26" ht="18.600000000000001">
      <c r="A742" s="360" t="s">
        <v>969</v>
      </c>
      <c r="B742" s="360" t="s">
        <v>117</v>
      </c>
      <c r="C742" s="355" t="s">
        <v>566</v>
      </c>
      <c r="E742" s="143">
        <v>0</v>
      </c>
      <c r="F742" s="117">
        <v>1404</v>
      </c>
      <c r="G742" s="360" t="s">
        <v>297</v>
      </c>
      <c r="H742" s="144">
        <f>bargiri[[#This Row],[میزان بارگیری شده]]*bargiri[[#This Row],[فی]]</f>
        <v>0</v>
      </c>
      <c r="I742" s="360">
        <f>IF(year=bargiri[[#This Row],[سال]],1,0)</f>
        <v>0</v>
      </c>
      <c r="J742" s="360" t="str">
        <f>VLOOKUP(bargiri[[#This Row],[شماره پیش فاکتور]],invoice[],16,0)</f>
        <v>انجمن</v>
      </c>
      <c r="K742" s="252">
        <f>bargiri[[#This Row],[فی]]*bargiri[[#This Row],[میزان بارگیری شده]]</f>
        <v>0</v>
      </c>
      <c r="X742" s="1"/>
      <c r="Y742" s="1"/>
      <c r="Z742" s="1"/>
    </row>
    <row r="743" spans="1:26" ht="18.600000000000001">
      <c r="A743" s="360" t="s">
        <v>969</v>
      </c>
      <c r="B743" s="360" t="s">
        <v>121</v>
      </c>
      <c r="C743" s="355" t="s">
        <v>567</v>
      </c>
      <c r="D743">
        <v>18830</v>
      </c>
      <c r="E743" s="143">
        <v>142000</v>
      </c>
      <c r="F743" s="117">
        <v>1404</v>
      </c>
      <c r="G743" s="360" t="s">
        <v>297</v>
      </c>
      <c r="H743" s="144">
        <f>bargiri[[#This Row],[میزان بارگیری شده]]*bargiri[[#This Row],[فی]]</f>
        <v>2673860000</v>
      </c>
      <c r="I743" s="360">
        <f>IF(year=bargiri[[#This Row],[سال]],1,0)</f>
        <v>0</v>
      </c>
      <c r="J743" s="360" t="str">
        <f>VLOOKUP(bargiri[[#This Row],[شماره پیش فاکتور]],invoice[],16,0)</f>
        <v>انجمن</v>
      </c>
      <c r="K743" s="252">
        <f>bargiri[[#This Row],[فی]]*bargiri[[#This Row],[میزان بارگیری شده]]</f>
        <v>2673860000</v>
      </c>
      <c r="X743" s="1"/>
      <c r="Y743" s="1"/>
      <c r="Z743" s="1"/>
    </row>
    <row r="744" spans="1:26" ht="18.600000000000001">
      <c r="A744" s="360" t="s">
        <v>966</v>
      </c>
      <c r="B744" s="360" t="s">
        <v>113</v>
      </c>
      <c r="C744" s="355" t="s">
        <v>822</v>
      </c>
      <c r="D744">
        <v>18410</v>
      </c>
      <c r="E744" s="143">
        <v>105000</v>
      </c>
      <c r="F744" s="117">
        <v>1404</v>
      </c>
      <c r="G744" s="360" t="s">
        <v>297</v>
      </c>
      <c r="H744" s="144">
        <f>bargiri[[#This Row],[میزان بارگیری شده]]*bargiri[[#This Row],[فی]]</f>
        <v>1933050000</v>
      </c>
      <c r="I744" s="360">
        <f>IF(year=bargiri[[#This Row],[سال]],1,0)</f>
        <v>0</v>
      </c>
      <c r="J744" s="360" t="str">
        <f>VLOOKUP(bargiri[[#This Row],[شماره پیش فاکتور]],invoice[],16,0)</f>
        <v>عادی</v>
      </c>
      <c r="K744" s="252">
        <f>bargiri[[#This Row],[فی]]*bargiri[[#This Row],[میزان بارگیری شده]]</f>
        <v>1933050000</v>
      </c>
      <c r="X744" s="1"/>
      <c r="Y744" s="1"/>
      <c r="Z744" s="1"/>
    </row>
    <row r="745" spans="1:26" ht="18.600000000000001">
      <c r="A745" s="360" t="s">
        <v>966</v>
      </c>
      <c r="B745" s="360" t="s">
        <v>116</v>
      </c>
      <c r="C745" s="355" t="s">
        <v>608</v>
      </c>
      <c r="D745">
        <v>5360</v>
      </c>
      <c r="E745" s="143">
        <v>95000</v>
      </c>
      <c r="F745" s="117">
        <v>1404</v>
      </c>
      <c r="G745" s="360" t="s">
        <v>297</v>
      </c>
      <c r="H745" s="144">
        <f>bargiri[[#This Row],[میزان بارگیری شده]]*bargiri[[#This Row],[فی]]</f>
        <v>509200000</v>
      </c>
      <c r="I745" s="360">
        <f>IF(year=bargiri[[#This Row],[سال]],1,0)</f>
        <v>0</v>
      </c>
      <c r="J745" s="360" t="str">
        <f>VLOOKUP(bargiri[[#This Row],[شماره پیش فاکتور]],invoice[],16,0)</f>
        <v>عادی</v>
      </c>
      <c r="K745" s="252">
        <f>bargiri[[#This Row],[فی]]*bargiri[[#This Row],[میزان بارگیری شده]]</f>
        <v>509200000</v>
      </c>
      <c r="X745" s="1"/>
      <c r="Y745" s="1"/>
      <c r="Z745" s="1"/>
    </row>
    <row r="746" spans="1:26" ht="18.600000000000001">
      <c r="A746" s="360" t="s">
        <v>966</v>
      </c>
      <c r="B746" s="360" t="s">
        <v>106</v>
      </c>
      <c r="C746" s="355" t="s">
        <v>781</v>
      </c>
      <c r="D746">
        <v>4160</v>
      </c>
      <c r="E746" s="143">
        <v>111000</v>
      </c>
      <c r="F746" s="117">
        <v>1404</v>
      </c>
      <c r="G746" s="360" t="s">
        <v>297</v>
      </c>
      <c r="H746" s="144">
        <f>bargiri[[#This Row],[میزان بارگیری شده]]*bargiri[[#This Row],[فی]]</f>
        <v>461760000</v>
      </c>
      <c r="I746" s="360">
        <f>IF(year=bargiri[[#This Row],[سال]],1,0)</f>
        <v>0</v>
      </c>
      <c r="J746" s="360" t="str">
        <f>VLOOKUP(bargiri[[#This Row],[شماره پیش فاکتور]],invoice[],16,0)</f>
        <v>عادی</v>
      </c>
      <c r="K746" s="252">
        <f>bargiri[[#This Row],[فی]]*bargiri[[#This Row],[میزان بارگیری شده]]</f>
        <v>461760000</v>
      </c>
      <c r="X746" s="1"/>
      <c r="Y746" s="1"/>
      <c r="Z746" s="1"/>
    </row>
    <row r="747" spans="1:26" ht="18.600000000000001">
      <c r="A747" s="360" t="s">
        <v>966</v>
      </c>
      <c r="B747" s="360" t="s">
        <v>99</v>
      </c>
      <c r="C747" s="355" t="s">
        <v>821</v>
      </c>
      <c r="D747">
        <v>19430</v>
      </c>
      <c r="E747" s="143">
        <v>105000</v>
      </c>
      <c r="F747" s="117">
        <v>1404</v>
      </c>
      <c r="G747" s="360" t="s">
        <v>297</v>
      </c>
      <c r="H747" s="144">
        <f>bargiri[[#This Row],[میزان بارگیری شده]]*bargiri[[#This Row],[فی]]</f>
        <v>2040150000</v>
      </c>
      <c r="I747" s="360">
        <f>IF(year=bargiri[[#This Row],[سال]],1,0)</f>
        <v>0</v>
      </c>
      <c r="J747" s="360" t="str">
        <f>VLOOKUP(bargiri[[#This Row],[شماره پیش فاکتور]],invoice[],16,0)</f>
        <v>عادی</v>
      </c>
      <c r="K747" s="252">
        <f>bargiri[[#This Row],[فی]]*bargiri[[#This Row],[میزان بارگیری شده]]</f>
        <v>2040150000</v>
      </c>
      <c r="X747" s="1"/>
      <c r="Y747" s="1"/>
      <c r="Z747" s="1"/>
    </row>
    <row r="748" spans="1:26" ht="18.600000000000001">
      <c r="A748" s="360" t="s">
        <v>967</v>
      </c>
      <c r="B748" s="360" t="s">
        <v>106</v>
      </c>
      <c r="C748" s="355" t="s">
        <v>781</v>
      </c>
      <c r="D748">
        <v>5640</v>
      </c>
      <c r="E748" s="143">
        <v>111000</v>
      </c>
      <c r="F748" s="117">
        <v>1404</v>
      </c>
      <c r="G748" s="360" t="s">
        <v>297</v>
      </c>
      <c r="H748" s="144">
        <f>bargiri[[#This Row],[میزان بارگیری شده]]*bargiri[[#This Row],[فی]]</f>
        <v>626040000</v>
      </c>
      <c r="I748" s="360">
        <f>IF(year=bargiri[[#This Row],[سال]],1,0)</f>
        <v>0</v>
      </c>
      <c r="J748" s="360" t="str">
        <f>VLOOKUP(bargiri[[#This Row],[شماره پیش فاکتور]],invoice[],16,0)</f>
        <v>عادی</v>
      </c>
      <c r="K748" s="252">
        <f>bargiri[[#This Row],[فی]]*bargiri[[#This Row],[میزان بارگیری شده]]</f>
        <v>626040000</v>
      </c>
      <c r="X748" s="1"/>
      <c r="Y748" s="1"/>
      <c r="Z748" s="1"/>
    </row>
    <row r="749" spans="1:26" ht="18.600000000000001">
      <c r="A749" s="360" t="s">
        <v>967</v>
      </c>
      <c r="B749" s="360" t="s">
        <v>103</v>
      </c>
      <c r="C749" s="355" t="s">
        <v>560</v>
      </c>
      <c r="D749">
        <v>7110</v>
      </c>
      <c r="E749" s="143">
        <v>142000</v>
      </c>
      <c r="F749" s="117">
        <v>1404</v>
      </c>
      <c r="G749" s="360" t="s">
        <v>297</v>
      </c>
      <c r="H749" s="144">
        <f>bargiri[[#This Row],[میزان بارگیری شده]]*bargiri[[#This Row],[فی]]</f>
        <v>1009620000</v>
      </c>
      <c r="I749" s="360">
        <f>IF(year=bargiri[[#This Row],[سال]],1,0)</f>
        <v>0</v>
      </c>
      <c r="J749" s="360" t="str">
        <f>VLOOKUP(bargiri[[#This Row],[شماره پیش فاکتور]],invoice[],16,0)</f>
        <v>انجمن</v>
      </c>
      <c r="K749" s="252">
        <f>bargiri[[#This Row],[فی]]*bargiri[[#This Row],[میزان بارگیری شده]]</f>
        <v>1009620000</v>
      </c>
      <c r="X749" s="1"/>
      <c r="Y749" s="1"/>
      <c r="Z749" s="1"/>
    </row>
    <row r="750" spans="1:26" ht="18.600000000000001">
      <c r="A750" s="360" t="s">
        <v>967</v>
      </c>
      <c r="B750" s="360" t="s">
        <v>116</v>
      </c>
      <c r="C750" s="355" t="s">
        <v>565</v>
      </c>
      <c r="D750">
        <v>16080</v>
      </c>
      <c r="E750" s="143">
        <v>142000</v>
      </c>
      <c r="F750" s="117">
        <v>1404</v>
      </c>
      <c r="G750" s="360" t="s">
        <v>297</v>
      </c>
      <c r="H750" s="144">
        <f>bargiri[[#This Row],[میزان بارگیری شده]]*bargiri[[#This Row],[فی]]</f>
        <v>2283360000</v>
      </c>
      <c r="I750" s="360">
        <f>IF(year=bargiri[[#This Row],[سال]],1,0)</f>
        <v>0</v>
      </c>
      <c r="J750" s="360" t="str">
        <f>VLOOKUP(bargiri[[#This Row],[شماره پیش فاکتور]],invoice[],16,0)</f>
        <v>انجمن</v>
      </c>
      <c r="K750" s="252">
        <f>bargiri[[#This Row],[فی]]*bargiri[[#This Row],[میزان بارگیری شده]]</f>
        <v>2283360000</v>
      </c>
      <c r="X750" s="1"/>
      <c r="Y750" s="1"/>
      <c r="Z750" s="1"/>
    </row>
    <row r="751" spans="1:26" ht="18.600000000000001">
      <c r="A751" s="360" t="s">
        <v>967</v>
      </c>
      <c r="B751" s="360" t="s">
        <v>106</v>
      </c>
      <c r="C751" s="355" t="s">
        <v>781</v>
      </c>
      <c r="D751">
        <v>5880</v>
      </c>
      <c r="E751" s="143">
        <v>111000</v>
      </c>
      <c r="F751" s="117">
        <v>1404</v>
      </c>
      <c r="G751" s="360" t="s">
        <v>297</v>
      </c>
      <c r="H751" s="144">
        <f>bargiri[[#This Row],[میزان بارگیری شده]]*bargiri[[#This Row],[فی]]</f>
        <v>652680000</v>
      </c>
      <c r="I751" s="360">
        <f>IF(year=bargiri[[#This Row],[سال]],1,0)</f>
        <v>0</v>
      </c>
      <c r="J751" s="360" t="str">
        <f>VLOOKUP(bargiri[[#This Row],[شماره پیش فاکتور]],invoice[],16,0)</f>
        <v>عادی</v>
      </c>
      <c r="K751" s="252">
        <f>bargiri[[#This Row],[فی]]*bargiri[[#This Row],[میزان بارگیری شده]]</f>
        <v>652680000</v>
      </c>
      <c r="X751" s="1"/>
      <c r="Y751" s="1"/>
      <c r="Z751" s="1"/>
    </row>
    <row r="752" spans="1:26" ht="18.600000000000001">
      <c r="A752" s="360" t="s">
        <v>967</v>
      </c>
      <c r="B752" s="360" t="s">
        <v>104</v>
      </c>
      <c r="C752" s="355" t="s">
        <v>941</v>
      </c>
      <c r="D752">
        <v>4590</v>
      </c>
      <c r="E752" s="143">
        <v>167500</v>
      </c>
      <c r="F752" s="117">
        <v>1404</v>
      </c>
      <c r="G752" s="360" t="s">
        <v>297</v>
      </c>
      <c r="H752" s="144">
        <f>bargiri[[#This Row],[میزان بارگیری شده]]*bargiri[[#This Row],[فی]]</f>
        <v>768825000</v>
      </c>
      <c r="I752" s="360">
        <f>IF(year=bargiri[[#This Row],[سال]],1,0)</f>
        <v>0</v>
      </c>
      <c r="J752" s="360" t="str">
        <f>VLOOKUP(bargiri[[#This Row],[شماره پیش فاکتور]],invoice[],16,0)</f>
        <v>بورس</v>
      </c>
      <c r="K752" s="252">
        <f>bargiri[[#This Row],[فی]]*bargiri[[#This Row],[میزان بارگیری شده]]</f>
        <v>768825000</v>
      </c>
      <c r="X752" s="1"/>
      <c r="Y752" s="1"/>
      <c r="Z752" s="1"/>
    </row>
    <row r="753" spans="1:26" ht="18.600000000000001">
      <c r="A753" s="360" t="s">
        <v>967</v>
      </c>
      <c r="B753" s="360" t="s">
        <v>104</v>
      </c>
      <c r="C753" s="355" t="s">
        <v>643</v>
      </c>
      <c r="D753">
        <v>11180</v>
      </c>
      <c r="E753" s="143">
        <v>83000</v>
      </c>
      <c r="F753" s="117">
        <v>1404</v>
      </c>
      <c r="G753" s="360" t="s">
        <v>297</v>
      </c>
      <c r="H753" s="144">
        <f>bargiri[[#This Row],[میزان بارگیری شده]]*bargiri[[#This Row],[فی]]</f>
        <v>927940000</v>
      </c>
      <c r="I753" s="360">
        <f>IF(year=bargiri[[#This Row],[سال]],1,0)</f>
        <v>0</v>
      </c>
      <c r="J753" s="360" t="str">
        <f>VLOOKUP(bargiri[[#This Row],[شماره پیش فاکتور]],invoice[],16,0)</f>
        <v>تعادلی</v>
      </c>
      <c r="K753" s="252">
        <f>bargiri[[#This Row],[فی]]*bargiri[[#This Row],[میزان بارگیری شده]]</f>
        <v>927940000</v>
      </c>
      <c r="X753" s="1"/>
      <c r="Y753" s="1"/>
      <c r="Z753" s="1"/>
    </row>
    <row r="754" spans="1:26" ht="18.600000000000001">
      <c r="A754" s="360" t="s">
        <v>967</v>
      </c>
      <c r="B754" s="360" t="s">
        <v>104</v>
      </c>
      <c r="C754" s="355" t="s">
        <v>561</v>
      </c>
      <c r="D754">
        <v>2470</v>
      </c>
      <c r="E754" s="143">
        <v>142000</v>
      </c>
      <c r="F754" s="117">
        <v>1404</v>
      </c>
      <c r="G754" s="360" t="s">
        <v>297</v>
      </c>
      <c r="H754" s="144">
        <f>bargiri[[#This Row],[میزان بارگیری شده]]*bargiri[[#This Row],[فی]]</f>
        <v>350740000</v>
      </c>
      <c r="I754" s="360">
        <f>IF(year=bargiri[[#This Row],[سال]],1,0)</f>
        <v>0</v>
      </c>
      <c r="J754" s="360" t="str">
        <f>VLOOKUP(bargiri[[#This Row],[شماره پیش فاکتور]],invoice[],16,0)</f>
        <v>انجمن</v>
      </c>
      <c r="K754" s="252">
        <f>bargiri[[#This Row],[فی]]*bargiri[[#This Row],[میزان بارگیری شده]]</f>
        <v>350740000</v>
      </c>
      <c r="X754" s="1"/>
      <c r="Y754" s="1"/>
      <c r="Z754" s="1"/>
    </row>
    <row r="755" spans="1:26" ht="18.600000000000001">
      <c r="A755" s="360" t="s">
        <v>964</v>
      </c>
      <c r="B755" s="360" t="s">
        <v>122</v>
      </c>
      <c r="C755" s="355" t="s">
        <v>568</v>
      </c>
      <c r="D755">
        <v>19160</v>
      </c>
      <c r="E755" s="143">
        <v>142000</v>
      </c>
      <c r="F755" s="117">
        <v>1404</v>
      </c>
      <c r="G755" s="360" t="s">
        <v>297</v>
      </c>
      <c r="H755" s="144">
        <f>bargiri[[#This Row],[میزان بارگیری شده]]*bargiri[[#This Row],[فی]]</f>
        <v>2720720000</v>
      </c>
      <c r="I755" s="360">
        <f>IF(year=bargiri[[#This Row],[سال]],1,0)</f>
        <v>0</v>
      </c>
      <c r="J755" s="360" t="str">
        <f>VLOOKUP(bargiri[[#This Row],[شماره پیش فاکتور]],invoice[],16,0)</f>
        <v>انجمن</v>
      </c>
      <c r="K755" s="252">
        <f>bargiri[[#This Row],[فی]]*bargiri[[#This Row],[میزان بارگیری شده]]</f>
        <v>2720720000</v>
      </c>
      <c r="X755" s="1"/>
      <c r="Y755" s="1"/>
      <c r="Z755" s="1"/>
    </row>
    <row r="756" spans="1:26" ht="18.600000000000001">
      <c r="A756" s="360" t="s">
        <v>964</v>
      </c>
      <c r="B756" s="360" t="s">
        <v>118</v>
      </c>
      <c r="C756" s="355" t="s">
        <v>948</v>
      </c>
      <c r="D756">
        <v>20830</v>
      </c>
      <c r="E756" s="143">
        <v>115372</v>
      </c>
      <c r="F756" s="117">
        <v>1404</v>
      </c>
      <c r="G756" s="360" t="s">
        <v>297</v>
      </c>
      <c r="H756" s="144">
        <f>bargiri[[#This Row],[میزان بارگیری شده]]*bargiri[[#This Row],[فی]]</f>
        <v>2403198760</v>
      </c>
      <c r="I756" s="360">
        <f>IF(year=bargiri[[#This Row],[سال]],1,0)</f>
        <v>0</v>
      </c>
      <c r="J756" s="360" t="str">
        <f>VLOOKUP(bargiri[[#This Row],[شماره پیش فاکتور]],invoice[],16,0)</f>
        <v>عادی</v>
      </c>
      <c r="K756" s="252">
        <f>bargiri[[#This Row],[فی]]*bargiri[[#This Row],[میزان بارگیری شده]]</f>
        <v>2403198760</v>
      </c>
      <c r="X756" s="1"/>
      <c r="Y756" s="1"/>
      <c r="Z756" s="1"/>
    </row>
    <row r="757" spans="1:26" ht="18.600000000000001">
      <c r="A757" s="360" t="s">
        <v>964</v>
      </c>
      <c r="B757" s="360" t="s">
        <v>106</v>
      </c>
      <c r="C757" s="355" t="s">
        <v>781</v>
      </c>
      <c r="D757">
        <v>5600</v>
      </c>
      <c r="E757" s="143">
        <v>111000</v>
      </c>
      <c r="F757" s="117">
        <v>1404</v>
      </c>
      <c r="G757" s="360" t="s">
        <v>297</v>
      </c>
      <c r="H757" s="144">
        <f>bargiri[[#This Row],[میزان بارگیری شده]]*bargiri[[#This Row],[فی]]</f>
        <v>621600000</v>
      </c>
      <c r="I757" s="360">
        <f>IF(year=bargiri[[#This Row],[سال]],1,0)</f>
        <v>0</v>
      </c>
      <c r="J757" s="360" t="str">
        <f>VLOOKUP(bargiri[[#This Row],[شماره پیش فاکتور]],invoice[],16,0)</f>
        <v>عادی</v>
      </c>
      <c r="K757" s="252">
        <f>bargiri[[#This Row],[فی]]*bargiri[[#This Row],[میزان بارگیری شده]]</f>
        <v>621600000</v>
      </c>
      <c r="X757" s="1"/>
      <c r="Y757" s="1"/>
      <c r="Z757" s="1"/>
    </row>
    <row r="758" spans="1:26" ht="18.600000000000001">
      <c r="A758" s="360" t="s">
        <v>964</v>
      </c>
      <c r="B758" s="360" t="s">
        <v>101</v>
      </c>
      <c r="C758" s="355" t="s">
        <v>558</v>
      </c>
      <c r="D758">
        <v>22740</v>
      </c>
      <c r="E758" s="143">
        <v>142000</v>
      </c>
      <c r="F758" s="117">
        <v>1404</v>
      </c>
      <c r="G758" s="360" t="s">
        <v>297</v>
      </c>
      <c r="H758" s="144">
        <f>bargiri[[#This Row],[میزان بارگیری شده]]*bargiri[[#This Row],[فی]]</f>
        <v>3229080000</v>
      </c>
      <c r="I758" s="360">
        <f>IF(year=bargiri[[#This Row],[سال]],1,0)</f>
        <v>0</v>
      </c>
      <c r="J758" s="360" t="str">
        <f>VLOOKUP(bargiri[[#This Row],[شماره پیش فاکتور]],invoice[],16,0)</f>
        <v>انجمن</v>
      </c>
      <c r="K758" s="252">
        <f>bargiri[[#This Row],[فی]]*bargiri[[#This Row],[میزان بارگیری شده]]</f>
        <v>3229080000</v>
      </c>
      <c r="X758" s="1"/>
      <c r="Y758" s="1"/>
      <c r="Z758" s="1"/>
    </row>
    <row r="759" spans="1:26" ht="18.600000000000001">
      <c r="A759" s="360" t="s">
        <v>964</v>
      </c>
      <c r="B759" s="360" t="s">
        <v>116</v>
      </c>
      <c r="C759" s="355" t="s">
        <v>872</v>
      </c>
      <c r="D759">
        <v>10935</v>
      </c>
      <c r="E759" s="143">
        <v>167500</v>
      </c>
      <c r="F759" s="117">
        <v>1404</v>
      </c>
      <c r="G759" s="360" t="s">
        <v>297</v>
      </c>
      <c r="H759" s="144">
        <f>bargiri[[#This Row],[میزان بارگیری شده]]*bargiri[[#This Row],[فی]]</f>
        <v>1831612500</v>
      </c>
      <c r="I759" s="360">
        <f>IF(year=bargiri[[#This Row],[سال]],1,0)</f>
        <v>0</v>
      </c>
      <c r="J759" s="360" t="str">
        <f>VLOOKUP(bargiri[[#This Row],[شماره پیش فاکتور]],invoice[],16,0)</f>
        <v>بورس</v>
      </c>
      <c r="K759" s="252">
        <f>bargiri[[#This Row],[فی]]*bargiri[[#This Row],[میزان بارگیری شده]]</f>
        <v>1831612500</v>
      </c>
      <c r="X759" s="1"/>
      <c r="Y759" s="1"/>
      <c r="Z759" s="1"/>
    </row>
    <row r="760" spans="1:26" ht="18.600000000000001">
      <c r="A760" s="360" t="s">
        <v>964</v>
      </c>
      <c r="B760" s="360" t="s">
        <v>116</v>
      </c>
      <c r="C760" s="355" t="s">
        <v>926</v>
      </c>
      <c r="D760">
        <v>9645</v>
      </c>
      <c r="E760" s="143">
        <v>167500</v>
      </c>
      <c r="F760" s="117">
        <v>1404</v>
      </c>
      <c r="G760" s="360" t="s">
        <v>297</v>
      </c>
      <c r="H760" s="144">
        <f>bargiri[[#This Row],[میزان بارگیری شده]]*bargiri[[#This Row],[فی]]</f>
        <v>1615537500</v>
      </c>
      <c r="I760" s="360">
        <f>IF(year=bargiri[[#This Row],[سال]],1,0)</f>
        <v>0</v>
      </c>
      <c r="J760" s="360" t="str">
        <f>VLOOKUP(bargiri[[#This Row],[شماره پیش فاکتور]],invoice[],16,0)</f>
        <v>بورس</v>
      </c>
      <c r="K760" s="252">
        <f>bargiri[[#This Row],[فی]]*bargiri[[#This Row],[میزان بارگیری شده]]</f>
        <v>1615537500</v>
      </c>
      <c r="X760" s="1"/>
      <c r="Y760" s="1"/>
      <c r="Z760" s="1"/>
    </row>
    <row r="761" spans="1:26" ht="18.600000000000001">
      <c r="A761" s="360" t="s">
        <v>965</v>
      </c>
      <c r="B761" s="360" t="s">
        <v>116</v>
      </c>
      <c r="C761" s="355" t="s">
        <v>608</v>
      </c>
      <c r="D761">
        <v>20180</v>
      </c>
      <c r="E761" s="143">
        <v>95000</v>
      </c>
      <c r="F761" s="117">
        <v>1404</v>
      </c>
      <c r="G761" s="360" t="s">
        <v>297</v>
      </c>
      <c r="H761" s="144">
        <f>bargiri[[#This Row],[میزان بارگیری شده]]*bargiri[[#This Row],[فی]]</f>
        <v>1917100000</v>
      </c>
      <c r="I761" s="360">
        <f>IF(year=bargiri[[#This Row],[سال]],1,0)</f>
        <v>0</v>
      </c>
      <c r="J761" s="360" t="str">
        <f>VLOOKUP(bargiri[[#This Row],[شماره پیش فاکتور]],invoice[],16,0)</f>
        <v>عادی</v>
      </c>
      <c r="K761" s="252">
        <f>bargiri[[#This Row],[فی]]*bargiri[[#This Row],[میزان بارگیری شده]]</f>
        <v>1917100000</v>
      </c>
      <c r="X761" s="1"/>
      <c r="Y761" s="1"/>
      <c r="Z761" s="1"/>
    </row>
    <row r="762" spans="1:26" ht="18.600000000000001">
      <c r="A762" s="360" t="s">
        <v>965</v>
      </c>
      <c r="B762" s="360" t="s">
        <v>102</v>
      </c>
      <c r="C762" s="355" t="s">
        <v>559</v>
      </c>
      <c r="D762">
        <v>11370</v>
      </c>
      <c r="E762" s="143">
        <v>142000</v>
      </c>
      <c r="F762" s="117">
        <v>1404</v>
      </c>
      <c r="G762" s="360" t="s">
        <v>297</v>
      </c>
      <c r="H762" s="144">
        <f>bargiri[[#This Row],[میزان بارگیری شده]]*bargiri[[#This Row],[فی]]</f>
        <v>1614540000</v>
      </c>
      <c r="I762" s="360">
        <f>IF(year=bargiri[[#This Row],[سال]],1,0)</f>
        <v>0</v>
      </c>
      <c r="J762" s="360" t="str">
        <f>VLOOKUP(bargiri[[#This Row],[شماره پیش فاکتور]],invoice[],16,0)</f>
        <v>انجمن</v>
      </c>
      <c r="K762" s="252">
        <f>bargiri[[#This Row],[فی]]*bargiri[[#This Row],[میزان بارگیری شده]]</f>
        <v>1614540000</v>
      </c>
      <c r="X762" s="1"/>
      <c r="Y762" s="1"/>
      <c r="Z762" s="1"/>
    </row>
    <row r="763" spans="1:26" ht="18.600000000000001">
      <c r="A763" s="360" t="s">
        <v>965</v>
      </c>
      <c r="B763" s="360" t="s">
        <v>118</v>
      </c>
      <c r="C763" s="355" t="s">
        <v>948</v>
      </c>
      <c r="D763">
        <v>20770</v>
      </c>
      <c r="E763" s="143">
        <v>115372</v>
      </c>
      <c r="F763" s="117">
        <v>1404</v>
      </c>
      <c r="G763" s="360" t="s">
        <v>297</v>
      </c>
      <c r="H763" s="144">
        <f>bargiri[[#This Row],[میزان بارگیری شده]]*bargiri[[#This Row],[فی]]</f>
        <v>2396276440</v>
      </c>
      <c r="I763" s="360">
        <f>IF(year=bargiri[[#This Row],[سال]],1,0)</f>
        <v>0</v>
      </c>
      <c r="J763" s="360" t="str">
        <f>VLOOKUP(bargiri[[#This Row],[شماره پیش فاکتور]],invoice[],16,0)</f>
        <v>عادی</v>
      </c>
      <c r="K763" s="252">
        <f>bargiri[[#This Row],[فی]]*bargiri[[#This Row],[میزان بارگیری شده]]</f>
        <v>2396276440</v>
      </c>
      <c r="X763" s="1"/>
      <c r="Y763" s="1"/>
      <c r="Z763" s="1"/>
    </row>
    <row r="764" spans="1:26" ht="18.600000000000001">
      <c r="A764" s="360" t="s">
        <v>965</v>
      </c>
      <c r="B764" s="360" t="s">
        <v>118</v>
      </c>
      <c r="C764" s="355" t="s">
        <v>948</v>
      </c>
      <c r="D764">
        <v>20640</v>
      </c>
      <c r="E764" s="143">
        <v>115372</v>
      </c>
      <c r="F764" s="117">
        <v>1404</v>
      </c>
      <c r="G764" s="360" t="s">
        <v>297</v>
      </c>
      <c r="H764" s="144">
        <f>bargiri[[#This Row],[میزان بارگیری شده]]*bargiri[[#This Row],[فی]]</f>
        <v>2381278080</v>
      </c>
      <c r="I764" s="360">
        <f>IF(year=bargiri[[#This Row],[سال]],1,0)</f>
        <v>0</v>
      </c>
      <c r="J764" s="360" t="str">
        <f>VLOOKUP(bargiri[[#This Row],[شماره پیش فاکتور]],invoice[],16,0)</f>
        <v>عادی</v>
      </c>
      <c r="K764" s="252">
        <f>bargiri[[#This Row],[فی]]*bargiri[[#This Row],[میزان بارگیری شده]]</f>
        <v>2381278080</v>
      </c>
      <c r="X764" s="1"/>
      <c r="Y764" s="1"/>
      <c r="Z764" s="1"/>
    </row>
    <row r="765" spans="1:26" ht="18.600000000000001">
      <c r="A765" s="360" t="s">
        <v>965</v>
      </c>
      <c r="B765" s="360" t="s">
        <v>118</v>
      </c>
      <c r="C765" s="355" t="s">
        <v>948</v>
      </c>
      <c r="D765">
        <v>20920</v>
      </c>
      <c r="E765" s="143">
        <v>115372</v>
      </c>
      <c r="F765" s="117">
        <v>1404</v>
      </c>
      <c r="G765" s="360" t="s">
        <v>297</v>
      </c>
      <c r="H765" s="144">
        <f>bargiri[[#This Row],[میزان بارگیری شده]]*bargiri[[#This Row],[فی]]</f>
        <v>2413582240</v>
      </c>
      <c r="I765" s="360">
        <f>IF(year=bargiri[[#This Row],[سال]],1,0)</f>
        <v>0</v>
      </c>
      <c r="J765" s="360" t="str">
        <f>VLOOKUP(bargiri[[#This Row],[شماره پیش فاکتور]],invoice[],16,0)</f>
        <v>عادی</v>
      </c>
      <c r="K765" s="252">
        <f>bargiri[[#This Row],[فی]]*bargiri[[#This Row],[میزان بارگیری شده]]</f>
        <v>2413582240</v>
      </c>
      <c r="X765" s="1"/>
      <c r="Y765" s="1"/>
      <c r="Z765" s="1"/>
    </row>
    <row r="766" spans="1:26" ht="18.600000000000001">
      <c r="A766" s="360" t="s">
        <v>965</v>
      </c>
      <c r="B766" s="360" t="s">
        <v>118</v>
      </c>
      <c r="C766" s="355" t="s">
        <v>948</v>
      </c>
      <c r="D766">
        <v>20530</v>
      </c>
      <c r="E766" s="143">
        <v>115372</v>
      </c>
      <c r="F766" s="117">
        <v>1404</v>
      </c>
      <c r="G766" s="360" t="s">
        <v>297</v>
      </c>
      <c r="H766" s="144">
        <f>bargiri[[#This Row],[میزان بارگیری شده]]*bargiri[[#This Row],[فی]]</f>
        <v>2368587160</v>
      </c>
      <c r="I766" s="360">
        <f>IF(year=bargiri[[#This Row],[سال]],1,0)</f>
        <v>0</v>
      </c>
      <c r="J766" s="360" t="str">
        <f>VLOOKUP(bargiri[[#This Row],[شماره پیش فاکتور]],invoice[],16,0)</f>
        <v>عادی</v>
      </c>
      <c r="K766" s="252">
        <f>bargiri[[#This Row],[فی]]*bargiri[[#This Row],[میزان بارگیری شده]]</f>
        <v>2368587160</v>
      </c>
      <c r="X766" s="1"/>
      <c r="Y766" s="1"/>
      <c r="Z766" s="1"/>
    </row>
    <row r="767" spans="1:26" ht="18.600000000000001">
      <c r="A767" s="360" t="s">
        <v>965</v>
      </c>
      <c r="B767" s="360" t="s">
        <v>118</v>
      </c>
      <c r="C767" s="355" t="s">
        <v>948</v>
      </c>
      <c r="D767">
        <v>20600</v>
      </c>
      <c r="E767" s="143">
        <v>115372</v>
      </c>
      <c r="F767" s="117">
        <v>1404</v>
      </c>
      <c r="G767" s="360" t="s">
        <v>297</v>
      </c>
      <c r="H767" s="144">
        <f>bargiri[[#This Row],[میزان بارگیری شده]]*bargiri[[#This Row],[فی]]</f>
        <v>2376663200</v>
      </c>
      <c r="I767" s="360">
        <f>IF(year=bargiri[[#This Row],[سال]],1,0)</f>
        <v>0</v>
      </c>
      <c r="J767" s="360" t="str">
        <f>VLOOKUP(bargiri[[#This Row],[شماره پیش فاکتور]],invoice[],16,0)</f>
        <v>عادی</v>
      </c>
      <c r="K767" s="252">
        <f>bargiri[[#This Row],[فی]]*bargiri[[#This Row],[میزان بارگیری شده]]</f>
        <v>2376663200</v>
      </c>
      <c r="X767" s="1"/>
      <c r="Y767" s="1"/>
      <c r="Z767" s="1"/>
    </row>
    <row r="768" spans="1:26" ht="18.600000000000001">
      <c r="A768" s="360" t="s">
        <v>963</v>
      </c>
      <c r="B768" s="360" t="s">
        <v>104</v>
      </c>
      <c r="C768" s="355" t="s">
        <v>779</v>
      </c>
      <c r="D768">
        <v>4890</v>
      </c>
      <c r="E768" s="143">
        <v>74000</v>
      </c>
      <c r="F768" s="117">
        <v>1404</v>
      </c>
      <c r="G768" s="360" t="s">
        <v>297</v>
      </c>
      <c r="H768" s="144">
        <f>bargiri[[#This Row],[میزان بارگیری شده]]*bargiri[[#This Row],[فی]]</f>
        <v>361860000</v>
      </c>
      <c r="I768" s="360">
        <f>IF(year=bargiri[[#This Row],[سال]],1,0)</f>
        <v>0</v>
      </c>
      <c r="J768" s="360" t="str">
        <f>VLOOKUP(bargiri[[#This Row],[شماره پیش فاکتور]],invoice[],16,0)</f>
        <v>تعادلی</v>
      </c>
      <c r="K768" s="252">
        <f>bargiri[[#This Row],[فی]]*bargiri[[#This Row],[میزان بارگیری شده]]</f>
        <v>361860000</v>
      </c>
      <c r="X768" s="1"/>
      <c r="Y768" s="1"/>
      <c r="Z768" s="1"/>
    </row>
    <row r="769" spans="1:26" ht="18.600000000000001">
      <c r="A769" s="360" t="s">
        <v>963</v>
      </c>
      <c r="B769" s="360" t="s">
        <v>104</v>
      </c>
      <c r="C769" s="355" t="s">
        <v>643</v>
      </c>
      <c r="D769">
        <v>8820</v>
      </c>
      <c r="E769" s="143">
        <v>83000</v>
      </c>
      <c r="F769" s="117">
        <v>1404</v>
      </c>
      <c r="G769" s="360" t="s">
        <v>297</v>
      </c>
      <c r="H769" s="144">
        <f>bargiri[[#This Row],[میزان بارگیری شده]]*bargiri[[#This Row],[فی]]</f>
        <v>732060000</v>
      </c>
      <c r="I769" s="360">
        <f>IF(year=bargiri[[#This Row],[سال]],1,0)</f>
        <v>0</v>
      </c>
      <c r="J769" s="360" t="str">
        <f>VLOOKUP(bargiri[[#This Row],[شماره پیش فاکتور]],invoice[],16,0)</f>
        <v>تعادلی</v>
      </c>
      <c r="K769" s="252">
        <f>bargiri[[#This Row],[فی]]*bargiri[[#This Row],[میزان بارگیری شده]]</f>
        <v>732060000</v>
      </c>
      <c r="X769" s="1"/>
      <c r="Y769" s="1"/>
      <c r="Z769" s="1"/>
    </row>
    <row r="770" spans="1:26" ht="18.600000000000001">
      <c r="A770" s="360" t="s">
        <v>963</v>
      </c>
      <c r="B770" s="360" t="s">
        <v>104</v>
      </c>
      <c r="C770" s="355" t="s">
        <v>941</v>
      </c>
      <c r="D770">
        <v>18050</v>
      </c>
      <c r="E770" s="143">
        <v>167500</v>
      </c>
      <c r="F770" s="117">
        <v>1404</v>
      </c>
      <c r="G770" s="360" t="s">
        <v>297</v>
      </c>
      <c r="H770" s="144">
        <f>bargiri[[#This Row],[میزان بارگیری شده]]*bargiri[[#This Row],[فی]]</f>
        <v>3023375000</v>
      </c>
      <c r="I770" s="360">
        <f>IF(year=bargiri[[#This Row],[سال]],1,0)</f>
        <v>0</v>
      </c>
      <c r="J770" s="360" t="str">
        <f>VLOOKUP(bargiri[[#This Row],[شماره پیش فاکتور]],invoice[],16,0)</f>
        <v>بورس</v>
      </c>
      <c r="K770" s="252">
        <f>bargiri[[#This Row],[فی]]*bargiri[[#This Row],[میزان بارگیری شده]]</f>
        <v>3023375000</v>
      </c>
      <c r="X770" s="1"/>
      <c r="Y770" s="1"/>
      <c r="Z770" s="1"/>
    </row>
    <row r="771" spans="1:26" ht="18.600000000000001">
      <c r="A771" s="360" t="s">
        <v>962</v>
      </c>
      <c r="B771" s="360" t="s">
        <v>103</v>
      </c>
      <c r="C771" s="355" t="s">
        <v>560</v>
      </c>
      <c r="D771">
        <v>6200</v>
      </c>
      <c r="E771" s="143">
        <v>142000</v>
      </c>
      <c r="F771" s="117">
        <v>1404</v>
      </c>
      <c r="G771" s="360" t="s">
        <v>297</v>
      </c>
      <c r="H771" s="144">
        <f>bargiri[[#This Row],[میزان بارگیری شده]]*bargiri[[#This Row],[فی]]</f>
        <v>880400000</v>
      </c>
      <c r="I771" s="360">
        <f>IF(year=bargiri[[#This Row],[سال]],1,0)</f>
        <v>0</v>
      </c>
      <c r="J771" s="360" t="str">
        <f>VLOOKUP(bargiri[[#This Row],[شماره پیش فاکتور]],invoice[],16,0)</f>
        <v>انجمن</v>
      </c>
      <c r="K771" s="252">
        <f>bargiri[[#This Row],[فی]]*bargiri[[#This Row],[میزان بارگیری شده]]</f>
        <v>880400000</v>
      </c>
      <c r="X771" s="1"/>
      <c r="Y771" s="1"/>
      <c r="Z771" s="1"/>
    </row>
    <row r="772" spans="1:26" ht="18.600000000000001">
      <c r="A772" s="360" t="s">
        <v>962</v>
      </c>
      <c r="B772" s="360" t="s">
        <v>106</v>
      </c>
      <c r="C772" s="355" t="s">
        <v>781</v>
      </c>
      <c r="D772">
        <v>5460</v>
      </c>
      <c r="E772" s="143">
        <v>111000</v>
      </c>
      <c r="F772" s="117">
        <v>1404</v>
      </c>
      <c r="G772" s="360" t="s">
        <v>297</v>
      </c>
      <c r="H772" s="144">
        <f>bargiri[[#This Row],[میزان بارگیری شده]]*bargiri[[#This Row],[فی]]</f>
        <v>606060000</v>
      </c>
      <c r="I772" s="360">
        <f>IF(year=bargiri[[#This Row],[سال]],1,0)</f>
        <v>0</v>
      </c>
      <c r="J772" s="360" t="str">
        <f>VLOOKUP(bargiri[[#This Row],[شماره پیش فاکتور]],invoice[],16,0)</f>
        <v>عادی</v>
      </c>
      <c r="K772" s="252">
        <f>bargiri[[#This Row],[فی]]*bargiri[[#This Row],[میزان بارگیری شده]]</f>
        <v>606060000</v>
      </c>
      <c r="X772" s="1"/>
      <c r="Y772" s="1"/>
      <c r="Z772" s="1"/>
    </row>
    <row r="773" spans="1:26" ht="18.600000000000001">
      <c r="A773" s="360" t="s">
        <v>961</v>
      </c>
      <c r="B773" s="360" t="s">
        <v>102</v>
      </c>
      <c r="C773" s="355" t="s">
        <v>22</v>
      </c>
      <c r="D773">
        <v>11400</v>
      </c>
      <c r="E773" s="143">
        <v>89000</v>
      </c>
      <c r="F773" s="117">
        <v>1404</v>
      </c>
      <c r="G773" s="360" t="s">
        <v>297</v>
      </c>
      <c r="H773" s="144">
        <f>bargiri[[#This Row],[میزان بارگیری شده]]*bargiri[[#This Row],[فی]]</f>
        <v>1014600000</v>
      </c>
      <c r="I773" s="360">
        <f>IF(year=bargiri[[#This Row],[سال]],1,0)</f>
        <v>0</v>
      </c>
      <c r="J773" s="360" t="str">
        <f>VLOOKUP(bargiri[[#This Row],[شماره پیش فاکتور]],invoice[],16,0)</f>
        <v>عادی</v>
      </c>
      <c r="K773" s="252">
        <f>bargiri[[#This Row],[فی]]*bargiri[[#This Row],[میزان بارگیری شده]]</f>
        <v>1014600000</v>
      </c>
      <c r="X773" s="1"/>
      <c r="Y773" s="1"/>
      <c r="Z773" s="1"/>
    </row>
    <row r="774" spans="1:26" ht="18.600000000000001">
      <c r="A774" s="360" t="s">
        <v>961</v>
      </c>
      <c r="B774" s="360" t="s">
        <v>106</v>
      </c>
      <c r="C774" s="355" t="s">
        <v>781</v>
      </c>
      <c r="D774">
        <v>5600</v>
      </c>
      <c r="E774" s="143">
        <v>111000</v>
      </c>
      <c r="F774" s="117">
        <v>1404</v>
      </c>
      <c r="G774" s="360" t="s">
        <v>297</v>
      </c>
      <c r="H774" s="144">
        <f>bargiri[[#This Row],[میزان بارگیری شده]]*bargiri[[#This Row],[فی]]</f>
        <v>621600000</v>
      </c>
      <c r="I774" s="360">
        <f>IF(year=bargiri[[#This Row],[سال]],1,0)</f>
        <v>0</v>
      </c>
      <c r="J774" s="360" t="str">
        <f>VLOOKUP(bargiri[[#This Row],[شماره پیش فاکتور]],invoice[],16,0)</f>
        <v>عادی</v>
      </c>
      <c r="K774" s="252">
        <f>bargiri[[#This Row],[فی]]*bargiri[[#This Row],[میزان بارگیری شده]]</f>
        <v>621600000</v>
      </c>
      <c r="X774" s="1"/>
      <c r="Y774" s="1"/>
      <c r="Z774" s="1"/>
    </row>
    <row r="775" spans="1:26" ht="18.600000000000001">
      <c r="A775" s="360" t="s">
        <v>961</v>
      </c>
      <c r="B775" s="360" t="s">
        <v>101</v>
      </c>
      <c r="C775" s="355" t="s">
        <v>902</v>
      </c>
      <c r="D775">
        <v>6230</v>
      </c>
      <c r="E775" s="143">
        <v>167500</v>
      </c>
      <c r="F775" s="117">
        <v>1404</v>
      </c>
      <c r="G775" s="360" t="s">
        <v>297</v>
      </c>
      <c r="H775" s="144">
        <f>bargiri[[#This Row],[میزان بارگیری شده]]*bargiri[[#This Row],[فی]]</f>
        <v>1043525000</v>
      </c>
      <c r="I775" s="360">
        <f>IF(year=bargiri[[#This Row],[سال]],1,0)</f>
        <v>0</v>
      </c>
      <c r="J775" s="360" t="str">
        <f>VLOOKUP(bargiri[[#This Row],[شماره پیش فاکتور]],invoice[],16,0)</f>
        <v>بورس</v>
      </c>
      <c r="K775" s="252">
        <f>bargiri[[#This Row],[فی]]*bargiri[[#This Row],[میزان بارگیری شده]]</f>
        <v>1043525000</v>
      </c>
      <c r="X775" s="1"/>
      <c r="Y775" s="1"/>
      <c r="Z775" s="1"/>
    </row>
    <row r="776" spans="1:26" ht="18.600000000000001">
      <c r="A776" s="360" t="s">
        <v>961</v>
      </c>
      <c r="B776" s="360" t="s">
        <v>101</v>
      </c>
      <c r="C776" s="355" t="s">
        <v>953</v>
      </c>
      <c r="D776">
        <v>16560</v>
      </c>
      <c r="E776" s="143">
        <v>167500</v>
      </c>
      <c r="F776" s="117">
        <v>1404</v>
      </c>
      <c r="G776" s="360" t="s">
        <v>297</v>
      </c>
      <c r="H776" s="144">
        <f>bargiri[[#This Row],[میزان بارگیری شده]]*bargiri[[#This Row],[فی]]</f>
        <v>2773800000</v>
      </c>
      <c r="I776" s="360">
        <f>IF(year=bargiri[[#This Row],[سال]],1,0)</f>
        <v>0</v>
      </c>
      <c r="J776" s="360" t="str">
        <f>VLOOKUP(bargiri[[#This Row],[شماره پیش فاکتور]],invoice[],16,0)</f>
        <v>بورس</v>
      </c>
      <c r="K776" s="252">
        <f>bargiri[[#This Row],[فی]]*bargiri[[#This Row],[میزان بارگیری شده]]</f>
        <v>2773800000</v>
      </c>
      <c r="X776" s="1"/>
      <c r="Y776" s="1"/>
      <c r="Z776" s="1"/>
    </row>
    <row r="777" spans="1:26" ht="18.600000000000001">
      <c r="A777" s="360" t="s">
        <v>961</v>
      </c>
      <c r="B777" s="360" t="s">
        <v>104</v>
      </c>
      <c r="C777" s="355" t="s">
        <v>561</v>
      </c>
      <c r="D777">
        <v>19980</v>
      </c>
      <c r="E777" s="143">
        <v>142000</v>
      </c>
      <c r="F777" s="117">
        <v>1404</v>
      </c>
      <c r="G777" s="360" t="s">
        <v>297</v>
      </c>
      <c r="H777" s="144">
        <f>bargiri[[#This Row],[میزان بارگیری شده]]*bargiri[[#This Row],[فی]]</f>
        <v>2837160000</v>
      </c>
      <c r="I777" s="360">
        <f>IF(year=bargiri[[#This Row],[سال]],1,0)</f>
        <v>0</v>
      </c>
      <c r="J777" s="360" t="str">
        <f>VLOOKUP(bargiri[[#This Row],[شماره پیش فاکتور]],invoice[],16,0)</f>
        <v>انجمن</v>
      </c>
      <c r="K777" s="252">
        <f>bargiri[[#This Row],[فی]]*bargiri[[#This Row],[میزان بارگیری شده]]</f>
        <v>2837160000</v>
      </c>
      <c r="X777" s="1"/>
      <c r="Y777" s="1"/>
      <c r="Z777" s="1"/>
    </row>
    <row r="778" spans="1:26" ht="18.600000000000001">
      <c r="A778" s="360" t="s">
        <v>961</v>
      </c>
      <c r="B778" s="360" t="s">
        <v>118</v>
      </c>
      <c r="C778" s="355" t="s">
        <v>948</v>
      </c>
      <c r="D778">
        <v>19970</v>
      </c>
      <c r="E778" s="143">
        <v>115372</v>
      </c>
      <c r="F778" s="117">
        <v>1404</v>
      </c>
      <c r="G778" s="360" t="s">
        <v>297</v>
      </c>
      <c r="H778" s="144">
        <f>bargiri[[#This Row],[میزان بارگیری شده]]*bargiri[[#This Row],[فی]]</f>
        <v>2303978840</v>
      </c>
      <c r="I778" s="360">
        <f>IF(year=bargiri[[#This Row],[سال]],1,0)</f>
        <v>0</v>
      </c>
      <c r="J778" s="360" t="str">
        <f>VLOOKUP(bargiri[[#This Row],[شماره پیش فاکتور]],invoice[],16,0)</f>
        <v>عادی</v>
      </c>
      <c r="K778" s="252">
        <f>bargiri[[#This Row],[فی]]*bargiri[[#This Row],[میزان بارگیری شده]]</f>
        <v>2303978840</v>
      </c>
      <c r="X778" s="1"/>
      <c r="Y778" s="1"/>
      <c r="Z778" s="1"/>
    </row>
    <row r="779" spans="1:26" ht="18.600000000000001">
      <c r="A779" s="360" t="s">
        <v>961</v>
      </c>
      <c r="B779" s="360" t="s">
        <v>118</v>
      </c>
      <c r="C779" s="355" t="s">
        <v>948</v>
      </c>
      <c r="D779">
        <v>21570</v>
      </c>
      <c r="E779" s="143">
        <v>115372</v>
      </c>
      <c r="F779" s="117">
        <v>1404</v>
      </c>
      <c r="G779" s="360" t="s">
        <v>297</v>
      </c>
      <c r="H779" s="144">
        <f>bargiri[[#This Row],[میزان بارگیری شده]]*bargiri[[#This Row],[فی]]</f>
        <v>2488574040</v>
      </c>
      <c r="I779" s="360">
        <f>IF(year=bargiri[[#This Row],[سال]],1,0)</f>
        <v>0</v>
      </c>
      <c r="J779" s="360" t="str">
        <f>VLOOKUP(bargiri[[#This Row],[شماره پیش فاکتور]],invoice[],16,0)</f>
        <v>عادی</v>
      </c>
      <c r="K779" s="252">
        <f>bargiri[[#This Row],[فی]]*bargiri[[#This Row],[میزان بارگیری شده]]</f>
        <v>2488574040</v>
      </c>
      <c r="X779" s="1"/>
      <c r="Y779" s="1"/>
      <c r="Z779" s="1"/>
    </row>
    <row r="780" spans="1:26" ht="18.600000000000001">
      <c r="A780" s="360" t="s">
        <v>961</v>
      </c>
      <c r="B780" s="360" t="s">
        <v>118</v>
      </c>
      <c r="C780" s="355" t="s">
        <v>948</v>
      </c>
      <c r="D780">
        <v>21130</v>
      </c>
      <c r="E780" s="143">
        <v>115372</v>
      </c>
      <c r="F780" s="117">
        <v>1404</v>
      </c>
      <c r="G780" s="360" t="s">
        <v>297</v>
      </c>
      <c r="H780" s="144">
        <f>bargiri[[#This Row],[میزان بارگیری شده]]*bargiri[[#This Row],[فی]]</f>
        <v>2437810360</v>
      </c>
      <c r="I780" s="360">
        <f>IF(year=bargiri[[#This Row],[سال]],1,0)</f>
        <v>0</v>
      </c>
      <c r="J780" s="360" t="str">
        <f>VLOOKUP(bargiri[[#This Row],[شماره پیش فاکتور]],invoice[],16,0)</f>
        <v>عادی</v>
      </c>
      <c r="K780" s="252">
        <f>bargiri[[#This Row],[فی]]*bargiri[[#This Row],[میزان بارگیری شده]]</f>
        <v>2437810360</v>
      </c>
      <c r="X780" s="1"/>
      <c r="Y780" s="1"/>
      <c r="Z780" s="1"/>
    </row>
    <row r="781" spans="1:26" ht="18.600000000000001">
      <c r="A781" s="360" t="s">
        <v>961</v>
      </c>
      <c r="B781" s="360" t="s">
        <v>99</v>
      </c>
      <c r="C781" s="355" t="s">
        <v>821</v>
      </c>
      <c r="D781">
        <v>20270</v>
      </c>
      <c r="E781" s="143">
        <v>105000</v>
      </c>
      <c r="F781" s="117">
        <v>1404</v>
      </c>
      <c r="G781" s="360" t="s">
        <v>297</v>
      </c>
      <c r="H781" s="144">
        <f>bargiri[[#This Row],[میزان بارگیری شده]]*bargiri[[#This Row],[فی]]</f>
        <v>2128350000</v>
      </c>
      <c r="I781" s="360">
        <f>IF(year=bargiri[[#This Row],[سال]],1,0)</f>
        <v>0</v>
      </c>
      <c r="J781" s="360" t="str">
        <f>VLOOKUP(bargiri[[#This Row],[شماره پیش فاکتور]],invoice[],16,0)</f>
        <v>عادی</v>
      </c>
      <c r="K781" s="252">
        <f>bargiri[[#This Row],[فی]]*bargiri[[#This Row],[میزان بارگیری شده]]</f>
        <v>2128350000</v>
      </c>
      <c r="X781" s="1"/>
      <c r="Y781" s="1"/>
      <c r="Z781" s="1"/>
    </row>
    <row r="782" spans="1:26" ht="18.600000000000001">
      <c r="A782" s="360" t="s">
        <v>946</v>
      </c>
      <c r="B782" s="360" t="s">
        <v>113</v>
      </c>
      <c r="C782" s="355" t="s">
        <v>822</v>
      </c>
      <c r="D782">
        <v>18140</v>
      </c>
      <c r="E782" s="143">
        <v>105000</v>
      </c>
      <c r="F782" s="117">
        <v>1404</v>
      </c>
      <c r="G782" s="360" t="s">
        <v>297</v>
      </c>
      <c r="H782" s="144">
        <f>bargiri[[#This Row],[میزان بارگیری شده]]*bargiri[[#This Row],[فی]]</f>
        <v>1904700000</v>
      </c>
      <c r="I782" s="360">
        <f>IF(year=bargiri[[#This Row],[سال]],1,0)</f>
        <v>0</v>
      </c>
      <c r="J782" s="360" t="str">
        <f>VLOOKUP(bargiri[[#This Row],[شماره پیش فاکتور]],invoice[],16,0)</f>
        <v>عادی</v>
      </c>
      <c r="K782" s="252">
        <f>bargiri[[#This Row],[فی]]*bargiri[[#This Row],[میزان بارگیری شده]]</f>
        <v>1904700000</v>
      </c>
      <c r="X782" s="1"/>
      <c r="Y782" s="1"/>
      <c r="Z782" s="1"/>
    </row>
    <row r="783" spans="1:26" ht="18.600000000000001">
      <c r="A783" s="360" t="s">
        <v>946</v>
      </c>
      <c r="B783" s="360" t="s">
        <v>106</v>
      </c>
      <c r="C783" s="355" t="s">
        <v>781</v>
      </c>
      <c r="D783">
        <v>5500</v>
      </c>
      <c r="E783" s="143">
        <v>111000</v>
      </c>
      <c r="F783" s="117">
        <v>1404</v>
      </c>
      <c r="G783" s="360" t="s">
        <v>297</v>
      </c>
      <c r="H783" s="144">
        <f>bargiri[[#This Row],[میزان بارگیری شده]]*bargiri[[#This Row],[فی]]</f>
        <v>610500000</v>
      </c>
      <c r="I783" s="360">
        <f>IF(year=bargiri[[#This Row],[سال]],1,0)</f>
        <v>0</v>
      </c>
      <c r="J783" s="360" t="str">
        <f>VLOOKUP(bargiri[[#This Row],[شماره پیش فاکتور]],invoice[],16,0)</f>
        <v>عادی</v>
      </c>
      <c r="K783" s="252">
        <f>bargiri[[#This Row],[فی]]*bargiri[[#This Row],[میزان بارگیری شده]]</f>
        <v>610500000</v>
      </c>
      <c r="X783" s="1"/>
      <c r="Y783" s="1"/>
      <c r="Z783" s="1"/>
    </row>
    <row r="784" spans="1:26" ht="18.600000000000001">
      <c r="A784" s="360" t="s">
        <v>946</v>
      </c>
      <c r="B784" s="360" t="s">
        <v>99</v>
      </c>
      <c r="C784" s="355" t="s">
        <v>821</v>
      </c>
      <c r="D784">
        <v>23290</v>
      </c>
      <c r="E784" s="143">
        <v>105000</v>
      </c>
      <c r="F784" s="117">
        <v>1404</v>
      </c>
      <c r="G784" s="360" t="s">
        <v>297</v>
      </c>
      <c r="H784" s="144">
        <f>bargiri[[#This Row],[میزان بارگیری شده]]*bargiri[[#This Row],[فی]]</f>
        <v>2445450000</v>
      </c>
      <c r="I784" s="360">
        <f>IF(year=bargiri[[#This Row],[سال]],1,0)</f>
        <v>0</v>
      </c>
      <c r="J784" s="360" t="str">
        <f>VLOOKUP(bargiri[[#This Row],[شماره پیش فاکتور]],invoice[],16,0)</f>
        <v>عادی</v>
      </c>
      <c r="K784" s="252">
        <f>bargiri[[#This Row],[فی]]*bargiri[[#This Row],[میزان بارگیری شده]]</f>
        <v>2445450000</v>
      </c>
      <c r="X784" s="1"/>
      <c r="Y784" s="1"/>
      <c r="Z784" s="1"/>
    </row>
    <row r="785" spans="1:26" ht="18.600000000000001">
      <c r="A785" s="360" t="s">
        <v>946</v>
      </c>
      <c r="B785" s="360" t="s">
        <v>125</v>
      </c>
      <c r="C785" s="355" t="s">
        <v>870</v>
      </c>
      <c r="D785">
        <v>14410</v>
      </c>
      <c r="E785" s="143">
        <v>135000</v>
      </c>
      <c r="F785" s="117">
        <v>1404</v>
      </c>
      <c r="G785" s="360" t="s">
        <v>297</v>
      </c>
      <c r="H785" s="144">
        <f>bargiri[[#This Row],[میزان بارگیری شده]]*bargiri[[#This Row],[فی]]</f>
        <v>1945350000</v>
      </c>
      <c r="I785" s="360">
        <f>IF(year=bargiri[[#This Row],[سال]],1,0)</f>
        <v>0</v>
      </c>
      <c r="J785" s="360" t="str">
        <f>VLOOKUP(bargiri[[#This Row],[شماره پیش فاکتور]],invoice[],16,0)</f>
        <v>عادی</v>
      </c>
      <c r="K785" s="252">
        <f>bargiri[[#This Row],[فی]]*bargiri[[#This Row],[میزان بارگیری شده]]</f>
        <v>1945350000</v>
      </c>
      <c r="X785" s="1"/>
      <c r="Y785" s="1"/>
      <c r="Z785" s="1"/>
    </row>
    <row r="786" spans="1:26" ht="18.600000000000001">
      <c r="A786" s="360" t="s">
        <v>946</v>
      </c>
      <c r="B786" s="360" t="s">
        <v>106</v>
      </c>
      <c r="C786" s="355" t="s">
        <v>781</v>
      </c>
      <c r="D786">
        <v>5660</v>
      </c>
      <c r="E786" s="143">
        <v>111000</v>
      </c>
      <c r="F786" s="117">
        <v>1404</v>
      </c>
      <c r="G786" s="360" t="s">
        <v>297</v>
      </c>
      <c r="H786" s="144">
        <f>bargiri[[#This Row],[میزان بارگیری شده]]*bargiri[[#This Row],[فی]]</f>
        <v>628260000</v>
      </c>
      <c r="I786" s="360">
        <f>IF(year=bargiri[[#This Row],[سال]],1,0)</f>
        <v>0</v>
      </c>
      <c r="J786" s="360" t="str">
        <f>VLOOKUP(bargiri[[#This Row],[شماره پیش فاکتور]],invoice[],16,0)</f>
        <v>عادی</v>
      </c>
      <c r="K786" s="252">
        <f>bargiri[[#This Row],[فی]]*bargiri[[#This Row],[میزان بارگیری شده]]</f>
        <v>628260000</v>
      </c>
      <c r="X786" s="1"/>
      <c r="Y786" s="1"/>
      <c r="Z786" s="1"/>
    </row>
    <row r="787" spans="1:26" ht="18.600000000000001">
      <c r="A787" s="360" t="s">
        <v>946</v>
      </c>
      <c r="B787" s="360" t="s">
        <v>125</v>
      </c>
      <c r="C787" s="355" t="s">
        <v>870</v>
      </c>
      <c r="D787">
        <v>14420</v>
      </c>
      <c r="E787" s="143">
        <v>135000</v>
      </c>
      <c r="F787" s="117">
        <v>1404</v>
      </c>
      <c r="G787" s="360" t="s">
        <v>297</v>
      </c>
      <c r="H787" s="144">
        <f>bargiri[[#This Row],[میزان بارگیری شده]]*bargiri[[#This Row],[فی]]</f>
        <v>1946700000</v>
      </c>
      <c r="I787" s="360">
        <f>IF(year=bargiri[[#This Row],[سال]],1,0)</f>
        <v>0</v>
      </c>
      <c r="J787" s="360" t="str">
        <f>VLOOKUP(bargiri[[#This Row],[شماره پیش فاکتور]],invoice[],16,0)</f>
        <v>عادی</v>
      </c>
      <c r="K787" s="252">
        <f>bargiri[[#This Row],[فی]]*bargiri[[#This Row],[میزان بارگیری شده]]</f>
        <v>1946700000</v>
      </c>
      <c r="X787" s="1"/>
      <c r="Y787" s="1"/>
      <c r="Z787" s="1"/>
    </row>
    <row r="788" spans="1:26" ht="18.600000000000001">
      <c r="A788" s="360" t="s">
        <v>946</v>
      </c>
      <c r="B788" s="360" t="s">
        <v>106</v>
      </c>
      <c r="C788" s="355" t="s">
        <v>781</v>
      </c>
      <c r="D788">
        <v>5620</v>
      </c>
      <c r="E788" s="143">
        <v>111000</v>
      </c>
      <c r="F788" s="117">
        <v>1404</v>
      </c>
      <c r="G788" s="360" t="s">
        <v>297</v>
      </c>
      <c r="H788" s="144">
        <f>bargiri[[#This Row],[میزان بارگیری شده]]*bargiri[[#This Row],[فی]]</f>
        <v>623820000</v>
      </c>
      <c r="I788" s="360">
        <f>IF(year=bargiri[[#This Row],[سال]],1,0)</f>
        <v>0</v>
      </c>
      <c r="J788" s="360" t="str">
        <f>VLOOKUP(bargiri[[#This Row],[شماره پیش فاکتور]],invoice[],16,0)</f>
        <v>عادی</v>
      </c>
      <c r="K788" s="252">
        <f>bargiri[[#This Row],[فی]]*bargiri[[#This Row],[میزان بارگیری شده]]</f>
        <v>623820000</v>
      </c>
      <c r="X788" s="1"/>
      <c r="Y788" s="1"/>
      <c r="Z788" s="1"/>
    </row>
    <row r="789" spans="1:26" ht="18.600000000000001">
      <c r="A789" s="360" t="s">
        <v>947</v>
      </c>
      <c r="B789" s="360" t="s">
        <v>99</v>
      </c>
      <c r="C789" s="355" t="s">
        <v>12</v>
      </c>
      <c r="D789">
        <v>18760</v>
      </c>
      <c r="E789" s="143">
        <v>86500</v>
      </c>
      <c r="F789" s="117">
        <v>1404</v>
      </c>
      <c r="G789" s="360" t="s">
        <v>297</v>
      </c>
      <c r="H789" s="144">
        <f>bargiri[[#This Row],[میزان بارگیری شده]]*bargiri[[#This Row],[فی]]</f>
        <v>1622740000</v>
      </c>
      <c r="I789" s="360">
        <f>IF(year=bargiri[[#This Row],[سال]],1,0)</f>
        <v>0</v>
      </c>
      <c r="J789" s="360" t="str">
        <f>VLOOKUP(bargiri[[#This Row],[شماره پیش فاکتور]],invoice[],16,0)</f>
        <v>عادی</v>
      </c>
      <c r="K789" s="252">
        <f>bargiri[[#This Row],[فی]]*bargiri[[#This Row],[میزان بارگیری شده]]</f>
        <v>1622740000</v>
      </c>
      <c r="X789" s="1"/>
      <c r="Y789" s="1"/>
      <c r="Z789" s="1"/>
    </row>
    <row r="790" spans="1:26" ht="18.600000000000001">
      <c r="A790" s="360" t="s">
        <v>947</v>
      </c>
      <c r="B790" s="360" t="s">
        <v>116</v>
      </c>
      <c r="C790" s="355" t="s">
        <v>565</v>
      </c>
      <c r="D790">
        <v>16280</v>
      </c>
      <c r="E790" s="143">
        <v>142000</v>
      </c>
      <c r="F790" s="117">
        <v>1404</v>
      </c>
      <c r="G790" s="360" t="s">
        <v>297</v>
      </c>
      <c r="H790" s="144">
        <f>bargiri[[#This Row],[میزان بارگیری شده]]*bargiri[[#This Row],[فی]]</f>
        <v>2311760000</v>
      </c>
      <c r="I790" s="360">
        <f>IF(year=bargiri[[#This Row],[سال]],1,0)</f>
        <v>0</v>
      </c>
      <c r="J790" s="360" t="str">
        <f>VLOOKUP(bargiri[[#This Row],[شماره پیش فاکتور]],invoice[],16,0)</f>
        <v>انجمن</v>
      </c>
      <c r="K790" s="252">
        <f>bargiri[[#This Row],[فی]]*bargiri[[#This Row],[میزان بارگیری شده]]</f>
        <v>2311760000</v>
      </c>
      <c r="X790" s="1"/>
      <c r="Y790" s="1"/>
      <c r="Z790" s="1"/>
    </row>
    <row r="791" spans="1:26" ht="18.600000000000001">
      <c r="A791" s="360" t="s">
        <v>947</v>
      </c>
      <c r="B791" s="360" t="s">
        <v>106</v>
      </c>
      <c r="C791" s="355" t="s">
        <v>781</v>
      </c>
      <c r="D791">
        <v>5470</v>
      </c>
      <c r="E791" s="143">
        <v>111000</v>
      </c>
      <c r="F791" s="117">
        <v>1404</v>
      </c>
      <c r="G791" s="360" t="s">
        <v>297</v>
      </c>
      <c r="H791" s="144">
        <f>bargiri[[#This Row],[میزان بارگیری شده]]*bargiri[[#This Row],[فی]]</f>
        <v>607170000</v>
      </c>
      <c r="I791" s="360">
        <f>IF(year=bargiri[[#This Row],[سال]],1,0)</f>
        <v>0</v>
      </c>
      <c r="J791" s="360" t="str">
        <f>VLOOKUP(bargiri[[#This Row],[شماره پیش فاکتور]],invoice[],16,0)</f>
        <v>عادی</v>
      </c>
      <c r="K791" s="252">
        <f>bargiri[[#This Row],[فی]]*bargiri[[#This Row],[میزان بارگیری شده]]</f>
        <v>607170000</v>
      </c>
      <c r="X791" s="1"/>
      <c r="Y791" s="1"/>
      <c r="Z791" s="1"/>
    </row>
    <row r="792" spans="1:26" ht="18.600000000000001">
      <c r="A792" s="360" t="s">
        <v>947</v>
      </c>
      <c r="B792" s="360" t="s">
        <v>99</v>
      </c>
      <c r="C792" s="355" t="s">
        <v>12</v>
      </c>
      <c r="D792">
        <v>18810</v>
      </c>
      <c r="E792" s="143">
        <v>86500</v>
      </c>
      <c r="F792" s="117">
        <v>1404</v>
      </c>
      <c r="G792" s="360" t="s">
        <v>297</v>
      </c>
      <c r="H792" s="144">
        <f>bargiri[[#This Row],[میزان بارگیری شده]]*bargiri[[#This Row],[فی]]</f>
        <v>1627065000</v>
      </c>
      <c r="I792" s="360">
        <f>IF(year=bargiri[[#This Row],[سال]],1,0)</f>
        <v>0</v>
      </c>
      <c r="J792" s="360" t="str">
        <f>VLOOKUP(bargiri[[#This Row],[شماره پیش فاکتور]],invoice[],16,0)</f>
        <v>عادی</v>
      </c>
      <c r="K792" s="252">
        <f>bargiri[[#This Row],[فی]]*bargiri[[#This Row],[میزان بارگیری شده]]</f>
        <v>1627065000</v>
      </c>
      <c r="X792" s="1"/>
      <c r="Y792" s="1"/>
      <c r="Z792" s="1"/>
    </row>
    <row r="793" spans="1:26" ht="18.600000000000001">
      <c r="A793" s="360" t="s">
        <v>942</v>
      </c>
      <c r="B793" s="360" t="s">
        <v>118</v>
      </c>
      <c r="C793" s="355" t="s">
        <v>948</v>
      </c>
      <c r="D793">
        <v>21160</v>
      </c>
      <c r="E793" s="143">
        <v>115372</v>
      </c>
      <c r="F793" s="117">
        <v>1404</v>
      </c>
      <c r="G793" s="360" t="s">
        <v>297</v>
      </c>
      <c r="H793" s="144">
        <f>bargiri[[#This Row],[میزان بارگیری شده]]*bargiri[[#This Row],[فی]]</f>
        <v>2441271520</v>
      </c>
      <c r="I793" s="360">
        <f>IF(year=bargiri[[#This Row],[سال]],1,0)</f>
        <v>0</v>
      </c>
      <c r="J793" s="360" t="str">
        <f>VLOOKUP(bargiri[[#This Row],[شماره پیش فاکتور]],invoice[],16,0)</f>
        <v>عادی</v>
      </c>
      <c r="K793" s="252">
        <f>bargiri[[#This Row],[فی]]*bargiri[[#This Row],[میزان بارگیری شده]]</f>
        <v>2441271520</v>
      </c>
      <c r="X793" s="1"/>
      <c r="Y793" s="1"/>
      <c r="Z793" s="1"/>
    </row>
    <row r="794" spans="1:26" ht="18.600000000000001">
      <c r="A794" s="360" t="s">
        <v>943</v>
      </c>
      <c r="B794" s="360" t="s">
        <v>118</v>
      </c>
      <c r="C794" s="355" t="s">
        <v>948</v>
      </c>
      <c r="D794">
        <v>20060</v>
      </c>
      <c r="E794" s="143">
        <v>115372</v>
      </c>
      <c r="F794" s="117">
        <v>1404</v>
      </c>
      <c r="G794" s="360" t="s">
        <v>297</v>
      </c>
      <c r="H794" s="144">
        <f>bargiri[[#This Row],[میزان بارگیری شده]]*bargiri[[#This Row],[فی]]</f>
        <v>2314362320</v>
      </c>
      <c r="I794" s="360">
        <f>IF(year=bargiri[[#This Row],[سال]],1,0)</f>
        <v>0</v>
      </c>
      <c r="J794" s="360" t="str">
        <f>VLOOKUP(bargiri[[#This Row],[شماره پیش فاکتور]],invoice[],16,0)</f>
        <v>عادی</v>
      </c>
      <c r="K794" s="252">
        <f>bargiri[[#This Row],[فی]]*bargiri[[#This Row],[میزان بارگیری شده]]</f>
        <v>2314362320</v>
      </c>
      <c r="X794" s="1"/>
      <c r="Y794" s="1"/>
      <c r="Z794" s="1"/>
    </row>
    <row r="795" spans="1:26" ht="18.600000000000001">
      <c r="A795" s="360" t="s">
        <v>943</v>
      </c>
      <c r="B795" s="360" t="s">
        <v>118</v>
      </c>
      <c r="C795" s="355" t="s">
        <v>948</v>
      </c>
      <c r="D795">
        <v>20360</v>
      </c>
      <c r="E795" s="143">
        <v>115372</v>
      </c>
      <c r="F795" s="117">
        <v>1404</v>
      </c>
      <c r="G795" s="360" t="s">
        <v>297</v>
      </c>
      <c r="H795" s="144">
        <f>bargiri[[#This Row],[میزان بارگیری شده]]*bargiri[[#This Row],[فی]]</f>
        <v>2348973920</v>
      </c>
      <c r="I795" s="360">
        <f>IF(year=bargiri[[#This Row],[سال]],1,0)</f>
        <v>0</v>
      </c>
      <c r="J795" s="360" t="str">
        <f>VLOOKUP(bargiri[[#This Row],[شماره پیش فاکتور]],invoice[],16,0)</f>
        <v>عادی</v>
      </c>
      <c r="K795" s="252">
        <f>bargiri[[#This Row],[فی]]*bargiri[[#This Row],[میزان بارگیری شده]]</f>
        <v>2348973920</v>
      </c>
      <c r="X795" s="1"/>
      <c r="Y795" s="1"/>
      <c r="Z795" s="1"/>
    </row>
    <row r="796" spans="1:26" ht="18.600000000000001">
      <c r="A796" s="360" t="s">
        <v>937</v>
      </c>
      <c r="B796" s="360" t="s">
        <v>118</v>
      </c>
      <c r="C796" s="355" t="s">
        <v>948</v>
      </c>
      <c r="D796">
        <v>20580</v>
      </c>
      <c r="E796" s="143">
        <v>115372</v>
      </c>
      <c r="F796" s="117">
        <v>1404</v>
      </c>
      <c r="G796" s="360" t="s">
        <v>298</v>
      </c>
      <c r="H796" s="144">
        <f>bargiri[[#This Row],[میزان بارگیری شده]]*bargiri[[#This Row],[فی]]</f>
        <v>2374355760</v>
      </c>
      <c r="I796" s="360">
        <f>IF(year=bargiri[[#This Row],[سال]],1,0)</f>
        <v>0</v>
      </c>
      <c r="J796" s="360" t="str">
        <f>VLOOKUP(bargiri[[#This Row],[شماره پیش فاکتور]],invoice[],16,0)</f>
        <v>عادی</v>
      </c>
      <c r="K796" s="252">
        <f>bargiri[[#This Row],[فی]]*bargiri[[#This Row],[میزان بارگیری شده]]</f>
        <v>2374355760</v>
      </c>
      <c r="X796" s="1"/>
      <c r="Y796" s="1"/>
      <c r="Z796" s="1"/>
    </row>
    <row r="797" spans="1:26" ht="18.600000000000001">
      <c r="A797" s="360" t="s">
        <v>937</v>
      </c>
      <c r="B797" s="360" t="s">
        <v>118</v>
      </c>
      <c r="C797" s="355" t="s">
        <v>948</v>
      </c>
      <c r="D797">
        <v>20570</v>
      </c>
      <c r="E797" s="143">
        <v>115372</v>
      </c>
      <c r="F797" s="117">
        <v>1404</v>
      </c>
      <c r="G797" s="360" t="s">
        <v>298</v>
      </c>
      <c r="H797" s="144">
        <f>bargiri[[#This Row],[میزان بارگیری شده]]*bargiri[[#This Row],[فی]]</f>
        <v>2373202040</v>
      </c>
      <c r="I797" s="360">
        <f>IF(year=bargiri[[#This Row],[سال]],1,0)</f>
        <v>0</v>
      </c>
      <c r="J797" s="360" t="str">
        <f>VLOOKUP(bargiri[[#This Row],[شماره پیش فاکتور]],invoice[],16,0)</f>
        <v>عادی</v>
      </c>
      <c r="K797" s="252">
        <f>bargiri[[#This Row],[فی]]*bargiri[[#This Row],[میزان بارگیری شده]]</f>
        <v>2373202040</v>
      </c>
      <c r="X797" s="1"/>
      <c r="Y797" s="1"/>
      <c r="Z797" s="1"/>
    </row>
    <row r="798" spans="1:26" ht="18.600000000000001">
      <c r="A798" s="360" t="s">
        <v>937</v>
      </c>
      <c r="B798" s="360" t="s">
        <v>118</v>
      </c>
      <c r="C798" s="355" t="s">
        <v>948</v>
      </c>
      <c r="D798">
        <v>20160</v>
      </c>
      <c r="E798" s="143">
        <v>115372</v>
      </c>
      <c r="F798" s="117">
        <v>1404</v>
      </c>
      <c r="G798" s="360" t="s">
        <v>298</v>
      </c>
      <c r="H798" s="144">
        <f>bargiri[[#This Row],[میزان بارگیری شده]]*bargiri[[#This Row],[فی]]</f>
        <v>2325899520</v>
      </c>
      <c r="I798" s="360">
        <f>IF(year=bargiri[[#This Row],[سال]],1,0)</f>
        <v>0</v>
      </c>
      <c r="J798" s="360" t="str">
        <f>VLOOKUP(bargiri[[#This Row],[شماره پیش فاکتور]],invoice[],16,0)</f>
        <v>عادی</v>
      </c>
      <c r="K798" s="252">
        <f>bargiri[[#This Row],[فی]]*bargiri[[#This Row],[میزان بارگیری شده]]</f>
        <v>2325899520</v>
      </c>
      <c r="X798" s="1"/>
      <c r="Y798" s="1"/>
      <c r="Z798" s="1"/>
    </row>
    <row r="799" spans="1:26" ht="18.600000000000001">
      <c r="A799" s="360" t="s">
        <v>937</v>
      </c>
      <c r="B799" s="360" t="s">
        <v>118</v>
      </c>
      <c r="C799" s="355" t="s">
        <v>948</v>
      </c>
      <c r="D799">
        <v>20610</v>
      </c>
      <c r="E799" s="143">
        <v>115372</v>
      </c>
      <c r="F799" s="117">
        <v>1404</v>
      </c>
      <c r="G799" s="360" t="s">
        <v>298</v>
      </c>
      <c r="H799" s="144">
        <f>bargiri[[#This Row],[میزان بارگیری شده]]*bargiri[[#This Row],[فی]]</f>
        <v>2377816920</v>
      </c>
      <c r="I799" s="360">
        <f>IF(year=bargiri[[#This Row],[سال]],1,0)</f>
        <v>0</v>
      </c>
      <c r="J799" s="360" t="str">
        <f>VLOOKUP(bargiri[[#This Row],[شماره پیش فاکتور]],invoice[],16,0)</f>
        <v>عادی</v>
      </c>
      <c r="K799" s="252">
        <f>bargiri[[#This Row],[فی]]*bargiri[[#This Row],[میزان بارگیری شده]]</f>
        <v>2377816920</v>
      </c>
      <c r="X799" s="1"/>
      <c r="Y799" s="1"/>
      <c r="Z799" s="1"/>
    </row>
    <row r="800" spans="1:26" ht="18.600000000000001">
      <c r="A800" s="360" t="s">
        <v>937</v>
      </c>
      <c r="B800" s="360" t="s">
        <v>118</v>
      </c>
      <c r="C800" s="355" t="s">
        <v>948</v>
      </c>
      <c r="D800">
        <v>20360</v>
      </c>
      <c r="E800" s="143">
        <v>115372</v>
      </c>
      <c r="F800" s="117">
        <v>1404</v>
      </c>
      <c r="G800" s="360" t="s">
        <v>298</v>
      </c>
      <c r="H800" s="144">
        <f>bargiri[[#This Row],[میزان بارگیری شده]]*bargiri[[#This Row],[فی]]</f>
        <v>2348973920</v>
      </c>
      <c r="I800" s="360">
        <f>IF(year=bargiri[[#This Row],[سال]],1,0)</f>
        <v>0</v>
      </c>
      <c r="J800" s="360" t="str">
        <f>VLOOKUP(bargiri[[#This Row],[شماره پیش فاکتور]],invoice[],16,0)</f>
        <v>عادی</v>
      </c>
      <c r="K800" s="252">
        <f>bargiri[[#This Row],[فی]]*bargiri[[#This Row],[میزان بارگیری شده]]</f>
        <v>2348973920</v>
      </c>
      <c r="X800" s="1"/>
      <c r="Y800" s="1"/>
      <c r="Z800" s="1"/>
    </row>
    <row r="801" spans="1:26" ht="18.600000000000001">
      <c r="A801" s="360" t="s">
        <v>937</v>
      </c>
      <c r="B801" s="360" t="s">
        <v>118</v>
      </c>
      <c r="C801" s="355" t="s">
        <v>948</v>
      </c>
      <c r="D801">
        <v>20280</v>
      </c>
      <c r="E801" s="143">
        <v>115372</v>
      </c>
      <c r="F801" s="117">
        <v>1404</v>
      </c>
      <c r="G801" s="360" t="s">
        <v>298</v>
      </c>
      <c r="H801" s="144">
        <f>bargiri[[#This Row],[میزان بارگیری شده]]*bargiri[[#This Row],[فی]]</f>
        <v>2339744160</v>
      </c>
      <c r="I801" s="360">
        <f>IF(year=bargiri[[#This Row],[سال]],1,0)</f>
        <v>0</v>
      </c>
      <c r="J801" s="360" t="str">
        <f>VLOOKUP(bargiri[[#This Row],[شماره پیش فاکتور]],invoice[],16,0)</f>
        <v>عادی</v>
      </c>
      <c r="K801" s="252">
        <f>bargiri[[#This Row],[فی]]*bargiri[[#This Row],[میزان بارگیری شده]]</f>
        <v>2339744160</v>
      </c>
      <c r="X801" s="1"/>
      <c r="Y801" s="1"/>
      <c r="Z801" s="1"/>
    </row>
    <row r="802" spans="1:26" ht="18.600000000000001">
      <c r="A802" s="360" t="s">
        <v>937</v>
      </c>
      <c r="B802" s="360" t="s">
        <v>118</v>
      </c>
      <c r="C802" s="355" t="s">
        <v>948</v>
      </c>
      <c r="D802">
        <v>20530</v>
      </c>
      <c r="E802" s="143">
        <v>115372</v>
      </c>
      <c r="F802" s="117">
        <v>1404</v>
      </c>
      <c r="G802" s="360" t="s">
        <v>298</v>
      </c>
      <c r="H802" s="144">
        <f>bargiri[[#This Row],[میزان بارگیری شده]]*bargiri[[#This Row],[فی]]</f>
        <v>2368587160</v>
      </c>
      <c r="I802" s="360">
        <f>IF(year=bargiri[[#This Row],[سال]],1,0)</f>
        <v>0</v>
      </c>
      <c r="J802" s="360" t="str">
        <f>VLOOKUP(bargiri[[#This Row],[شماره پیش فاکتور]],invoice[],16,0)</f>
        <v>عادی</v>
      </c>
      <c r="K802" s="252">
        <f>bargiri[[#This Row],[فی]]*bargiri[[#This Row],[میزان بارگیری شده]]</f>
        <v>2368587160</v>
      </c>
      <c r="X802" s="1"/>
      <c r="Y802" s="1"/>
      <c r="Z802" s="1"/>
    </row>
    <row r="803" spans="1:26" ht="18.600000000000001">
      <c r="A803" s="360" t="s">
        <v>937</v>
      </c>
      <c r="B803" s="360" t="s">
        <v>118</v>
      </c>
      <c r="C803" s="355" t="s">
        <v>948</v>
      </c>
      <c r="D803">
        <v>20430</v>
      </c>
      <c r="E803" s="143">
        <v>115372</v>
      </c>
      <c r="F803" s="117">
        <v>1404</v>
      </c>
      <c r="G803" s="360" t="s">
        <v>298</v>
      </c>
      <c r="H803" s="144">
        <f>bargiri[[#This Row],[میزان بارگیری شده]]*bargiri[[#This Row],[فی]]</f>
        <v>2357049960</v>
      </c>
      <c r="I803" s="360">
        <f>IF(year=bargiri[[#This Row],[سال]],1,0)</f>
        <v>0</v>
      </c>
      <c r="J803" s="360" t="str">
        <f>VLOOKUP(bargiri[[#This Row],[شماره پیش فاکتور]],invoice[],16,0)</f>
        <v>عادی</v>
      </c>
      <c r="K803" s="252">
        <f>bargiri[[#This Row],[فی]]*bargiri[[#This Row],[میزان بارگیری شده]]</f>
        <v>2357049960</v>
      </c>
      <c r="X803" s="1"/>
      <c r="Y803" s="1"/>
      <c r="Z803" s="1"/>
    </row>
    <row r="804" spans="1:26" ht="18.600000000000001">
      <c r="A804" s="360" t="s">
        <v>937</v>
      </c>
      <c r="B804" s="360" t="s">
        <v>118</v>
      </c>
      <c r="C804" s="355" t="s">
        <v>948</v>
      </c>
      <c r="D804">
        <v>20180</v>
      </c>
      <c r="E804" s="143">
        <v>115372</v>
      </c>
      <c r="F804" s="117">
        <v>1404</v>
      </c>
      <c r="G804" s="360" t="s">
        <v>298</v>
      </c>
      <c r="H804" s="144">
        <f>bargiri[[#This Row],[میزان بارگیری شده]]*bargiri[[#This Row],[فی]]</f>
        <v>2328206960</v>
      </c>
      <c r="I804" s="360">
        <f>IF(year=bargiri[[#This Row],[سال]],1,0)</f>
        <v>0</v>
      </c>
      <c r="J804" s="360" t="str">
        <f>VLOOKUP(bargiri[[#This Row],[شماره پیش فاکتور]],invoice[],16,0)</f>
        <v>عادی</v>
      </c>
      <c r="K804" s="252">
        <f>bargiri[[#This Row],[فی]]*bargiri[[#This Row],[میزان بارگیری شده]]</f>
        <v>2328206960</v>
      </c>
      <c r="X804" s="1"/>
      <c r="Y804" s="1"/>
      <c r="Z804" s="1"/>
    </row>
    <row r="805" spans="1:26" ht="18.600000000000001">
      <c r="A805" s="360" t="s">
        <v>949</v>
      </c>
      <c r="B805" s="360" t="s">
        <v>118</v>
      </c>
      <c r="C805" s="355" t="s">
        <v>948</v>
      </c>
      <c r="D805">
        <v>21400</v>
      </c>
      <c r="E805" s="143">
        <v>115372</v>
      </c>
      <c r="F805" s="117">
        <v>1404</v>
      </c>
      <c r="G805" s="360" t="s">
        <v>298</v>
      </c>
      <c r="H805" s="144">
        <f>bargiri[[#This Row],[میزان بارگیری شده]]*bargiri[[#This Row],[فی]]</f>
        <v>2468960800</v>
      </c>
      <c r="I805" s="360">
        <f>IF(year=bargiri[[#This Row],[سال]],1,0)</f>
        <v>0</v>
      </c>
      <c r="J805" s="360" t="str">
        <f>VLOOKUP(bargiri[[#This Row],[شماره پیش فاکتور]],invoice[],16,0)</f>
        <v>عادی</v>
      </c>
      <c r="K805" s="252">
        <f>bargiri[[#This Row],[فی]]*bargiri[[#This Row],[میزان بارگیری شده]]</f>
        <v>2468960800</v>
      </c>
      <c r="X805" s="1"/>
      <c r="Y805" s="1"/>
      <c r="Z805" s="1"/>
    </row>
    <row r="806" spans="1:26" ht="18.600000000000001">
      <c r="A806" s="360" t="s">
        <v>932</v>
      </c>
      <c r="B806" s="360" t="s">
        <v>118</v>
      </c>
      <c r="C806" s="355" t="s">
        <v>948</v>
      </c>
      <c r="D806">
        <v>20250</v>
      </c>
      <c r="E806" s="143">
        <v>115372</v>
      </c>
      <c r="F806" s="117">
        <v>1404</v>
      </c>
      <c r="G806" s="360" t="s">
        <v>298</v>
      </c>
      <c r="H806" s="144">
        <f>bargiri[[#This Row],[میزان بارگیری شده]]*bargiri[[#This Row],[فی]]</f>
        <v>2336283000</v>
      </c>
      <c r="I806" s="360">
        <f>IF(year=bargiri[[#This Row],[سال]],1,0)</f>
        <v>0</v>
      </c>
      <c r="J806" s="360" t="str">
        <f>VLOOKUP(bargiri[[#This Row],[شماره پیش فاکتور]],invoice[],16,0)</f>
        <v>عادی</v>
      </c>
      <c r="K806" s="252">
        <f>bargiri[[#This Row],[فی]]*bargiri[[#This Row],[میزان بارگیری شده]]</f>
        <v>2336283000</v>
      </c>
      <c r="X806" s="1"/>
      <c r="Y806" s="1"/>
      <c r="Z806" s="1"/>
    </row>
    <row r="807" spans="1:26" ht="18.600000000000001">
      <c r="A807" s="360" t="s">
        <v>932</v>
      </c>
      <c r="B807" s="360" t="s">
        <v>118</v>
      </c>
      <c r="C807" s="355" t="s">
        <v>950</v>
      </c>
      <c r="D807">
        <v>4860</v>
      </c>
      <c r="E807" s="143">
        <v>115372</v>
      </c>
      <c r="F807" s="117">
        <v>1404</v>
      </c>
      <c r="G807" s="360" t="s">
        <v>298</v>
      </c>
      <c r="H807" s="144">
        <f>bargiri[[#This Row],[میزان بارگیری شده]]*bargiri[[#This Row],[فی]]</f>
        <v>560707920</v>
      </c>
      <c r="I807" s="360">
        <f>IF(year=bargiri[[#This Row],[سال]],1,0)</f>
        <v>0</v>
      </c>
      <c r="J807" s="360" t="str">
        <f>VLOOKUP(bargiri[[#This Row],[شماره پیش فاکتور]],invoice[],16,0)</f>
        <v>عادی</v>
      </c>
      <c r="K807" s="252">
        <f>bargiri[[#This Row],[فی]]*bargiri[[#This Row],[میزان بارگیری شده]]</f>
        <v>560707920</v>
      </c>
      <c r="X807" s="1"/>
      <c r="Y807" s="1"/>
      <c r="Z807" s="1"/>
    </row>
    <row r="808" spans="1:26" ht="18.600000000000001">
      <c r="A808" s="360" t="s">
        <v>932</v>
      </c>
      <c r="B808" s="360" t="s">
        <v>118</v>
      </c>
      <c r="C808" s="355" t="s">
        <v>948</v>
      </c>
      <c r="D808">
        <v>15260</v>
      </c>
      <c r="E808" s="143">
        <v>115372</v>
      </c>
      <c r="F808" s="117">
        <v>1404</v>
      </c>
      <c r="G808" s="360" t="s">
        <v>298</v>
      </c>
      <c r="H808" s="144">
        <f>bargiri[[#This Row],[میزان بارگیری شده]]*bargiri[[#This Row],[فی]]</f>
        <v>1760576720</v>
      </c>
      <c r="I808" s="360">
        <f>IF(year=bargiri[[#This Row],[سال]],1,0)</f>
        <v>0</v>
      </c>
      <c r="J808" s="360" t="str">
        <f>VLOOKUP(bargiri[[#This Row],[شماره پیش فاکتور]],invoice[],16,0)</f>
        <v>عادی</v>
      </c>
      <c r="K808" s="252">
        <f>bargiri[[#This Row],[فی]]*bargiri[[#This Row],[میزان بارگیری شده]]</f>
        <v>1760576720</v>
      </c>
      <c r="X808" s="1"/>
      <c r="Y808" s="1"/>
      <c r="Z808" s="1"/>
    </row>
    <row r="809" spans="1:26" ht="18.600000000000001">
      <c r="A809" s="360" t="s">
        <v>932</v>
      </c>
      <c r="B809" s="360" t="s">
        <v>118</v>
      </c>
      <c r="C809" s="355" t="s">
        <v>950</v>
      </c>
      <c r="D809">
        <v>20080</v>
      </c>
      <c r="E809" s="143">
        <v>115372</v>
      </c>
      <c r="F809" s="117">
        <v>1404</v>
      </c>
      <c r="G809" s="360" t="s">
        <v>298</v>
      </c>
      <c r="H809" s="144">
        <f>bargiri[[#This Row],[میزان بارگیری شده]]*bargiri[[#This Row],[فی]]</f>
        <v>2316669760</v>
      </c>
      <c r="I809" s="360">
        <f>IF(year=bargiri[[#This Row],[سال]],1,0)</f>
        <v>0</v>
      </c>
      <c r="J809" s="360" t="str">
        <f>VLOOKUP(bargiri[[#This Row],[شماره پیش فاکتور]],invoice[],16,0)</f>
        <v>عادی</v>
      </c>
      <c r="K809" s="252">
        <f>bargiri[[#This Row],[فی]]*bargiri[[#This Row],[میزان بارگیری شده]]</f>
        <v>2316669760</v>
      </c>
      <c r="X809" s="1"/>
      <c r="Y809" s="1"/>
      <c r="Z809" s="1"/>
    </row>
    <row r="810" spans="1:26" ht="18.600000000000001">
      <c r="A810" s="360" t="s">
        <v>932</v>
      </c>
      <c r="B810" s="360" t="s">
        <v>118</v>
      </c>
      <c r="C810" s="355" t="s">
        <v>950</v>
      </c>
      <c r="D810">
        <v>20510</v>
      </c>
      <c r="E810" s="143">
        <v>115372</v>
      </c>
      <c r="F810" s="117">
        <v>1404</v>
      </c>
      <c r="G810" s="360" t="s">
        <v>298</v>
      </c>
      <c r="H810" s="144">
        <f>bargiri[[#This Row],[میزان بارگیری شده]]*bargiri[[#This Row],[فی]]</f>
        <v>2366279720</v>
      </c>
      <c r="I810" s="360">
        <f>IF(year=bargiri[[#This Row],[سال]],1,0)</f>
        <v>0</v>
      </c>
      <c r="J810" s="360" t="str">
        <f>VLOOKUP(bargiri[[#This Row],[شماره پیش فاکتور]],invoice[],16,0)</f>
        <v>عادی</v>
      </c>
      <c r="K810" s="252">
        <f>bargiri[[#This Row],[فی]]*bargiri[[#This Row],[میزان بارگیری شده]]</f>
        <v>2366279720</v>
      </c>
      <c r="X810" s="1"/>
      <c r="Y810" s="1"/>
      <c r="Z810" s="1"/>
    </row>
    <row r="811" spans="1:26" ht="18.600000000000001">
      <c r="A811" s="360" t="s">
        <v>928</v>
      </c>
      <c r="B811" s="360" t="s">
        <v>118</v>
      </c>
      <c r="C811" s="355" t="s">
        <v>950</v>
      </c>
      <c r="D811">
        <v>20190</v>
      </c>
      <c r="E811" s="143">
        <v>115372</v>
      </c>
      <c r="F811" s="117">
        <v>1404</v>
      </c>
      <c r="G811" s="360" t="s">
        <v>298</v>
      </c>
      <c r="H811" s="144">
        <f>bargiri[[#This Row],[میزان بارگیری شده]]*bargiri[[#This Row],[فی]]</f>
        <v>2329360680</v>
      </c>
      <c r="I811" s="360">
        <f>IF(year=bargiri[[#This Row],[سال]],1,0)</f>
        <v>0</v>
      </c>
      <c r="J811" s="360" t="str">
        <f>VLOOKUP(bargiri[[#This Row],[شماره پیش فاکتور]],invoice[],16,0)</f>
        <v>عادی</v>
      </c>
      <c r="K811" s="252">
        <f>bargiri[[#This Row],[فی]]*bargiri[[#This Row],[میزان بارگیری شده]]</f>
        <v>2329360680</v>
      </c>
      <c r="X811" s="1"/>
      <c r="Y811" s="1"/>
      <c r="Z811" s="1"/>
    </row>
    <row r="812" spans="1:26" ht="18.600000000000001">
      <c r="A812" s="360" t="s">
        <v>928</v>
      </c>
      <c r="B812" s="360" t="s">
        <v>118</v>
      </c>
      <c r="C812" s="355" t="s">
        <v>950</v>
      </c>
      <c r="D812">
        <v>21580</v>
      </c>
      <c r="E812" s="143">
        <v>115372</v>
      </c>
      <c r="F812" s="117">
        <v>1404</v>
      </c>
      <c r="G812" s="360" t="s">
        <v>298</v>
      </c>
      <c r="H812" s="144">
        <f>bargiri[[#This Row],[میزان بارگیری شده]]*bargiri[[#This Row],[فی]]</f>
        <v>2489727760</v>
      </c>
      <c r="I812" s="360">
        <f>IF(year=bargiri[[#This Row],[سال]],1,0)</f>
        <v>0</v>
      </c>
      <c r="J812" s="360" t="str">
        <f>VLOOKUP(bargiri[[#This Row],[شماره پیش فاکتور]],invoice[],16,0)</f>
        <v>عادی</v>
      </c>
      <c r="K812" s="252">
        <f>bargiri[[#This Row],[فی]]*bargiri[[#This Row],[میزان بارگیری شده]]</f>
        <v>2489727760</v>
      </c>
      <c r="X812" s="1"/>
      <c r="Y812" s="1"/>
      <c r="Z812" s="1"/>
    </row>
    <row r="813" spans="1:26" ht="18.600000000000001">
      <c r="A813" s="360" t="s">
        <v>930</v>
      </c>
      <c r="B813" s="360" t="s">
        <v>118</v>
      </c>
      <c r="C813" s="355" t="s">
        <v>950</v>
      </c>
      <c r="D813">
        <v>20615</v>
      </c>
      <c r="E813" s="143">
        <v>115372</v>
      </c>
      <c r="F813" s="117">
        <v>1404</v>
      </c>
      <c r="G813" s="360" t="s">
        <v>298</v>
      </c>
      <c r="H813" s="144">
        <f>bargiri[[#This Row],[میزان بارگیری شده]]*bargiri[[#This Row],[فی]]</f>
        <v>2378393780</v>
      </c>
      <c r="I813" s="360">
        <f>IF(year=bargiri[[#This Row],[سال]],1,0)</f>
        <v>0</v>
      </c>
      <c r="J813" s="360" t="str">
        <f>VLOOKUP(bargiri[[#This Row],[شماره پیش فاکتور]],invoice[],16,0)</f>
        <v>عادی</v>
      </c>
      <c r="K813" s="252">
        <f>bargiri[[#This Row],[فی]]*bargiri[[#This Row],[میزان بارگیری شده]]</f>
        <v>2378393780</v>
      </c>
      <c r="X813" s="1"/>
      <c r="Y813" s="1"/>
      <c r="Z813" s="1"/>
    </row>
    <row r="814" spans="1:26" ht="18.600000000000001">
      <c r="A814" s="360" t="s">
        <v>930</v>
      </c>
      <c r="B814" s="360" t="s">
        <v>118</v>
      </c>
      <c r="C814" s="355" t="s">
        <v>950</v>
      </c>
      <c r="D814">
        <v>20390</v>
      </c>
      <c r="E814" s="143">
        <v>115372</v>
      </c>
      <c r="F814" s="117">
        <v>1404</v>
      </c>
      <c r="G814" s="360" t="s">
        <v>298</v>
      </c>
      <c r="H814" s="144">
        <f>bargiri[[#This Row],[میزان بارگیری شده]]*bargiri[[#This Row],[فی]]</f>
        <v>2352435080</v>
      </c>
      <c r="I814" s="360">
        <f>IF(year=bargiri[[#This Row],[سال]],1,0)</f>
        <v>0</v>
      </c>
      <c r="J814" s="360" t="str">
        <f>VLOOKUP(bargiri[[#This Row],[شماره پیش فاکتور]],invoice[],16,0)</f>
        <v>عادی</v>
      </c>
      <c r="K814" s="252">
        <f>bargiri[[#This Row],[فی]]*bargiri[[#This Row],[میزان بارگیری شده]]</f>
        <v>2352435080</v>
      </c>
      <c r="X814" s="1"/>
      <c r="Y814" s="1"/>
      <c r="Z814" s="1"/>
    </row>
    <row r="815" spans="1:26" ht="18.600000000000001">
      <c r="A815" s="360" t="s">
        <v>922</v>
      </c>
      <c r="B815" s="360" t="s">
        <v>118</v>
      </c>
      <c r="C815" s="355" t="s">
        <v>950</v>
      </c>
      <c r="D815">
        <v>20300</v>
      </c>
      <c r="E815" s="143">
        <v>115372</v>
      </c>
      <c r="F815" s="117">
        <v>1404</v>
      </c>
      <c r="G815" s="360" t="s">
        <v>298</v>
      </c>
      <c r="H815" s="144">
        <f>bargiri[[#This Row],[میزان بارگیری شده]]*bargiri[[#This Row],[فی]]</f>
        <v>2342051600</v>
      </c>
      <c r="I815" s="360">
        <f>IF(year=bargiri[[#This Row],[سال]],1,0)</f>
        <v>0</v>
      </c>
      <c r="J815" s="360" t="str">
        <f>VLOOKUP(bargiri[[#This Row],[شماره پیش فاکتور]],invoice[],16,0)</f>
        <v>عادی</v>
      </c>
      <c r="K815" s="252">
        <f>bargiri[[#This Row],[فی]]*bargiri[[#This Row],[میزان بارگیری شده]]</f>
        <v>2342051600</v>
      </c>
      <c r="X815" s="1"/>
      <c r="Y815" s="1"/>
      <c r="Z815" s="1"/>
    </row>
    <row r="816" spans="1:26" ht="18.600000000000001">
      <c r="A816" s="360" t="s">
        <v>922</v>
      </c>
      <c r="B816" s="360" t="s">
        <v>118</v>
      </c>
      <c r="C816" s="355" t="s">
        <v>950</v>
      </c>
      <c r="D816">
        <v>20675</v>
      </c>
      <c r="E816" s="143">
        <v>115372</v>
      </c>
      <c r="F816" s="117">
        <v>1404</v>
      </c>
      <c r="G816" s="360" t="s">
        <v>298</v>
      </c>
      <c r="H816" s="144">
        <f>bargiri[[#This Row],[میزان بارگیری شده]]*bargiri[[#This Row],[فی]]</f>
        <v>2385316100</v>
      </c>
      <c r="I816" s="360">
        <f>IF(year=bargiri[[#This Row],[سال]],1,0)</f>
        <v>0</v>
      </c>
      <c r="J816" s="360" t="str">
        <f>VLOOKUP(bargiri[[#This Row],[شماره پیش فاکتور]],invoice[],16,0)</f>
        <v>عادی</v>
      </c>
      <c r="K816" s="252">
        <f>bargiri[[#This Row],[فی]]*bargiri[[#This Row],[میزان بارگیری شده]]</f>
        <v>2385316100</v>
      </c>
      <c r="X816" s="1"/>
      <c r="Y816" s="1"/>
      <c r="Z816" s="1"/>
    </row>
    <row r="817" spans="1:26" ht="18.600000000000001">
      <c r="A817" s="360" t="s">
        <v>951</v>
      </c>
      <c r="B817" s="360" t="s">
        <v>118</v>
      </c>
      <c r="C817" s="355" t="s">
        <v>950</v>
      </c>
      <c r="D817">
        <v>20465</v>
      </c>
      <c r="E817" s="143">
        <v>115372</v>
      </c>
      <c r="F817" s="117">
        <v>1404</v>
      </c>
      <c r="G817" s="360" t="s">
        <v>298</v>
      </c>
      <c r="H817" s="144">
        <f>bargiri[[#This Row],[میزان بارگیری شده]]*bargiri[[#This Row],[فی]]</f>
        <v>2361087980</v>
      </c>
      <c r="I817" s="360">
        <f>IF(year=bargiri[[#This Row],[سال]],1,0)</f>
        <v>0</v>
      </c>
      <c r="J817" s="360" t="str">
        <f>VLOOKUP(bargiri[[#This Row],[شماره پیش فاکتور]],invoice[],16,0)</f>
        <v>عادی</v>
      </c>
      <c r="K817" s="252">
        <f>bargiri[[#This Row],[فی]]*bargiri[[#This Row],[میزان بارگیری شده]]</f>
        <v>2361087980</v>
      </c>
      <c r="X817" s="1"/>
      <c r="Y817" s="1"/>
      <c r="Z817" s="1"/>
    </row>
    <row r="818" spans="1:26" ht="18.600000000000001">
      <c r="A818" s="360" t="s">
        <v>951</v>
      </c>
      <c r="B818" s="360" t="s">
        <v>118</v>
      </c>
      <c r="C818" s="355" t="s">
        <v>950</v>
      </c>
      <c r="D818">
        <v>20660</v>
      </c>
      <c r="E818" s="143">
        <v>115372</v>
      </c>
      <c r="F818" s="117">
        <v>1404</v>
      </c>
      <c r="G818" s="360" t="s">
        <v>298</v>
      </c>
      <c r="H818" s="144">
        <f>bargiri[[#This Row],[میزان بارگیری شده]]*bargiri[[#This Row],[فی]]</f>
        <v>2383585520</v>
      </c>
      <c r="I818" s="360">
        <f>IF(year=bargiri[[#This Row],[سال]],1,0)</f>
        <v>0</v>
      </c>
      <c r="J818" s="360" t="str">
        <f>VLOOKUP(bargiri[[#This Row],[شماره پیش فاکتور]],invoice[],16,0)</f>
        <v>عادی</v>
      </c>
      <c r="K818" s="252">
        <f>bargiri[[#This Row],[فی]]*bargiri[[#This Row],[میزان بارگیری شده]]</f>
        <v>2383585520</v>
      </c>
      <c r="X818" s="1"/>
      <c r="Y818" s="1"/>
      <c r="Z818" s="1"/>
    </row>
    <row r="819" spans="1:26" ht="18.600000000000001">
      <c r="A819" s="360" t="s">
        <v>951</v>
      </c>
      <c r="B819" s="360" t="s">
        <v>118</v>
      </c>
      <c r="C819" s="355" t="s">
        <v>950</v>
      </c>
      <c r="D819">
        <v>20470</v>
      </c>
      <c r="E819" s="143">
        <v>115372</v>
      </c>
      <c r="F819" s="117">
        <v>1404</v>
      </c>
      <c r="G819" s="360" t="s">
        <v>298</v>
      </c>
      <c r="H819" s="144">
        <f>bargiri[[#This Row],[میزان بارگیری شده]]*bargiri[[#This Row],[فی]]</f>
        <v>2361664840</v>
      </c>
      <c r="I819" s="360">
        <f>IF(year=bargiri[[#This Row],[سال]],1,0)</f>
        <v>0</v>
      </c>
      <c r="J819" s="360" t="str">
        <f>VLOOKUP(bargiri[[#This Row],[شماره پیش فاکتور]],invoice[],16,0)</f>
        <v>عادی</v>
      </c>
      <c r="K819" s="252">
        <f>bargiri[[#This Row],[فی]]*bargiri[[#This Row],[میزان بارگیری شده]]</f>
        <v>2361664840</v>
      </c>
      <c r="X819" s="1"/>
      <c r="Y819" s="1"/>
      <c r="Z819" s="1"/>
    </row>
    <row r="820" spans="1:26" ht="18.600000000000001">
      <c r="A820" s="360" t="s">
        <v>951</v>
      </c>
      <c r="B820" s="360" t="s">
        <v>118</v>
      </c>
      <c r="C820" s="355" t="s">
        <v>950</v>
      </c>
      <c r="D820">
        <v>20240</v>
      </c>
      <c r="E820" s="143">
        <v>115372</v>
      </c>
      <c r="F820" s="117">
        <v>1404</v>
      </c>
      <c r="G820" s="360" t="s">
        <v>298</v>
      </c>
      <c r="H820" s="144">
        <f>bargiri[[#This Row],[میزان بارگیری شده]]*bargiri[[#This Row],[فی]]</f>
        <v>2335129280</v>
      </c>
      <c r="I820" s="360">
        <f>IF(year=bargiri[[#This Row],[سال]],1,0)</f>
        <v>0</v>
      </c>
      <c r="J820" s="360" t="str">
        <f>VLOOKUP(bargiri[[#This Row],[شماره پیش فاکتور]],invoice[],16,0)</f>
        <v>عادی</v>
      </c>
      <c r="K820" s="252">
        <f>bargiri[[#This Row],[فی]]*bargiri[[#This Row],[میزان بارگیری شده]]</f>
        <v>2335129280</v>
      </c>
      <c r="X820" s="1"/>
      <c r="Y820" s="1"/>
      <c r="Z820" s="1"/>
    </row>
    <row r="821" spans="1:26" ht="18.600000000000001">
      <c r="A821" s="360" t="s">
        <v>951</v>
      </c>
      <c r="B821" s="360" t="s">
        <v>118</v>
      </c>
      <c r="C821" s="355" t="s">
        <v>950</v>
      </c>
      <c r="D821">
        <v>20580</v>
      </c>
      <c r="E821" s="143">
        <v>115372</v>
      </c>
      <c r="F821" s="117">
        <v>1404</v>
      </c>
      <c r="G821" s="360" t="s">
        <v>298</v>
      </c>
      <c r="H821" s="144">
        <f>bargiri[[#This Row],[میزان بارگیری شده]]*bargiri[[#This Row],[فی]]</f>
        <v>2374355760</v>
      </c>
      <c r="I821" s="360">
        <f>IF(year=bargiri[[#This Row],[سال]],1,0)</f>
        <v>0</v>
      </c>
      <c r="J821" s="360" t="str">
        <f>VLOOKUP(bargiri[[#This Row],[شماره پیش فاکتور]],invoice[],16,0)</f>
        <v>عادی</v>
      </c>
      <c r="K821" s="252">
        <f>bargiri[[#This Row],[فی]]*bargiri[[#This Row],[میزان بارگیری شده]]</f>
        <v>2374355760</v>
      </c>
      <c r="X821" s="1"/>
      <c r="Y821" s="1"/>
      <c r="Z821" s="1"/>
    </row>
    <row r="822" spans="1:26" ht="18.600000000000001">
      <c r="A822" s="360" t="s">
        <v>951</v>
      </c>
      <c r="B822" s="360" t="s">
        <v>118</v>
      </c>
      <c r="C822" s="355" t="s">
        <v>950</v>
      </c>
      <c r="D822">
        <v>20220</v>
      </c>
      <c r="E822" s="143">
        <v>115372</v>
      </c>
      <c r="F822" s="117">
        <v>1404</v>
      </c>
      <c r="G822" s="360" t="s">
        <v>298</v>
      </c>
      <c r="H822" s="144">
        <f>bargiri[[#This Row],[میزان بارگیری شده]]*bargiri[[#This Row],[فی]]</f>
        <v>2332821840</v>
      </c>
      <c r="I822" s="360">
        <f>IF(year=bargiri[[#This Row],[سال]],1,0)</f>
        <v>0</v>
      </c>
      <c r="J822" s="360" t="str">
        <f>VLOOKUP(bargiri[[#This Row],[شماره پیش فاکتور]],invoice[],16,0)</f>
        <v>عادی</v>
      </c>
      <c r="K822" s="252">
        <f>bargiri[[#This Row],[فی]]*bargiri[[#This Row],[میزان بارگیری شده]]</f>
        <v>2332821840</v>
      </c>
      <c r="X822" s="1"/>
      <c r="Y822" s="1"/>
      <c r="Z822" s="1"/>
    </row>
    <row r="823" spans="1:26" ht="18.600000000000001">
      <c r="A823" s="360" t="s">
        <v>914</v>
      </c>
      <c r="B823" s="360" t="s">
        <v>118</v>
      </c>
      <c r="C823" s="355" t="s">
        <v>950</v>
      </c>
      <c r="D823">
        <v>20510</v>
      </c>
      <c r="E823" s="143">
        <v>115372</v>
      </c>
      <c r="F823" s="117">
        <v>1404</v>
      </c>
      <c r="G823" s="360" t="s">
        <v>298</v>
      </c>
      <c r="H823" s="144">
        <f>bargiri[[#This Row],[میزان بارگیری شده]]*bargiri[[#This Row],[فی]]</f>
        <v>2366279720</v>
      </c>
      <c r="I823" s="360">
        <f>IF(year=bargiri[[#This Row],[سال]],1,0)</f>
        <v>0</v>
      </c>
      <c r="J823" s="360" t="str">
        <f>VLOOKUP(bargiri[[#This Row],[شماره پیش فاکتور]],invoice[],16,0)</f>
        <v>عادی</v>
      </c>
      <c r="K823" s="252">
        <f>bargiri[[#This Row],[فی]]*bargiri[[#This Row],[میزان بارگیری شده]]</f>
        <v>2366279720</v>
      </c>
      <c r="X823" s="1"/>
      <c r="Y823" s="1"/>
      <c r="Z823" s="1"/>
    </row>
    <row r="824" spans="1:26" ht="18.600000000000001">
      <c r="A824" s="360" t="s">
        <v>914</v>
      </c>
      <c r="B824" s="360" t="s">
        <v>118</v>
      </c>
      <c r="C824" s="355" t="s">
        <v>950</v>
      </c>
      <c r="D824">
        <v>20490</v>
      </c>
      <c r="E824" s="143">
        <v>115372</v>
      </c>
      <c r="F824" s="117">
        <v>1404</v>
      </c>
      <c r="G824" s="360" t="s">
        <v>298</v>
      </c>
      <c r="H824" s="144">
        <f>bargiri[[#This Row],[میزان بارگیری شده]]*bargiri[[#This Row],[فی]]</f>
        <v>2363972280</v>
      </c>
      <c r="I824" s="360">
        <f>IF(year=bargiri[[#This Row],[سال]],1,0)</f>
        <v>0</v>
      </c>
      <c r="J824" s="360" t="str">
        <f>VLOOKUP(bargiri[[#This Row],[شماره پیش فاکتور]],invoice[],16,0)</f>
        <v>عادی</v>
      </c>
      <c r="K824" s="252">
        <f>bargiri[[#This Row],[فی]]*bargiri[[#This Row],[میزان بارگیری شده]]</f>
        <v>2363972280</v>
      </c>
      <c r="X824" s="1"/>
      <c r="Y824" s="1"/>
      <c r="Z824" s="1"/>
    </row>
    <row r="825" spans="1:26" ht="18.600000000000001">
      <c r="A825" s="360" t="s">
        <v>952</v>
      </c>
      <c r="B825" s="360" t="s">
        <v>118</v>
      </c>
      <c r="C825" s="355" t="s">
        <v>950</v>
      </c>
      <c r="D825">
        <v>21180</v>
      </c>
      <c r="E825" s="143">
        <v>115372</v>
      </c>
      <c r="F825" s="117">
        <v>1404</v>
      </c>
      <c r="G825" s="360" t="s">
        <v>298</v>
      </c>
      <c r="H825" s="144">
        <f>bargiri[[#This Row],[میزان بارگیری شده]]*bargiri[[#This Row],[فی]]</f>
        <v>2443578960</v>
      </c>
      <c r="I825" s="360">
        <f>IF(year=bargiri[[#This Row],[سال]],1,0)</f>
        <v>0</v>
      </c>
      <c r="J825" s="360" t="str">
        <f>VLOOKUP(bargiri[[#This Row],[شماره پیش فاکتور]],invoice[],16,0)</f>
        <v>عادی</v>
      </c>
      <c r="K825" s="252">
        <f>bargiri[[#This Row],[فی]]*bargiri[[#This Row],[میزان بارگیری شده]]</f>
        <v>2443578960</v>
      </c>
      <c r="X825" s="1"/>
      <c r="Y825" s="1"/>
      <c r="Z825" s="1"/>
    </row>
    <row r="826" spans="1:26" ht="18.600000000000001">
      <c r="A826" s="360" t="s">
        <v>952</v>
      </c>
      <c r="B826" s="360" t="s">
        <v>118</v>
      </c>
      <c r="C826" s="355" t="s">
        <v>950</v>
      </c>
      <c r="D826">
        <v>20460</v>
      </c>
      <c r="E826" s="143">
        <v>115372</v>
      </c>
      <c r="F826" s="117">
        <v>1404</v>
      </c>
      <c r="G826" s="360" t="s">
        <v>298</v>
      </c>
      <c r="H826" s="144">
        <f>bargiri[[#This Row],[میزان بارگیری شده]]*bargiri[[#This Row],[فی]]</f>
        <v>2360511120</v>
      </c>
      <c r="I826" s="360">
        <f>IF(year=bargiri[[#This Row],[سال]],1,0)</f>
        <v>0</v>
      </c>
      <c r="J826" s="360" t="str">
        <f>VLOOKUP(bargiri[[#This Row],[شماره پیش فاکتور]],invoice[],16,0)</f>
        <v>عادی</v>
      </c>
      <c r="K826" s="252">
        <f>bargiri[[#This Row],[فی]]*bargiri[[#This Row],[میزان بارگیری شده]]</f>
        <v>2360511120</v>
      </c>
      <c r="X826" s="1"/>
      <c r="Y826" s="1"/>
      <c r="Z826" s="1"/>
    </row>
    <row r="827" spans="1:26" ht="18.600000000000001">
      <c r="A827" s="360" t="s">
        <v>952</v>
      </c>
      <c r="B827" s="360" t="s">
        <v>118</v>
      </c>
      <c r="C827" s="355" t="s">
        <v>950</v>
      </c>
      <c r="D827">
        <v>20915</v>
      </c>
      <c r="E827" s="143">
        <v>115372</v>
      </c>
      <c r="F827" s="117">
        <v>1404</v>
      </c>
      <c r="G827" s="360" t="s">
        <v>298</v>
      </c>
      <c r="H827" s="144">
        <f>bargiri[[#This Row],[میزان بارگیری شده]]*bargiri[[#This Row],[فی]]</f>
        <v>2413005380</v>
      </c>
      <c r="I827" s="360">
        <f>IF(year=bargiri[[#This Row],[سال]],1,0)</f>
        <v>0</v>
      </c>
      <c r="J827" s="360" t="str">
        <f>VLOOKUP(bargiri[[#This Row],[شماره پیش فاکتور]],invoice[],16,0)</f>
        <v>عادی</v>
      </c>
      <c r="K827" s="252">
        <f>bargiri[[#This Row],[فی]]*bargiri[[#This Row],[میزان بارگیری شده]]</f>
        <v>2413005380</v>
      </c>
      <c r="X827" s="1"/>
      <c r="Y827" s="1"/>
      <c r="Z827" s="1"/>
    </row>
    <row r="828" spans="1:26" ht="18.600000000000001">
      <c r="A828" s="360" t="s">
        <v>952</v>
      </c>
      <c r="B828" s="360" t="s">
        <v>118</v>
      </c>
      <c r="C828" s="355" t="s">
        <v>950</v>
      </c>
      <c r="D828">
        <v>21100</v>
      </c>
      <c r="E828" s="143">
        <v>115372</v>
      </c>
      <c r="F828" s="117">
        <v>1404</v>
      </c>
      <c r="G828" s="360" t="s">
        <v>298</v>
      </c>
      <c r="H828" s="144">
        <f>bargiri[[#This Row],[میزان بارگیری شده]]*bargiri[[#This Row],[فی]]</f>
        <v>2434349200</v>
      </c>
      <c r="I828" s="360">
        <f>IF(year=bargiri[[#This Row],[سال]],1,0)</f>
        <v>0</v>
      </c>
      <c r="J828" s="360" t="str">
        <f>VLOOKUP(bargiri[[#This Row],[شماره پیش فاکتور]],invoice[],16,0)</f>
        <v>عادی</v>
      </c>
      <c r="K828" s="252">
        <f>bargiri[[#This Row],[فی]]*bargiri[[#This Row],[میزان بارگیری شده]]</f>
        <v>2434349200</v>
      </c>
      <c r="X828" s="1"/>
      <c r="Y828" s="1"/>
      <c r="Z828" s="1"/>
    </row>
    <row r="829" spans="1:26" ht="18.600000000000001">
      <c r="A829" s="360" t="s">
        <v>952</v>
      </c>
      <c r="B829" s="360" t="s">
        <v>118</v>
      </c>
      <c r="C829" s="355" t="s">
        <v>950</v>
      </c>
      <c r="D829">
        <v>21055</v>
      </c>
      <c r="E829" s="143">
        <v>115372</v>
      </c>
      <c r="F829" s="117">
        <v>1404</v>
      </c>
      <c r="G829" s="360" t="s">
        <v>298</v>
      </c>
      <c r="H829" s="144">
        <f>bargiri[[#This Row],[میزان بارگیری شده]]*bargiri[[#This Row],[فی]]</f>
        <v>2429157460</v>
      </c>
      <c r="I829" s="360">
        <f>IF(year=bargiri[[#This Row],[سال]],1,0)</f>
        <v>0</v>
      </c>
      <c r="J829" s="360" t="str">
        <f>VLOOKUP(bargiri[[#This Row],[شماره پیش فاکتور]],invoice[],16,0)</f>
        <v>عادی</v>
      </c>
      <c r="K829" s="252">
        <f>bargiri[[#This Row],[فی]]*bargiri[[#This Row],[میزان بارگیری شده]]</f>
        <v>2429157460</v>
      </c>
      <c r="X829" s="1"/>
      <c r="Y829" s="1"/>
      <c r="Z829" s="1"/>
    </row>
    <row r="830" spans="1:26" ht="18.600000000000001">
      <c r="A830" s="360" t="s">
        <v>912</v>
      </c>
      <c r="B830" s="360" t="s">
        <v>118</v>
      </c>
      <c r="C830" s="355" t="s">
        <v>950</v>
      </c>
      <c r="D830">
        <v>20850</v>
      </c>
      <c r="E830" s="143">
        <v>115372</v>
      </c>
      <c r="F830" s="117">
        <v>1404</v>
      </c>
      <c r="G830" s="360" t="s">
        <v>298</v>
      </c>
      <c r="H830" s="144">
        <f>bargiri[[#This Row],[میزان بارگیری شده]]*bargiri[[#This Row],[فی]]</f>
        <v>2405506200</v>
      </c>
      <c r="I830" s="360">
        <f>IF(year=bargiri[[#This Row],[سال]],1,0)</f>
        <v>0</v>
      </c>
      <c r="J830" s="360" t="str">
        <f>VLOOKUP(bargiri[[#This Row],[شماره پیش فاکتور]],invoice[],16,0)</f>
        <v>عادی</v>
      </c>
      <c r="K830" s="252">
        <f>bargiri[[#This Row],[فی]]*bargiri[[#This Row],[میزان بارگیری شده]]</f>
        <v>2405506200</v>
      </c>
      <c r="X830" s="1"/>
      <c r="Y830" s="1"/>
      <c r="Z830" s="1"/>
    </row>
    <row r="831" spans="1:26" ht="18.600000000000001">
      <c r="A831" s="360" t="s">
        <v>912</v>
      </c>
      <c r="B831" s="360" t="s">
        <v>118</v>
      </c>
      <c r="C831" s="355" t="s">
        <v>950</v>
      </c>
      <c r="D831">
        <v>20815</v>
      </c>
      <c r="E831" s="143">
        <v>115372</v>
      </c>
      <c r="F831" s="117">
        <v>1404</v>
      </c>
      <c r="G831" s="360" t="s">
        <v>298</v>
      </c>
      <c r="H831" s="144">
        <f>bargiri[[#This Row],[میزان بارگیری شده]]*bargiri[[#This Row],[فی]]</f>
        <v>2401468180</v>
      </c>
      <c r="I831" s="360">
        <f>IF(year=bargiri[[#This Row],[سال]],1,0)</f>
        <v>0</v>
      </c>
      <c r="J831" s="360" t="str">
        <f>VLOOKUP(bargiri[[#This Row],[شماره پیش فاکتور]],invoice[],16,0)</f>
        <v>عادی</v>
      </c>
      <c r="K831" s="252">
        <f>bargiri[[#This Row],[فی]]*bargiri[[#This Row],[میزان بارگیری شده]]</f>
        <v>2401468180</v>
      </c>
      <c r="X831" s="1"/>
      <c r="Y831" s="1"/>
      <c r="Z831" s="1"/>
    </row>
    <row r="832" spans="1:26" ht="18.600000000000001">
      <c r="A832" s="360" t="s">
        <v>912</v>
      </c>
      <c r="B832" s="360" t="s">
        <v>118</v>
      </c>
      <c r="C832" s="355" t="s">
        <v>950</v>
      </c>
      <c r="D832">
        <v>20790</v>
      </c>
      <c r="E832" s="143">
        <v>115372</v>
      </c>
      <c r="F832" s="117">
        <v>1404</v>
      </c>
      <c r="G832" s="360" t="s">
        <v>298</v>
      </c>
      <c r="H832" s="144">
        <f>bargiri[[#This Row],[میزان بارگیری شده]]*bargiri[[#This Row],[فی]]</f>
        <v>2398583880</v>
      </c>
      <c r="I832" s="360">
        <f>IF(year=bargiri[[#This Row],[سال]],1,0)</f>
        <v>0</v>
      </c>
      <c r="J832" s="360" t="str">
        <f>VLOOKUP(bargiri[[#This Row],[شماره پیش فاکتور]],invoice[],16,0)</f>
        <v>عادی</v>
      </c>
      <c r="K832" s="252">
        <f>bargiri[[#This Row],[فی]]*bargiri[[#This Row],[میزان بارگیری شده]]</f>
        <v>2398583880</v>
      </c>
      <c r="X832" s="1"/>
      <c r="Y832" s="1"/>
      <c r="Z832" s="1"/>
    </row>
    <row r="833" spans="1:26" ht="18.600000000000001">
      <c r="A833" s="360" t="s">
        <v>945</v>
      </c>
      <c r="B833" s="360" t="s">
        <v>106</v>
      </c>
      <c r="C833" s="355" t="s">
        <v>781</v>
      </c>
      <c r="D833">
        <v>5380</v>
      </c>
      <c r="E833" s="143">
        <v>111000</v>
      </c>
      <c r="F833" s="117">
        <v>1404</v>
      </c>
      <c r="G833" s="360" t="s">
        <v>297</v>
      </c>
      <c r="H833" s="144">
        <f>bargiri[[#This Row],[میزان بارگیری شده]]*bargiri[[#This Row],[فی]]</f>
        <v>597180000</v>
      </c>
      <c r="I833" s="360">
        <f>IF(year=bargiri[[#This Row],[سال]],1,0)</f>
        <v>0</v>
      </c>
      <c r="J833" s="360" t="str">
        <f>VLOOKUP(bargiri[[#This Row],[شماره پیش فاکتور]],invoice[],16,0)</f>
        <v>عادی</v>
      </c>
      <c r="K833" s="252">
        <f>bargiri[[#This Row],[فی]]*bargiri[[#This Row],[میزان بارگیری شده]]</f>
        <v>597180000</v>
      </c>
      <c r="X833" s="1"/>
      <c r="Y833" s="1"/>
      <c r="Z833" s="1"/>
    </row>
    <row r="834" spans="1:26" ht="18.600000000000001">
      <c r="A834" s="360" t="s">
        <v>945</v>
      </c>
      <c r="B834" s="360" t="s">
        <v>114</v>
      </c>
      <c r="C834" s="355" t="s">
        <v>62</v>
      </c>
      <c r="D834">
        <v>22790</v>
      </c>
      <c r="E834" s="143">
        <v>75000</v>
      </c>
      <c r="F834" s="117">
        <v>1404</v>
      </c>
      <c r="G834" s="360" t="s">
        <v>297</v>
      </c>
      <c r="H834" s="144">
        <f>bargiri[[#This Row],[میزان بارگیری شده]]*bargiri[[#This Row],[فی]]</f>
        <v>1709250000</v>
      </c>
      <c r="I834" s="360">
        <f>IF(year=bargiri[[#This Row],[سال]],1,0)</f>
        <v>0</v>
      </c>
      <c r="J834" s="360" t="str">
        <f>VLOOKUP(bargiri[[#This Row],[شماره پیش فاکتور]],invoice[],16,0)</f>
        <v>عادی</v>
      </c>
      <c r="K834" s="252">
        <f>bargiri[[#This Row],[فی]]*bargiri[[#This Row],[میزان بارگیری شده]]</f>
        <v>1709250000</v>
      </c>
      <c r="X834" s="1"/>
      <c r="Y834" s="1"/>
      <c r="Z834" s="1"/>
    </row>
    <row r="835" spans="1:26" ht="18.600000000000001">
      <c r="A835" s="360" t="s">
        <v>945</v>
      </c>
      <c r="B835" s="360" t="s">
        <v>103</v>
      </c>
      <c r="C835" s="355" t="s">
        <v>560</v>
      </c>
      <c r="D835">
        <v>18980</v>
      </c>
      <c r="E835" s="143">
        <v>142000</v>
      </c>
      <c r="F835" s="117">
        <v>1404</v>
      </c>
      <c r="G835" s="360" t="s">
        <v>297</v>
      </c>
      <c r="H835" s="144">
        <f>bargiri[[#This Row],[میزان بارگیری شده]]*bargiri[[#This Row],[فی]]</f>
        <v>2695160000</v>
      </c>
      <c r="I835" s="360">
        <f>IF(year=bargiri[[#This Row],[سال]],1,0)</f>
        <v>0</v>
      </c>
      <c r="J835" s="360" t="str">
        <f>VLOOKUP(bargiri[[#This Row],[شماره پیش فاکتور]],invoice[],16,0)</f>
        <v>انجمن</v>
      </c>
      <c r="K835" s="252">
        <f>bargiri[[#This Row],[فی]]*bargiri[[#This Row],[میزان بارگیری شده]]</f>
        <v>2695160000</v>
      </c>
      <c r="X835" s="1"/>
      <c r="Y835" s="1"/>
      <c r="Z835" s="1"/>
    </row>
    <row r="836" spans="1:26" ht="18.600000000000001">
      <c r="A836" s="360" t="s">
        <v>945</v>
      </c>
      <c r="B836" s="360" t="s">
        <v>106</v>
      </c>
      <c r="C836" s="355" t="s">
        <v>781</v>
      </c>
      <c r="D836">
        <v>5750</v>
      </c>
      <c r="E836" s="143">
        <v>111000</v>
      </c>
      <c r="F836" s="117">
        <v>1404</v>
      </c>
      <c r="G836" s="360" t="s">
        <v>297</v>
      </c>
      <c r="H836" s="144">
        <f>bargiri[[#This Row],[میزان بارگیری شده]]*bargiri[[#This Row],[فی]]</f>
        <v>638250000</v>
      </c>
      <c r="I836" s="360">
        <f>IF(year=bargiri[[#This Row],[سال]],1,0)</f>
        <v>0</v>
      </c>
      <c r="J836" s="360" t="str">
        <f>VLOOKUP(bargiri[[#This Row],[شماره پیش فاکتور]],invoice[],16,0)</f>
        <v>عادی</v>
      </c>
      <c r="K836" s="252">
        <f>bargiri[[#This Row],[فی]]*bargiri[[#This Row],[میزان بارگیری شده]]</f>
        <v>638250000</v>
      </c>
      <c r="X836" s="1"/>
      <c r="Y836" s="1"/>
      <c r="Z836" s="1"/>
    </row>
    <row r="837" spans="1:26" ht="18.600000000000001">
      <c r="A837" s="360" t="s">
        <v>945</v>
      </c>
      <c r="B837" s="360" t="s">
        <v>98</v>
      </c>
      <c r="C837" s="355" t="s">
        <v>636</v>
      </c>
      <c r="D837">
        <v>23560</v>
      </c>
      <c r="E837" s="143">
        <v>120000</v>
      </c>
      <c r="F837" s="117">
        <v>1404</v>
      </c>
      <c r="G837" s="360" t="s">
        <v>297</v>
      </c>
      <c r="H837" s="144">
        <f>bargiri[[#This Row],[میزان بارگیری شده]]*bargiri[[#This Row],[فی]]</f>
        <v>2827200000</v>
      </c>
      <c r="I837" s="360">
        <f>IF(year=bargiri[[#This Row],[سال]],1,0)</f>
        <v>0</v>
      </c>
      <c r="J837" s="360" t="str">
        <f>VLOOKUP(bargiri[[#This Row],[شماره پیش فاکتور]],invoice[],16,0)</f>
        <v>عادی</v>
      </c>
      <c r="K837" s="252">
        <f>bargiri[[#This Row],[فی]]*bargiri[[#This Row],[میزان بارگیری شده]]</f>
        <v>2827200000</v>
      </c>
      <c r="X837" s="1"/>
      <c r="Y837" s="1"/>
      <c r="Z837" s="1"/>
    </row>
    <row r="838" spans="1:26" ht="18.600000000000001">
      <c r="A838" s="360" t="s">
        <v>944</v>
      </c>
      <c r="B838" s="360" t="s">
        <v>117</v>
      </c>
      <c r="C838" s="355" t="s">
        <v>634</v>
      </c>
      <c r="D838">
        <v>20310</v>
      </c>
      <c r="E838" s="143">
        <v>120000</v>
      </c>
      <c r="F838" s="117">
        <v>1404</v>
      </c>
      <c r="G838" s="360" t="s">
        <v>297</v>
      </c>
      <c r="H838" s="144">
        <f>bargiri[[#This Row],[میزان بارگیری شده]]*bargiri[[#This Row],[فی]]</f>
        <v>2437200000</v>
      </c>
      <c r="I838" s="360">
        <f>IF(year=bargiri[[#This Row],[سال]],1,0)</f>
        <v>0</v>
      </c>
      <c r="J838" s="360" t="str">
        <f>VLOOKUP(bargiri[[#This Row],[شماره پیش فاکتور]],invoice[],16,0)</f>
        <v>عادی</v>
      </c>
      <c r="K838" s="252">
        <f>bargiri[[#This Row],[فی]]*bargiri[[#This Row],[میزان بارگیری شده]]</f>
        <v>2437200000</v>
      </c>
      <c r="X838" s="1"/>
      <c r="Y838" s="1"/>
      <c r="Z838" s="1"/>
    </row>
    <row r="839" spans="1:26" ht="18.600000000000001">
      <c r="A839" s="360" t="s">
        <v>942</v>
      </c>
      <c r="B839" s="360" t="s">
        <v>104</v>
      </c>
      <c r="C839" s="355" t="s">
        <v>941</v>
      </c>
      <c r="D839">
        <v>7360</v>
      </c>
      <c r="E839" s="143">
        <v>167500</v>
      </c>
      <c r="F839" s="117">
        <v>1404</v>
      </c>
      <c r="G839" s="360" t="s">
        <v>297</v>
      </c>
      <c r="H839" s="144">
        <f>bargiri[[#This Row],[میزان بارگیری شده]]*bargiri[[#This Row],[فی]]</f>
        <v>1232800000</v>
      </c>
      <c r="I839" s="360">
        <f>IF(year=bargiri[[#This Row],[سال]],1,0)</f>
        <v>0</v>
      </c>
      <c r="J839" s="360" t="str">
        <f>VLOOKUP(bargiri[[#This Row],[شماره پیش فاکتور]],invoice[],16,0)</f>
        <v>بورس</v>
      </c>
      <c r="K839" s="252">
        <f>bargiri[[#This Row],[فی]]*bargiri[[#This Row],[میزان بارگیری شده]]</f>
        <v>1232800000</v>
      </c>
      <c r="X839" s="1"/>
      <c r="Y839" s="1"/>
      <c r="Z839" s="1"/>
    </row>
    <row r="840" spans="1:26" ht="18.600000000000001">
      <c r="A840" s="360" t="s">
        <v>942</v>
      </c>
      <c r="B840" s="360" t="s">
        <v>104</v>
      </c>
      <c r="C840" s="355" t="s">
        <v>901</v>
      </c>
      <c r="D840">
        <v>11390</v>
      </c>
      <c r="E840" s="143">
        <v>167500</v>
      </c>
      <c r="F840" s="117">
        <v>1404</v>
      </c>
      <c r="G840" s="360" t="s">
        <v>297</v>
      </c>
      <c r="H840" s="144">
        <f>bargiri[[#This Row],[میزان بارگیری شده]]*bargiri[[#This Row],[فی]]</f>
        <v>1907825000</v>
      </c>
      <c r="I840" s="360">
        <f>IF(year=bargiri[[#This Row],[سال]],1,0)</f>
        <v>0</v>
      </c>
      <c r="J840" s="360" t="str">
        <f>VLOOKUP(bargiri[[#This Row],[شماره پیش فاکتور]],invoice[],16,0)</f>
        <v>بورس</v>
      </c>
      <c r="K840" s="252">
        <f>bargiri[[#This Row],[فی]]*bargiri[[#This Row],[میزان بارگیری شده]]</f>
        <v>1907825000</v>
      </c>
      <c r="X840" s="1"/>
      <c r="Y840" s="1"/>
      <c r="Z840" s="1"/>
    </row>
    <row r="841" spans="1:26" ht="18.600000000000001">
      <c r="A841" s="360" t="s">
        <v>943</v>
      </c>
      <c r="B841" s="360" t="s">
        <v>103</v>
      </c>
      <c r="C841" s="355" t="s">
        <v>560</v>
      </c>
      <c r="D841">
        <v>19810</v>
      </c>
      <c r="E841" s="143">
        <v>142000</v>
      </c>
      <c r="F841" s="117">
        <v>1404</v>
      </c>
      <c r="G841" s="360" t="s">
        <v>297</v>
      </c>
      <c r="H841" s="144">
        <f>bargiri[[#This Row],[میزان بارگیری شده]]*bargiri[[#This Row],[فی]]</f>
        <v>2813020000</v>
      </c>
      <c r="I841" s="360">
        <f>IF(year=bargiri[[#This Row],[سال]],1,0)</f>
        <v>0</v>
      </c>
      <c r="J841" s="360" t="str">
        <f>VLOOKUP(bargiri[[#This Row],[شماره پیش فاکتور]],invoice[],16,0)</f>
        <v>انجمن</v>
      </c>
      <c r="K841" s="252">
        <f>bargiri[[#This Row],[فی]]*bargiri[[#This Row],[میزان بارگیری شده]]</f>
        <v>2813020000</v>
      </c>
      <c r="X841" s="1"/>
      <c r="Y841" s="1"/>
      <c r="Z841" s="1"/>
    </row>
    <row r="842" spans="1:26" ht="18.600000000000001">
      <c r="A842" s="360" t="s">
        <v>943</v>
      </c>
      <c r="B842" s="360" t="s">
        <v>106</v>
      </c>
      <c r="C842" s="355" t="s">
        <v>781</v>
      </c>
      <c r="D842">
        <v>5490</v>
      </c>
      <c r="E842" s="143">
        <v>111000</v>
      </c>
      <c r="F842" s="117">
        <v>1404</v>
      </c>
      <c r="G842" s="360" t="s">
        <v>297</v>
      </c>
      <c r="H842" s="144">
        <f>bargiri[[#This Row],[میزان بارگیری شده]]*bargiri[[#This Row],[فی]]</f>
        <v>609390000</v>
      </c>
      <c r="I842" s="360">
        <f>IF(year=bargiri[[#This Row],[سال]],1,0)</f>
        <v>0</v>
      </c>
      <c r="J842" s="360" t="str">
        <f>VLOOKUP(bargiri[[#This Row],[شماره پیش فاکتور]],invoice[],16,0)</f>
        <v>عادی</v>
      </c>
      <c r="K842" s="252">
        <f>bargiri[[#This Row],[فی]]*bargiri[[#This Row],[میزان بارگیری شده]]</f>
        <v>609390000</v>
      </c>
      <c r="X842" s="1"/>
      <c r="Y842" s="1"/>
      <c r="Z842" s="1"/>
    </row>
    <row r="843" spans="1:26" ht="18.600000000000001">
      <c r="A843" s="360" t="s">
        <v>943</v>
      </c>
      <c r="B843" s="360" t="s">
        <v>101</v>
      </c>
      <c r="C843" s="355" t="s">
        <v>860</v>
      </c>
      <c r="D843">
        <v>9110</v>
      </c>
      <c r="E843" s="143">
        <v>167500</v>
      </c>
      <c r="F843" s="117">
        <v>1404</v>
      </c>
      <c r="G843" s="360" t="s">
        <v>297</v>
      </c>
      <c r="H843" s="144">
        <f>bargiri[[#This Row],[میزان بارگیری شده]]*bargiri[[#This Row],[فی]]</f>
        <v>1525925000</v>
      </c>
      <c r="I843" s="360">
        <f>IF(year=bargiri[[#This Row],[سال]],1,0)</f>
        <v>0</v>
      </c>
      <c r="J843" s="360" t="str">
        <f>VLOOKUP(bargiri[[#This Row],[شماره پیش فاکتور]],invoice[],16,0)</f>
        <v>بورس</v>
      </c>
      <c r="K843" s="252">
        <f>bargiri[[#This Row],[فی]]*bargiri[[#This Row],[میزان بارگیری شده]]</f>
        <v>1525925000</v>
      </c>
      <c r="X843" s="1"/>
      <c r="Y843" s="1"/>
      <c r="Z843" s="1"/>
    </row>
    <row r="844" spans="1:26" ht="18.600000000000001">
      <c r="A844" s="360" t="s">
        <v>943</v>
      </c>
      <c r="B844" s="360" t="s">
        <v>101</v>
      </c>
      <c r="C844" s="355" t="s">
        <v>902</v>
      </c>
      <c r="D844">
        <v>13770</v>
      </c>
      <c r="E844" s="143">
        <v>167500</v>
      </c>
      <c r="F844" s="117">
        <v>1404</v>
      </c>
      <c r="G844" s="360" t="s">
        <v>297</v>
      </c>
      <c r="H844" s="144">
        <f>bargiri[[#This Row],[میزان بارگیری شده]]*bargiri[[#This Row],[فی]]</f>
        <v>2306475000</v>
      </c>
      <c r="I844" s="360">
        <f>IF(year=bargiri[[#This Row],[سال]],1,0)</f>
        <v>0</v>
      </c>
      <c r="J844" s="360" t="str">
        <f>VLOOKUP(bargiri[[#This Row],[شماره پیش فاکتور]],invoice[],16,0)</f>
        <v>بورس</v>
      </c>
      <c r="K844" s="252">
        <f>bargiri[[#This Row],[فی]]*bargiri[[#This Row],[میزان بارگیری شده]]</f>
        <v>2306475000</v>
      </c>
      <c r="X844" s="1"/>
      <c r="Y844" s="1"/>
      <c r="Z844" s="1"/>
    </row>
    <row r="845" spans="1:26" ht="18.600000000000001">
      <c r="A845" s="360" t="s">
        <v>943</v>
      </c>
      <c r="B845" s="360" t="s">
        <v>100</v>
      </c>
      <c r="C845" s="355" t="s">
        <v>555</v>
      </c>
      <c r="D845">
        <v>6720</v>
      </c>
      <c r="E845" s="143">
        <v>142000</v>
      </c>
      <c r="F845" s="117">
        <v>1404</v>
      </c>
      <c r="G845" s="360" t="s">
        <v>297</v>
      </c>
      <c r="H845" s="144">
        <f>bargiri[[#This Row],[میزان بارگیری شده]]*bargiri[[#This Row],[فی]]</f>
        <v>954240000</v>
      </c>
      <c r="I845" s="360">
        <f>IF(year=bargiri[[#This Row],[سال]],1,0)</f>
        <v>0</v>
      </c>
      <c r="J845" s="360" t="str">
        <f>VLOOKUP(bargiri[[#This Row],[شماره پیش فاکتور]],invoice[],16,0)</f>
        <v>انجمن</v>
      </c>
      <c r="K845" s="252">
        <f>bargiri[[#This Row],[فی]]*bargiri[[#This Row],[میزان بارگیری شده]]</f>
        <v>954240000</v>
      </c>
      <c r="X845" s="1"/>
      <c r="Y845" s="1"/>
      <c r="Z845" s="1"/>
    </row>
    <row r="846" spans="1:26" ht="18.600000000000001">
      <c r="A846" s="360" t="s">
        <v>938</v>
      </c>
      <c r="B846" s="360" t="s">
        <v>106</v>
      </c>
      <c r="C846" s="355" t="s">
        <v>781</v>
      </c>
      <c r="D846">
        <v>3890</v>
      </c>
      <c r="E846" s="143">
        <v>111000</v>
      </c>
      <c r="F846" s="117">
        <v>1404</v>
      </c>
      <c r="G846" s="360" t="s">
        <v>298</v>
      </c>
      <c r="H846" s="144">
        <f>bargiri[[#This Row],[میزان بارگیری شده]]*bargiri[[#This Row],[فی]]</f>
        <v>431790000</v>
      </c>
      <c r="I846" s="360">
        <f>IF(year=bargiri[[#This Row],[سال]],1,0)</f>
        <v>0</v>
      </c>
      <c r="J846" s="360" t="str">
        <f>VLOOKUP(bargiri[[#This Row],[شماره پیش فاکتور]],invoice[],16,0)</f>
        <v>عادی</v>
      </c>
      <c r="K846" s="252">
        <f>bargiri[[#This Row],[فی]]*bargiri[[#This Row],[میزان بارگیری شده]]</f>
        <v>431790000</v>
      </c>
      <c r="X846" s="1"/>
      <c r="Y846" s="1"/>
      <c r="Z846" s="1"/>
    </row>
    <row r="847" spans="1:26" ht="18.600000000000001">
      <c r="A847" s="360" t="s">
        <v>938</v>
      </c>
      <c r="B847" s="360" t="s">
        <v>102</v>
      </c>
      <c r="C847" s="355" t="s">
        <v>559</v>
      </c>
      <c r="D847">
        <v>11920</v>
      </c>
      <c r="E847" s="143">
        <v>142000</v>
      </c>
      <c r="F847" s="117">
        <v>1404</v>
      </c>
      <c r="G847" s="360" t="s">
        <v>298</v>
      </c>
      <c r="H847" s="144">
        <f>bargiri[[#This Row],[میزان بارگیری شده]]*bargiri[[#This Row],[فی]]</f>
        <v>1692640000</v>
      </c>
      <c r="I847" s="360">
        <f>IF(year=bargiri[[#This Row],[سال]],1,0)</f>
        <v>0</v>
      </c>
      <c r="J847" s="360" t="str">
        <f>VLOOKUP(bargiri[[#This Row],[شماره پیش فاکتور]],invoice[],16,0)</f>
        <v>انجمن</v>
      </c>
      <c r="K847" s="252">
        <f>bargiri[[#This Row],[فی]]*bargiri[[#This Row],[میزان بارگیری شده]]</f>
        <v>1692640000</v>
      </c>
      <c r="X847" s="1"/>
      <c r="Y847" s="1"/>
      <c r="Z847" s="1"/>
    </row>
    <row r="848" spans="1:26" ht="18.600000000000001">
      <c r="A848" s="360" t="s">
        <v>937</v>
      </c>
      <c r="B848" s="360" t="s">
        <v>116</v>
      </c>
      <c r="C848" s="355" t="s">
        <v>872</v>
      </c>
      <c r="D848">
        <v>21190</v>
      </c>
      <c r="E848" s="143">
        <v>167500</v>
      </c>
      <c r="F848" s="117">
        <v>1404</v>
      </c>
      <c r="G848" s="360" t="s">
        <v>298</v>
      </c>
      <c r="H848" s="144">
        <f>bargiri[[#This Row],[میزان بارگیری شده]]*bargiri[[#This Row],[فی]]</f>
        <v>3549325000</v>
      </c>
      <c r="I848" s="360">
        <f>IF(year=bargiri[[#This Row],[سال]],1,0)</f>
        <v>0</v>
      </c>
      <c r="J848" s="360" t="str">
        <f>VLOOKUP(bargiri[[#This Row],[شماره پیش فاکتور]],invoice[],16,0)</f>
        <v>بورس</v>
      </c>
      <c r="K848" s="252">
        <f>bargiri[[#This Row],[فی]]*bargiri[[#This Row],[میزان بارگیری شده]]</f>
        <v>3549325000</v>
      </c>
      <c r="X848" s="1"/>
      <c r="Y848" s="1"/>
      <c r="Z848" s="1"/>
    </row>
    <row r="849" spans="1:26" ht="18.600000000000001">
      <c r="A849" s="360" t="s">
        <v>937</v>
      </c>
      <c r="B849" s="360" t="s">
        <v>103</v>
      </c>
      <c r="C849" s="355" t="s">
        <v>560</v>
      </c>
      <c r="D849">
        <v>19880</v>
      </c>
      <c r="E849" s="143">
        <v>142000</v>
      </c>
      <c r="F849" s="117">
        <v>1404</v>
      </c>
      <c r="G849" s="360" t="s">
        <v>298</v>
      </c>
      <c r="H849" s="144">
        <f>bargiri[[#This Row],[میزان بارگیری شده]]*bargiri[[#This Row],[فی]]</f>
        <v>2822960000</v>
      </c>
      <c r="I849" s="360">
        <f>IF(year=bargiri[[#This Row],[سال]],1,0)</f>
        <v>0</v>
      </c>
      <c r="J849" s="360" t="str">
        <f>VLOOKUP(bargiri[[#This Row],[شماره پیش فاکتور]],invoice[],16,0)</f>
        <v>انجمن</v>
      </c>
      <c r="K849" s="252">
        <f>bargiri[[#This Row],[فی]]*bargiri[[#This Row],[میزان بارگیری شده]]</f>
        <v>2822960000</v>
      </c>
      <c r="X849" s="1"/>
      <c r="Y849" s="1"/>
      <c r="Z849" s="1"/>
    </row>
    <row r="850" spans="1:26" ht="18.600000000000001">
      <c r="A850" s="360" t="s">
        <v>937</v>
      </c>
      <c r="B850" s="360" t="s">
        <v>109</v>
      </c>
      <c r="C850" s="355" t="s">
        <v>563</v>
      </c>
      <c r="D850">
        <v>7320</v>
      </c>
      <c r="E850" s="143">
        <v>142000</v>
      </c>
      <c r="F850" s="117">
        <v>1404</v>
      </c>
      <c r="G850" s="360" t="s">
        <v>298</v>
      </c>
      <c r="H850" s="144">
        <f>bargiri[[#This Row],[میزان بارگیری شده]]*bargiri[[#This Row],[فی]]</f>
        <v>1039440000</v>
      </c>
      <c r="I850" s="360">
        <f>IF(year=bargiri[[#This Row],[سال]],1,0)</f>
        <v>0</v>
      </c>
      <c r="J850" s="360" t="str">
        <f>VLOOKUP(bargiri[[#This Row],[شماره پیش فاکتور]],invoice[],16,0)</f>
        <v>انجمن</v>
      </c>
      <c r="K850" s="252">
        <f>bargiri[[#This Row],[فی]]*bargiri[[#This Row],[میزان بارگیری شده]]</f>
        <v>1039440000</v>
      </c>
      <c r="X850" s="1"/>
      <c r="Y850" s="1"/>
      <c r="Z850" s="1"/>
    </row>
    <row r="851" spans="1:26" ht="18.600000000000001">
      <c r="A851" s="360" t="s">
        <v>937</v>
      </c>
      <c r="B851" s="360" t="s">
        <v>125</v>
      </c>
      <c r="C851" s="355" t="s">
        <v>870</v>
      </c>
      <c r="D851">
        <v>14560</v>
      </c>
      <c r="E851" s="143">
        <v>135000</v>
      </c>
      <c r="F851" s="117">
        <v>1404</v>
      </c>
      <c r="G851" s="360" t="s">
        <v>298</v>
      </c>
      <c r="H851" s="144">
        <f>bargiri[[#This Row],[میزان بارگیری شده]]*bargiri[[#This Row],[فی]]</f>
        <v>1965600000</v>
      </c>
      <c r="I851" s="360">
        <f>IF(year=bargiri[[#This Row],[سال]],1,0)</f>
        <v>0</v>
      </c>
      <c r="J851" s="360" t="str">
        <f>VLOOKUP(bargiri[[#This Row],[شماره پیش فاکتور]],invoice[],16,0)</f>
        <v>عادی</v>
      </c>
      <c r="K851" s="252">
        <f>bargiri[[#This Row],[فی]]*bargiri[[#This Row],[میزان بارگیری شده]]</f>
        <v>1965600000</v>
      </c>
      <c r="X851" s="1"/>
      <c r="Y851" s="1"/>
      <c r="Z851" s="1"/>
    </row>
    <row r="852" spans="1:26" ht="18.600000000000001">
      <c r="A852" s="360" t="s">
        <v>937</v>
      </c>
      <c r="B852" s="360" t="s">
        <v>99</v>
      </c>
      <c r="C852" s="355" t="s">
        <v>12</v>
      </c>
      <c r="D852">
        <v>18770</v>
      </c>
      <c r="E852" s="143">
        <v>86500</v>
      </c>
      <c r="F852" s="117">
        <v>1404</v>
      </c>
      <c r="G852" s="360" t="s">
        <v>298</v>
      </c>
      <c r="H852" s="144">
        <f>bargiri[[#This Row],[میزان بارگیری شده]]*bargiri[[#This Row],[فی]]</f>
        <v>1623605000</v>
      </c>
      <c r="I852" s="360">
        <f>IF(year=bargiri[[#This Row],[سال]],1,0)</f>
        <v>0</v>
      </c>
      <c r="J852" s="360" t="str">
        <f>VLOOKUP(bargiri[[#This Row],[شماره پیش فاکتور]],invoice[],16,0)</f>
        <v>عادی</v>
      </c>
      <c r="K852" s="252">
        <f>bargiri[[#This Row],[فی]]*bargiri[[#This Row],[میزان بارگیری شده]]</f>
        <v>1623605000</v>
      </c>
      <c r="X852" s="1"/>
      <c r="Y852" s="1"/>
      <c r="Z852" s="1"/>
    </row>
    <row r="853" spans="1:26" ht="18.600000000000001">
      <c r="A853" s="360" t="s">
        <v>936</v>
      </c>
      <c r="B853" s="360" t="s">
        <v>102</v>
      </c>
      <c r="C853" s="355" t="s">
        <v>22</v>
      </c>
      <c r="D853">
        <v>11650</v>
      </c>
      <c r="E853" s="143">
        <v>89000</v>
      </c>
      <c r="F853" s="117">
        <v>1404</v>
      </c>
      <c r="G853" s="360" t="s">
        <v>298</v>
      </c>
      <c r="H853" s="144">
        <f>bargiri[[#This Row],[میزان بارگیری شده]]*bargiri[[#This Row],[فی]]</f>
        <v>1036850000</v>
      </c>
      <c r="I853" s="360">
        <f>IF(year=bargiri[[#This Row],[سال]],1,0)</f>
        <v>0</v>
      </c>
      <c r="J853" s="360" t="str">
        <f>VLOOKUP(bargiri[[#This Row],[شماره پیش فاکتور]],invoice[],16,0)</f>
        <v>عادی</v>
      </c>
      <c r="K853" s="252">
        <f>bargiri[[#This Row],[فی]]*bargiri[[#This Row],[میزان بارگیری شده]]</f>
        <v>1036850000</v>
      </c>
      <c r="X853" s="1"/>
      <c r="Y853" s="1"/>
      <c r="Z853" s="1"/>
    </row>
    <row r="854" spans="1:26" ht="18.600000000000001">
      <c r="A854" s="360" t="s">
        <v>936</v>
      </c>
      <c r="B854" s="360" t="s">
        <v>106</v>
      </c>
      <c r="C854" s="355" t="s">
        <v>781</v>
      </c>
      <c r="D854">
        <v>17930</v>
      </c>
      <c r="E854" s="143">
        <v>111000</v>
      </c>
      <c r="F854" s="117">
        <v>1404</v>
      </c>
      <c r="G854" s="360" t="s">
        <v>298</v>
      </c>
      <c r="H854" s="144">
        <f>bargiri[[#This Row],[میزان بارگیری شده]]*bargiri[[#This Row],[فی]]</f>
        <v>1990230000</v>
      </c>
      <c r="I854" s="360">
        <f>IF(year=bargiri[[#This Row],[سال]],1,0)</f>
        <v>0</v>
      </c>
      <c r="J854" s="360" t="str">
        <f>VLOOKUP(bargiri[[#This Row],[شماره پیش فاکتور]],invoice[],16,0)</f>
        <v>عادی</v>
      </c>
      <c r="K854" s="252">
        <f>bargiri[[#This Row],[فی]]*bargiri[[#This Row],[میزان بارگیری شده]]</f>
        <v>1990230000</v>
      </c>
      <c r="X854" s="1"/>
      <c r="Y854" s="1"/>
      <c r="Z854" s="1"/>
    </row>
    <row r="855" spans="1:26" ht="18.600000000000001">
      <c r="A855" s="360" t="s">
        <v>936</v>
      </c>
      <c r="B855" s="360" t="s">
        <v>122</v>
      </c>
      <c r="C855" s="355" t="s">
        <v>568</v>
      </c>
      <c r="D855">
        <v>23140</v>
      </c>
      <c r="E855" s="143">
        <v>142000</v>
      </c>
      <c r="F855" s="117">
        <v>1404</v>
      </c>
      <c r="G855" s="360" t="s">
        <v>298</v>
      </c>
      <c r="H855" s="144">
        <f>bargiri[[#This Row],[میزان بارگیری شده]]*bargiri[[#This Row],[فی]]</f>
        <v>3285880000</v>
      </c>
      <c r="I855" s="360">
        <f>IF(year=bargiri[[#This Row],[سال]],1,0)</f>
        <v>0</v>
      </c>
      <c r="J855" s="360" t="str">
        <f>VLOOKUP(bargiri[[#This Row],[شماره پیش فاکتور]],invoice[],16,0)</f>
        <v>انجمن</v>
      </c>
      <c r="K855" s="252">
        <f>bargiri[[#This Row],[فی]]*bargiri[[#This Row],[میزان بارگیری شده]]</f>
        <v>3285880000</v>
      </c>
      <c r="X855" s="1"/>
      <c r="Y855" s="1"/>
      <c r="Z855" s="1"/>
    </row>
    <row r="856" spans="1:26" ht="18.600000000000001">
      <c r="A856" s="360" t="s">
        <v>934</v>
      </c>
      <c r="B856" s="360" t="s">
        <v>103</v>
      </c>
      <c r="C856" s="355" t="s">
        <v>560</v>
      </c>
      <c r="D856">
        <v>20110</v>
      </c>
      <c r="E856" s="143">
        <v>142000</v>
      </c>
      <c r="F856" s="117">
        <v>1404</v>
      </c>
      <c r="G856" s="360" t="s">
        <v>298</v>
      </c>
      <c r="H856" s="144">
        <f>bargiri[[#This Row],[میزان بارگیری شده]]*bargiri[[#This Row],[فی]]</f>
        <v>2855620000</v>
      </c>
      <c r="I856" s="360">
        <f>IF(year=bargiri[[#This Row],[سال]],1,0)</f>
        <v>0</v>
      </c>
      <c r="J856" s="360" t="str">
        <f>VLOOKUP(bargiri[[#This Row],[شماره پیش فاکتور]],invoice[],16,0)</f>
        <v>انجمن</v>
      </c>
      <c r="K856" s="252">
        <f>bargiri[[#This Row],[فی]]*bargiri[[#This Row],[میزان بارگیری شده]]</f>
        <v>2855620000</v>
      </c>
      <c r="X856" s="1"/>
      <c r="Y856" s="1"/>
      <c r="Z856" s="1"/>
    </row>
    <row r="857" spans="1:26" ht="18.600000000000001">
      <c r="A857" s="360" t="s">
        <v>935</v>
      </c>
      <c r="B857" s="360" t="s">
        <v>117</v>
      </c>
      <c r="C857" s="355" t="s">
        <v>634</v>
      </c>
      <c r="E857" s="143">
        <v>0</v>
      </c>
      <c r="F857" s="117">
        <v>1404</v>
      </c>
      <c r="G857" s="360" t="s">
        <v>298</v>
      </c>
      <c r="H857" s="144">
        <f>bargiri[[#This Row],[میزان بارگیری شده]]*bargiri[[#This Row],[فی]]</f>
        <v>0</v>
      </c>
      <c r="I857" s="360">
        <f>IF(year=bargiri[[#This Row],[سال]],1,0)</f>
        <v>0</v>
      </c>
      <c r="J857" s="360" t="str">
        <f>VLOOKUP(bargiri[[#This Row],[شماره پیش فاکتور]],invoice[],16,0)</f>
        <v>عادی</v>
      </c>
      <c r="K857" s="252">
        <f>bargiri[[#This Row],[فی]]*bargiri[[#This Row],[میزان بارگیری شده]]</f>
        <v>0</v>
      </c>
      <c r="X857" s="1"/>
      <c r="Y857" s="1"/>
      <c r="Z857" s="1"/>
    </row>
    <row r="858" spans="1:26" ht="18.600000000000001">
      <c r="A858" s="360" t="s">
        <v>935</v>
      </c>
      <c r="B858" s="360" t="s">
        <v>104</v>
      </c>
      <c r="C858" s="355" t="s">
        <v>640</v>
      </c>
      <c r="D858">
        <v>5330</v>
      </c>
      <c r="E858" s="143">
        <v>79520</v>
      </c>
      <c r="F858" s="117">
        <v>1404</v>
      </c>
      <c r="G858" s="360" t="s">
        <v>298</v>
      </c>
      <c r="H858" s="144">
        <f>bargiri[[#This Row],[میزان بارگیری شده]]*bargiri[[#This Row],[فی]]</f>
        <v>423841600</v>
      </c>
      <c r="I858" s="360">
        <f>IF(year=bargiri[[#This Row],[سال]],1,0)</f>
        <v>0</v>
      </c>
      <c r="J858" s="360" t="str">
        <f>VLOOKUP(bargiri[[#This Row],[شماره پیش فاکتور]],invoice[],16,0)</f>
        <v>تعادلی</v>
      </c>
      <c r="K858" s="252">
        <f>bargiri[[#This Row],[فی]]*bargiri[[#This Row],[میزان بارگیری شده]]</f>
        <v>423841600</v>
      </c>
      <c r="X858" s="1"/>
      <c r="Y858" s="1"/>
      <c r="Z858" s="1"/>
    </row>
    <row r="859" spans="1:26" ht="18.600000000000001">
      <c r="A859" s="360" t="s">
        <v>935</v>
      </c>
      <c r="B859" s="360" t="s">
        <v>104</v>
      </c>
      <c r="C859" s="355" t="s">
        <v>779</v>
      </c>
      <c r="D859">
        <v>15110</v>
      </c>
      <c r="E859" s="143">
        <v>74000</v>
      </c>
      <c r="F859" s="117">
        <v>1404</v>
      </c>
      <c r="G859" s="360" t="s">
        <v>298</v>
      </c>
      <c r="H859" s="144">
        <f>bargiri[[#This Row],[میزان بارگیری شده]]*bargiri[[#This Row],[فی]]</f>
        <v>1118140000</v>
      </c>
      <c r="I859" s="360">
        <f>IF(year=bargiri[[#This Row],[سال]],1,0)</f>
        <v>0</v>
      </c>
      <c r="J859" s="360" t="str">
        <f>VLOOKUP(bargiri[[#This Row],[شماره پیش فاکتور]],invoice[],16,0)</f>
        <v>تعادلی</v>
      </c>
      <c r="K859" s="252">
        <f>bargiri[[#This Row],[فی]]*bargiri[[#This Row],[میزان بارگیری شده]]</f>
        <v>1118140000</v>
      </c>
      <c r="X859" s="1"/>
      <c r="Y859" s="1"/>
      <c r="Z859" s="1"/>
    </row>
    <row r="860" spans="1:26" ht="18.600000000000001">
      <c r="A860" s="360" t="s">
        <v>931</v>
      </c>
      <c r="B860" s="360" t="s">
        <v>99</v>
      </c>
      <c r="C860" s="355" t="s">
        <v>12</v>
      </c>
      <c r="D860">
        <v>22100</v>
      </c>
      <c r="E860" s="143">
        <v>86500</v>
      </c>
      <c r="F860" s="117">
        <v>1404</v>
      </c>
      <c r="G860" s="360" t="s">
        <v>298</v>
      </c>
      <c r="H860" s="144">
        <f>bargiri[[#This Row],[میزان بارگیری شده]]*bargiri[[#This Row],[فی]]</f>
        <v>1911650000</v>
      </c>
      <c r="I860" s="360">
        <f>IF(year=bargiri[[#This Row],[سال]],1,0)</f>
        <v>0</v>
      </c>
      <c r="J860" s="360" t="str">
        <f>VLOOKUP(bargiri[[#This Row],[شماره پیش فاکتور]],invoice[],16,0)</f>
        <v>عادی</v>
      </c>
      <c r="K860" s="252">
        <f>bargiri[[#This Row],[فی]]*bargiri[[#This Row],[میزان بارگیری شده]]</f>
        <v>1911650000</v>
      </c>
      <c r="X860" s="1"/>
      <c r="Y860" s="1"/>
      <c r="Z860" s="1"/>
    </row>
    <row r="861" spans="1:26" ht="18.600000000000001">
      <c r="A861" s="360" t="s">
        <v>931</v>
      </c>
      <c r="B861" s="360" t="s">
        <v>109</v>
      </c>
      <c r="C861" s="355" t="s">
        <v>563</v>
      </c>
      <c r="D861">
        <v>7560</v>
      </c>
      <c r="E861" s="143">
        <v>142000</v>
      </c>
      <c r="F861" s="117">
        <v>1404</v>
      </c>
      <c r="G861" s="360" t="s">
        <v>298</v>
      </c>
      <c r="H861" s="144">
        <f>bargiri[[#This Row],[میزان بارگیری شده]]*bargiri[[#This Row],[فی]]</f>
        <v>1073520000</v>
      </c>
      <c r="I861" s="360">
        <f>IF(year=bargiri[[#This Row],[سال]],1,0)</f>
        <v>0</v>
      </c>
      <c r="J861" s="360" t="str">
        <f>VLOOKUP(bargiri[[#This Row],[شماره پیش فاکتور]],invoice[],16,0)</f>
        <v>انجمن</v>
      </c>
      <c r="K861" s="252">
        <f>bargiri[[#This Row],[فی]]*bargiri[[#This Row],[میزان بارگیری شده]]</f>
        <v>1073520000</v>
      </c>
      <c r="X861" s="1"/>
      <c r="Y861" s="1"/>
      <c r="Z861" s="1"/>
    </row>
    <row r="862" spans="1:26" ht="18.600000000000001">
      <c r="A862" s="360" t="s">
        <v>931</v>
      </c>
      <c r="B862" s="360" t="s">
        <v>106</v>
      </c>
      <c r="C862" s="355" t="s">
        <v>781</v>
      </c>
      <c r="D862">
        <v>4560</v>
      </c>
      <c r="E862" s="143">
        <v>111000</v>
      </c>
      <c r="F862" s="117">
        <v>1404</v>
      </c>
      <c r="G862" s="360" t="s">
        <v>298</v>
      </c>
      <c r="H862" s="144">
        <f>bargiri[[#This Row],[میزان بارگیری شده]]*bargiri[[#This Row],[فی]]</f>
        <v>506160000</v>
      </c>
      <c r="I862" s="360">
        <f>IF(year=bargiri[[#This Row],[سال]],1,0)</f>
        <v>0</v>
      </c>
      <c r="J862" s="360" t="str">
        <f>VLOOKUP(bargiri[[#This Row],[شماره پیش فاکتور]],invoice[],16,0)</f>
        <v>عادی</v>
      </c>
      <c r="K862" s="252">
        <f>bargiri[[#This Row],[فی]]*bargiri[[#This Row],[میزان بارگیری شده]]</f>
        <v>506160000</v>
      </c>
      <c r="X862" s="1"/>
      <c r="Y862" s="1"/>
      <c r="Z862" s="1"/>
    </row>
    <row r="863" spans="1:26" ht="18.600000000000001">
      <c r="A863" s="360" t="s">
        <v>931</v>
      </c>
      <c r="B863" s="360" t="s">
        <v>106</v>
      </c>
      <c r="C863" s="355" t="s">
        <v>781</v>
      </c>
      <c r="D863">
        <v>22300</v>
      </c>
      <c r="E863" s="143">
        <v>111000</v>
      </c>
      <c r="F863" s="117">
        <v>1404</v>
      </c>
      <c r="G863" s="360" t="s">
        <v>298</v>
      </c>
      <c r="H863" s="144">
        <f>bargiri[[#This Row],[میزان بارگیری شده]]*bargiri[[#This Row],[فی]]</f>
        <v>2475300000</v>
      </c>
      <c r="I863" s="360">
        <f>IF(year=bargiri[[#This Row],[سال]],1,0)</f>
        <v>0</v>
      </c>
      <c r="J863" s="360" t="str">
        <f>VLOOKUP(bargiri[[#This Row],[شماره پیش فاکتور]],invoice[],16,0)</f>
        <v>عادی</v>
      </c>
      <c r="K863" s="252">
        <f>bargiri[[#This Row],[فی]]*bargiri[[#This Row],[میزان بارگیری شده]]</f>
        <v>2475300000</v>
      </c>
      <c r="X863" s="1"/>
      <c r="Y863" s="1"/>
      <c r="Z863" s="1"/>
    </row>
    <row r="864" spans="1:26" ht="18.600000000000001">
      <c r="A864" s="360" t="s">
        <v>931</v>
      </c>
      <c r="B864" s="360" t="s">
        <v>103</v>
      </c>
      <c r="C864" s="355" t="s">
        <v>560</v>
      </c>
      <c r="D864">
        <v>7810</v>
      </c>
      <c r="E864" s="143">
        <v>142000</v>
      </c>
      <c r="F864" s="117">
        <v>1404</v>
      </c>
      <c r="G864" s="360" t="s">
        <v>298</v>
      </c>
      <c r="H864" s="144">
        <f>bargiri[[#This Row],[میزان بارگیری شده]]*bargiri[[#This Row],[فی]]</f>
        <v>1109020000</v>
      </c>
      <c r="I864" s="360">
        <f>IF(year=bargiri[[#This Row],[سال]],1,0)</f>
        <v>0</v>
      </c>
      <c r="J864" s="360" t="str">
        <f>VLOOKUP(bargiri[[#This Row],[شماره پیش فاکتور]],invoice[],16,0)</f>
        <v>انجمن</v>
      </c>
      <c r="K864" s="252">
        <f>bargiri[[#This Row],[فی]]*bargiri[[#This Row],[میزان بارگیری شده]]</f>
        <v>1109020000</v>
      </c>
      <c r="X864" s="1"/>
      <c r="Y864" s="1"/>
      <c r="Z864" s="1"/>
    </row>
    <row r="865" spans="1:26" ht="18.600000000000001">
      <c r="A865" s="360" t="s">
        <v>931</v>
      </c>
      <c r="B865" s="360" t="s">
        <v>100</v>
      </c>
      <c r="C865" s="355" t="s">
        <v>555</v>
      </c>
      <c r="D865">
        <v>6710</v>
      </c>
      <c r="E865" s="143">
        <v>142000</v>
      </c>
      <c r="F865" s="117">
        <v>1404</v>
      </c>
      <c r="G865" s="360" t="s">
        <v>298</v>
      </c>
      <c r="H865" s="144">
        <f>bargiri[[#This Row],[میزان بارگیری شده]]*bargiri[[#This Row],[فی]]</f>
        <v>952820000</v>
      </c>
      <c r="I865" s="360">
        <f>IF(year=bargiri[[#This Row],[سال]],1,0)</f>
        <v>0</v>
      </c>
      <c r="J865" s="360" t="str">
        <f>VLOOKUP(bargiri[[#This Row],[شماره پیش فاکتور]],invoice[],16,0)</f>
        <v>انجمن</v>
      </c>
      <c r="K865" s="252">
        <f>bargiri[[#This Row],[فی]]*bargiri[[#This Row],[میزان بارگیری شده]]</f>
        <v>952820000</v>
      </c>
      <c r="X865" s="1"/>
      <c r="Y865" s="1"/>
      <c r="Z865" s="1"/>
    </row>
    <row r="866" spans="1:26" ht="18.600000000000001">
      <c r="A866" s="360" t="s">
        <v>932</v>
      </c>
      <c r="B866" s="360" t="s">
        <v>116</v>
      </c>
      <c r="C866" s="355" t="s">
        <v>608</v>
      </c>
      <c r="D866">
        <v>21520</v>
      </c>
      <c r="E866" s="143">
        <v>95000</v>
      </c>
      <c r="F866" s="117">
        <v>1404</v>
      </c>
      <c r="G866" s="360" t="s">
        <v>298</v>
      </c>
      <c r="H866" s="144">
        <f>bargiri[[#This Row],[میزان بارگیری شده]]*bargiri[[#This Row],[فی]]</f>
        <v>2044400000</v>
      </c>
      <c r="I866" s="360">
        <f>IF(year=bargiri[[#This Row],[سال]],1,0)</f>
        <v>0</v>
      </c>
      <c r="J866" s="360" t="str">
        <f>VLOOKUP(bargiri[[#This Row],[شماره پیش فاکتور]],invoice[],16,0)</f>
        <v>عادی</v>
      </c>
      <c r="K866" s="252">
        <f>bargiri[[#This Row],[فی]]*bargiri[[#This Row],[میزان بارگیری شده]]</f>
        <v>2044400000</v>
      </c>
      <c r="X866" s="1"/>
      <c r="Y866" s="1"/>
      <c r="Z866" s="1"/>
    </row>
    <row r="867" spans="1:26" ht="18.600000000000001">
      <c r="A867" s="360" t="s">
        <v>932</v>
      </c>
      <c r="B867" s="360" t="s">
        <v>99</v>
      </c>
      <c r="C867" s="355" t="s">
        <v>12</v>
      </c>
      <c r="D867">
        <v>23000</v>
      </c>
      <c r="E867" s="143">
        <v>86500</v>
      </c>
      <c r="F867" s="117">
        <v>1404</v>
      </c>
      <c r="G867" s="360" t="s">
        <v>298</v>
      </c>
      <c r="H867" s="144">
        <f>bargiri[[#This Row],[میزان بارگیری شده]]*bargiri[[#This Row],[فی]]</f>
        <v>1989500000</v>
      </c>
      <c r="I867" s="360">
        <f>IF(year=bargiri[[#This Row],[سال]],1,0)</f>
        <v>0</v>
      </c>
      <c r="J867" s="360" t="str">
        <f>VLOOKUP(bargiri[[#This Row],[شماره پیش فاکتور]],invoice[],16,0)</f>
        <v>عادی</v>
      </c>
      <c r="K867" s="252">
        <f>bargiri[[#This Row],[فی]]*bargiri[[#This Row],[میزان بارگیری شده]]</f>
        <v>1989500000</v>
      </c>
      <c r="X867" s="1"/>
      <c r="Y867" s="1"/>
      <c r="Z867" s="1"/>
    </row>
    <row r="868" spans="1:26" ht="18.600000000000001">
      <c r="A868" s="360" t="s">
        <v>933</v>
      </c>
      <c r="B868" s="360" t="s">
        <v>116</v>
      </c>
      <c r="C868" s="355" t="s">
        <v>565</v>
      </c>
      <c r="D868">
        <v>20280</v>
      </c>
      <c r="E868" s="143">
        <v>142000</v>
      </c>
      <c r="F868" s="117">
        <v>1404</v>
      </c>
      <c r="G868" s="360" t="s">
        <v>298</v>
      </c>
      <c r="H868" s="144">
        <f>bargiri[[#This Row],[میزان بارگیری شده]]*bargiri[[#This Row],[فی]]</f>
        <v>2879760000</v>
      </c>
      <c r="I868" s="360">
        <f>IF(year=bargiri[[#This Row],[سال]],1,0)</f>
        <v>0</v>
      </c>
      <c r="J868" s="360" t="str">
        <f>VLOOKUP(bargiri[[#This Row],[شماره پیش فاکتور]],invoice[],16,0)</f>
        <v>انجمن</v>
      </c>
      <c r="K868" s="252">
        <f>bargiri[[#This Row],[فی]]*bargiri[[#This Row],[میزان بارگیری شده]]</f>
        <v>2879760000</v>
      </c>
      <c r="X868" s="1"/>
      <c r="Y868" s="1"/>
      <c r="Z868" s="1"/>
    </row>
    <row r="869" spans="1:26" ht="18.600000000000001">
      <c r="A869" s="360" t="s">
        <v>933</v>
      </c>
      <c r="B869" s="360" t="s">
        <v>101</v>
      </c>
      <c r="C869" s="355" t="s">
        <v>780</v>
      </c>
      <c r="D869">
        <v>13150</v>
      </c>
      <c r="E869" s="143">
        <v>87991</v>
      </c>
      <c r="F869" s="117">
        <v>1404</v>
      </c>
      <c r="G869" s="360" t="s">
        <v>298</v>
      </c>
      <c r="H869" s="144">
        <f>bargiri[[#This Row],[میزان بارگیری شده]]*bargiri[[#This Row],[فی]]</f>
        <v>1157081650</v>
      </c>
      <c r="I869" s="360">
        <f>IF(year=bargiri[[#This Row],[سال]],1,0)</f>
        <v>0</v>
      </c>
      <c r="J869" s="360" t="str">
        <f>VLOOKUP(bargiri[[#This Row],[شماره پیش فاکتور]],invoice[],16,0)</f>
        <v>تعادلی</v>
      </c>
      <c r="K869" s="252">
        <f>bargiri[[#This Row],[فی]]*bargiri[[#This Row],[میزان بارگیری شده]]</f>
        <v>1157081650</v>
      </c>
      <c r="X869" s="1"/>
      <c r="Y869" s="1"/>
      <c r="Z869" s="1"/>
    </row>
    <row r="870" spans="1:26" ht="18.600000000000001">
      <c r="A870" s="360" t="s">
        <v>933</v>
      </c>
      <c r="B870" s="360" t="s">
        <v>101</v>
      </c>
      <c r="C870" s="355" t="s">
        <v>558</v>
      </c>
      <c r="D870">
        <v>7870</v>
      </c>
      <c r="E870" s="143">
        <v>142000</v>
      </c>
      <c r="F870" s="117">
        <v>1404</v>
      </c>
      <c r="G870" s="360" t="s">
        <v>298</v>
      </c>
      <c r="H870" s="144">
        <f>bargiri[[#This Row],[میزان بارگیری شده]]*bargiri[[#This Row],[فی]]</f>
        <v>1117540000</v>
      </c>
      <c r="I870" s="360">
        <f>IF(year=bargiri[[#This Row],[سال]],1,0)</f>
        <v>0</v>
      </c>
      <c r="J870" s="360" t="str">
        <f>VLOOKUP(bargiri[[#This Row],[شماره پیش فاکتور]],invoice[],16,0)</f>
        <v>انجمن</v>
      </c>
      <c r="K870" s="252">
        <f>bargiri[[#This Row],[فی]]*bargiri[[#This Row],[میزان بارگیری شده]]</f>
        <v>1117540000</v>
      </c>
      <c r="X870" s="1"/>
      <c r="Y870" s="1"/>
      <c r="Z870" s="1"/>
    </row>
    <row r="871" spans="1:26" ht="18.600000000000001">
      <c r="A871" s="360" t="s">
        <v>933</v>
      </c>
      <c r="B871" s="360" t="s">
        <v>125</v>
      </c>
      <c r="C871" s="355" t="s">
        <v>870</v>
      </c>
      <c r="D871">
        <v>14410</v>
      </c>
      <c r="E871" s="143">
        <v>135000</v>
      </c>
      <c r="F871" s="117">
        <v>1404</v>
      </c>
      <c r="G871" s="360" t="s">
        <v>298</v>
      </c>
      <c r="H871" s="144">
        <f>bargiri[[#This Row],[میزان بارگیری شده]]*bargiri[[#This Row],[فی]]</f>
        <v>1945350000</v>
      </c>
      <c r="I871" s="360">
        <f>IF(year=bargiri[[#This Row],[سال]],1,0)</f>
        <v>0</v>
      </c>
      <c r="J871" s="360" t="str">
        <f>VLOOKUP(bargiri[[#This Row],[شماره پیش فاکتور]],invoice[],16,0)</f>
        <v>عادی</v>
      </c>
      <c r="K871" s="252">
        <f>bargiri[[#This Row],[فی]]*bargiri[[#This Row],[میزان بارگیری شده]]</f>
        <v>1945350000</v>
      </c>
      <c r="X871" s="1"/>
      <c r="Y871" s="1"/>
      <c r="Z871" s="1"/>
    </row>
    <row r="872" spans="1:26" ht="18.600000000000001">
      <c r="A872" s="360" t="s">
        <v>933</v>
      </c>
      <c r="B872" s="360" t="s">
        <v>125</v>
      </c>
      <c r="C872" s="355" t="s">
        <v>870</v>
      </c>
      <c r="D872">
        <v>14500</v>
      </c>
      <c r="E872" s="143">
        <v>135000</v>
      </c>
      <c r="F872" s="117">
        <v>1404</v>
      </c>
      <c r="G872" s="360" t="s">
        <v>298</v>
      </c>
      <c r="H872" s="144">
        <f>bargiri[[#This Row],[میزان بارگیری شده]]*bargiri[[#This Row],[فی]]</f>
        <v>1957500000</v>
      </c>
      <c r="I872" s="360">
        <f>IF(year=bargiri[[#This Row],[سال]],1,0)</f>
        <v>0</v>
      </c>
      <c r="J872" s="360" t="str">
        <f>VLOOKUP(bargiri[[#This Row],[شماره پیش فاکتور]],invoice[],16,0)</f>
        <v>عادی</v>
      </c>
      <c r="K872" s="252">
        <f>bargiri[[#This Row],[فی]]*bargiri[[#This Row],[میزان بارگیری شده]]</f>
        <v>1957500000</v>
      </c>
      <c r="X872" s="1"/>
      <c r="Y872" s="1"/>
      <c r="Z872" s="1"/>
    </row>
    <row r="873" spans="1:26" ht="18.600000000000001">
      <c r="A873" s="360" t="s">
        <v>927</v>
      </c>
      <c r="B873" s="360" t="s">
        <v>103</v>
      </c>
      <c r="C873" s="355" t="s">
        <v>560</v>
      </c>
      <c r="D873">
        <v>7580</v>
      </c>
      <c r="E873" s="143">
        <v>142000</v>
      </c>
      <c r="F873" s="117">
        <v>1404</v>
      </c>
      <c r="G873" s="360" t="s">
        <v>298</v>
      </c>
      <c r="H873" s="144">
        <f>bargiri[[#This Row],[میزان بارگیری شده]]*bargiri[[#This Row],[فی]]</f>
        <v>1076360000</v>
      </c>
      <c r="I873" s="360">
        <f>IF(year=bargiri[[#This Row],[سال]],1,0)</f>
        <v>0</v>
      </c>
      <c r="J873" s="360" t="str">
        <f>VLOOKUP(bargiri[[#This Row],[شماره پیش فاکتور]],invoice[],16,0)</f>
        <v>انجمن</v>
      </c>
      <c r="K873" s="252">
        <f>bargiri[[#This Row],[فی]]*bargiri[[#This Row],[میزان بارگیری شده]]</f>
        <v>1076360000</v>
      </c>
      <c r="X873" s="1"/>
      <c r="Y873" s="1"/>
      <c r="Z873" s="1"/>
    </row>
    <row r="874" spans="1:26" ht="18.600000000000001">
      <c r="A874" s="360" t="s">
        <v>927</v>
      </c>
      <c r="B874" s="360" t="s">
        <v>106</v>
      </c>
      <c r="C874" s="355" t="s">
        <v>781</v>
      </c>
      <c r="D874">
        <v>8830</v>
      </c>
      <c r="E874" s="143">
        <v>111000</v>
      </c>
      <c r="F874" s="117">
        <v>1404</v>
      </c>
      <c r="G874" s="360" t="s">
        <v>298</v>
      </c>
      <c r="H874" s="144">
        <f>bargiri[[#This Row],[میزان بارگیری شده]]*bargiri[[#This Row],[فی]]</f>
        <v>980130000</v>
      </c>
      <c r="I874" s="360">
        <f>IF(year=bargiri[[#This Row],[سال]],1,0)</f>
        <v>0</v>
      </c>
      <c r="J874" s="360" t="str">
        <f>VLOOKUP(bargiri[[#This Row],[شماره پیش فاکتور]],invoice[],16,0)</f>
        <v>عادی</v>
      </c>
      <c r="K874" s="252">
        <f>bargiri[[#This Row],[فی]]*bargiri[[#This Row],[میزان بارگیری شده]]</f>
        <v>980130000</v>
      </c>
      <c r="X874" s="1"/>
      <c r="Y874" s="1"/>
      <c r="Z874" s="1"/>
    </row>
    <row r="875" spans="1:26" ht="18.600000000000001">
      <c r="A875" s="360" t="s">
        <v>927</v>
      </c>
      <c r="B875" s="360" t="s">
        <v>117</v>
      </c>
      <c r="C875" s="355" t="s">
        <v>566</v>
      </c>
      <c r="D875">
        <v>20260</v>
      </c>
      <c r="E875" s="143">
        <v>142000</v>
      </c>
      <c r="F875" s="117">
        <v>1404</v>
      </c>
      <c r="G875" s="360" t="s">
        <v>298</v>
      </c>
      <c r="H875" s="144">
        <f>bargiri[[#This Row],[میزان بارگیری شده]]*bargiri[[#This Row],[فی]]</f>
        <v>2876920000</v>
      </c>
      <c r="I875" s="360">
        <f>IF(year=bargiri[[#This Row],[سال]],1,0)</f>
        <v>0</v>
      </c>
      <c r="J875" s="360" t="str">
        <f>VLOOKUP(bargiri[[#This Row],[شماره پیش فاکتور]],invoice[],16,0)</f>
        <v>انجمن</v>
      </c>
      <c r="K875" s="252">
        <f>bargiri[[#This Row],[فی]]*bargiri[[#This Row],[میزان بارگیری شده]]</f>
        <v>2876920000</v>
      </c>
      <c r="X875" s="1"/>
      <c r="Y875" s="1"/>
      <c r="Z875" s="1"/>
    </row>
    <row r="876" spans="1:26" ht="18.600000000000001">
      <c r="A876" s="360" t="s">
        <v>927</v>
      </c>
      <c r="B876" s="360" t="s">
        <v>106</v>
      </c>
      <c r="C876" s="355" t="s">
        <v>781</v>
      </c>
      <c r="D876">
        <v>22240</v>
      </c>
      <c r="E876" s="143">
        <v>111000</v>
      </c>
      <c r="F876" s="117">
        <v>1404</v>
      </c>
      <c r="G876" s="360" t="s">
        <v>298</v>
      </c>
      <c r="H876" s="144">
        <f>bargiri[[#This Row],[میزان بارگیری شده]]*bargiri[[#This Row],[فی]]</f>
        <v>2468640000</v>
      </c>
      <c r="I876" s="360">
        <f>IF(year=bargiri[[#This Row],[سال]],1,0)</f>
        <v>0</v>
      </c>
      <c r="J876" s="360" t="str">
        <f>VLOOKUP(bargiri[[#This Row],[شماره پیش فاکتور]],invoice[],16,0)</f>
        <v>عادی</v>
      </c>
      <c r="K876" s="252">
        <f>bargiri[[#This Row],[فی]]*bargiri[[#This Row],[میزان بارگیری شده]]</f>
        <v>2468640000</v>
      </c>
      <c r="X876" s="1"/>
      <c r="Y876" s="1"/>
      <c r="Z876" s="1"/>
    </row>
    <row r="877" spans="1:26" ht="18.600000000000001">
      <c r="A877" s="360" t="s">
        <v>927</v>
      </c>
      <c r="B877" s="360" t="s">
        <v>106</v>
      </c>
      <c r="C877" s="355" t="s">
        <v>781</v>
      </c>
      <c r="D877">
        <v>5580</v>
      </c>
      <c r="E877" s="143">
        <v>111000</v>
      </c>
      <c r="F877" s="117">
        <v>1404</v>
      </c>
      <c r="G877" s="360" t="s">
        <v>298</v>
      </c>
      <c r="H877" s="144">
        <f>bargiri[[#This Row],[میزان بارگیری شده]]*bargiri[[#This Row],[فی]]</f>
        <v>619380000</v>
      </c>
      <c r="I877" s="360">
        <f>IF(year=bargiri[[#This Row],[سال]],1,0)</f>
        <v>0</v>
      </c>
      <c r="J877" s="360" t="str">
        <f>VLOOKUP(bargiri[[#This Row],[شماره پیش فاکتور]],invoice[],16,0)</f>
        <v>عادی</v>
      </c>
      <c r="K877" s="252">
        <f>bargiri[[#This Row],[فی]]*bargiri[[#This Row],[میزان بارگیری شده]]</f>
        <v>619380000</v>
      </c>
      <c r="X877" s="1"/>
      <c r="Y877" s="1"/>
      <c r="Z877" s="1"/>
    </row>
    <row r="878" spans="1:26" ht="18.600000000000001">
      <c r="A878" s="360" t="s">
        <v>928</v>
      </c>
      <c r="B878" s="360" t="s">
        <v>106</v>
      </c>
      <c r="C878" s="355" t="s">
        <v>781</v>
      </c>
      <c r="D878">
        <v>5630</v>
      </c>
      <c r="E878" s="143">
        <v>111000</v>
      </c>
      <c r="F878" s="117">
        <v>1404</v>
      </c>
      <c r="G878" s="360" t="s">
        <v>298</v>
      </c>
      <c r="H878" s="144">
        <f>bargiri[[#This Row],[میزان بارگیری شده]]*bargiri[[#This Row],[فی]]</f>
        <v>624930000</v>
      </c>
      <c r="I878" s="360">
        <f>IF(year=bargiri[[#This Row],[سال]],1,0)</f>
        <v>0</v>
      </c>
      <c r="J878" s="360" t="str">
        <f>VLOOKUP(bargiri[[#This Row],[شماره پیش فاکتور]],invoice[],16,0)</f>
        <v>عادی</v>
      </c>
      <c r="K878" s="252">
        <f>bargiri[[#This Row],[فی]]*bargiri[[#This Row],[میزان بارگیری شده]]</f>
        <v>624930000</v>
      </c>
      <c r="X878" s="1"/>
      <c r="Y878" s="1"/>
      <c r="Z878" s="1"/>
    </row>
    <row r="879" spans="1:26" ht="18.600000000000001">
      <c r="A879" s="360" t="s">
        <v>928</v>
      </c>
      <c r="B879" s="360" t="s">
        <v>103</v>
      </c>
      <c r="C879" s="355" t="s">
        <v>560</v>
      </c>
      <c r="D879">
        <v>7270</v>
      </c>
      <c r="E879" s="143">
        <v>142000</v>
      </c>
      <c r="F879" s="117">
        <v>1404</v>
      </c>
      <c r="G879" s="360" t="s">
        <v>298</v>
      </c>
      <c r="H879" s="144">
        <f>bargiri[[#This Row],[میزان بارگیری شده]]*bargiri[[#This Row],[فی]]</f>
        <v>1032340000</v>
      </c>
      <c r="I879" s="360">
        <f>IF(year=bargiri[[#This Row],[سال]],1,0)</f>
        <v>0</v>
      </c>
      <c r="J879" s="360" t="str">
        <f>VLOOKUP(bargiri[[#This Row],[شماره پیش فاکتور]],invoice[],16,0)</f>
        <v>انجمن</v>
      </c>
      <c r="K879" s="252">
        <f>bargiri[[#This Row],[فی]]*bargiri[[#This Row],[میزان بارگیری شده]]</f>
        <v>1032340000</v>
      </c>
      <c r="X879" s="1"/>
      <c r="Y879" s="1"/>
      <c r="Z879" s="1"/>
    </row>
    <row r="880" spans="1:26" ht="18.600000000000001">
      <c r="A880" s="360" t="s">
        <v>928</v>
      </c>
      <c r="B880" s="360" t="s">
        <v>109</v>
      </c>
      <c r="C880" s="355" t="s">
        <v>563</v>
      </c>
      <c r="D880">
        <v>7030</v>
      </c>
      <c r="E880" s="143">
        <v>142000</v>
      </c>
      <c r="F880" s="117">
        <v>1404</v>
      </c>
      <c r="G880" s="360" t="s">
        <v>298</v>
      </c>
      <c r="H880" s="144">
        <f>bargiri[[#This Row],[میزان بارگیری شده]]*bargiri[[#This Row],[فی]]</f>
        <v>998260000</v>
      </c>
      <c r="I880" s="360">
        <f>IF(year=bargiri[[#This Row],[سال]],1,0)</f>
        <v>0</v>
      </c>
      <c r="J880" s="360" t="str">
        <f>VLOOKUP(bargiri[[#This Row],[شماره پیش فاکتور]],invoice[],16,0)</f>
        <v>انجمن</v>
      </c>
      <c r="K880" s="252">
        <f>bargiri[[#This Row],[فی]]*bargiri[[#This Row],[میزان بارگیری شده]]</f>
        <v>998260000</v>
      </c>
      <c r="X880" s="1"/>
      <c r="Y880" s="1"/>
      <c r="Z880" s="1"/>
    </row>
    <row r="881" spans="1:26" ht="18.600000000000001">
      <c r="A881" s="360" t="s">
        <v>929</v>
      </c>
      <c r="B881" s="360" t="s">
        <v>106</v>
      </c>
      <c r="C881" s="355" t="s">
        <v>781</v>
      </c>
      <c r="D881">
        <v>22280</v>
      </c>
      <c r="E881" s="143">
        <v>111000</v>
      </c>
      <c r="F881" s="117">
        <v>1404</v>
      </c>
      <c r="G881" s="360" t="s">
        <v>298</v>
      </c>
      <c r="H881" s="144">
        <f>bargiri[[#This Row],[میزان بارگیری شده]]*bargiri[[#This Row],[فی]]</f>
        <v>2473080000</v>
      </c>
      <c r="I881" s="360">
        <f>IF(year=bargiri[[#This Row],[سال]],1,0)</f>
        <v>0</v>
      </c>
      <c r="J881" s="360" t="str">
        <f>VLOOKUP(bargiri[[#This Row],[شماره پیش فاکتور]],invoice[],16,0)</f>
        <v>عادی</v>
      </c>
      <c r="K881" s="252">
        <f>bargiri[[#This Row],[فی]]*bargiri[[#This Row],[میزان بارگیری شده]]</f>
        <v>2473080000</v>
      </c>
      <c r="X881" s="1"/>
      <c r="Y881" s="1"/>
      <c r="Z881" s="1"/>
    </row>
    <row r="882" spans="1:26" ht="18.600000000000001">
      <c r="A882" s="360" t="s">
        <v>929</v>
      </c>
      <c r="B882" s="360" t="s">
        <v>121</v>
      </c>
      <c r="C882" s="355" t="s">
        <v>719</v>
      </c>
      <c r="D882">
        <v>18090</v>
      </c>
      <c r="E882" s="143">
        <v>167500</v>
      </c>
      <c r="F882" s="117">
        <v>1404</v>
      </c>
      <c r="G882" s="360" t="s">
        <v>298</v>
      </c>
      <c r="H882" s="144">
        <f>bargiri[[#This Row],[میزان بارگیری شده]]*bargiri[[#This Row],[فی]]</f>
        <v>3030075000</v>
      </c>
      <c r="I882" s="360">
        <f>IF(year=bargiri[[#This Row],[سال]],1,0)</f>
        <v>0</v>
      </c>
      <c r="J882" s="360" t="str">
        <f>VLOOKUP(bargiri[[#This Row],[شماره پیش فاکتور]],invoice[],16,0)</f>
        <v>بورس</v>
      </c>
      <c r="K882" s="252">
        <f>bargiri[[#This Row],[فی]]*bargiri[[#This Row],[میزان بارگیری شده]]</f>
        <v>3030075000</v>
      </c>
      <c r="X882" s="1"/>
      <c r="Y882" s="1"/>
      <c r="Z882" s="1"/>
    </row>
    <row r="883" spans="1:26" ht="18.600000000000001">
      <c r="A883" s="360" t="s">
        <v>929</v>
      </c>
      <c r="B883" s="360" t="s">
        <v>103</v>
      </c>
      <c r="C883" s="355" t="s">
        <v>560</v>
      </c>
      <c r="D883">
        <v>20055</v>
      </c>
      <c r="E883" s="143">
        <v>142000</v>
      </c>
      <c r="F883" s="117">
        <v>1404</v>
      </c>
      <c r="G883" s="360" t="s">
        <v>298</v>
      </c>
      <c r="H883" s="144">
        <f>bargiri[[#This Row],[میزان بارگیری شده]]*bargiri[[#This Row],[فی]]</f>
        <v>2847810000</v>
      </c>
      <c r="I883" s="360">
        <f>IF(year=bargiri[[#This Row],[سال]],1,0)</f>
        <v>0</v>
      </c>
      <c r="J883" s="360" t="str">
        <f>VLOOKUP(bargiri[[#This Row],[شماره پیش فاکتور]],invoice[],16,0)</f>
        <v>انجمن</v>
      </c>
      <c r="K883" s="252">
        <f>bargiri[[#This Row],[فی]]*bargiri[[#This Row],[میزان بارگیری شده]]</f>
        <v>2847810000</v>
      </c>
      <c r="X883" s="1"/>
      <c r="Y883" s="1"/>
      <c r="Z883" s="1"/>
    </row>
    <row r="884" spans="1:26" ht="18.600000000000001">
      <c r="A884" s="360" t="s">
        <v>929</v>
      </c>
      <c r="B884" s="360" t="s">
        <v>106</v>
      </c>
      <c r="C884" s="355" t="s">
        <v>781</v>
      </c>
      <c r="D884">
        <v>16230</v>
      </c>
      <c r="E884" s="143">
        <v>111000</v>
      </c>
      <c r="F884" s="117">
        <v>1404</v>
      </c>
      <c r="G884" s="360" t="s">
        <v>298</v>
      </c>
      <c r="H884" s="144">
        <f>bargiri[[#This Row],[میزان بارگیری شده]]*bargiri[[#This Row],[فی]]</f>
        <v>1801530000</v>
      </c>
      <c r="I884" s="360">
        <f>IF(year=bargiri[[#This Row],[سال]],1,0)</f>
        <v>0</v>
      </c>
      <c r="J884" s="360" t="str">
        <f>VLOOKUP(bargiri[[#This Row],[شماره پیش فاکتور]],invoice[],16,0)</f>
        <v>عادی</v>
      </c>
      <c r="K884" s="252">
        <f>bargiri[[#This Row],[فی]]*bargiri[[#This Row],[میزان بارگیری شده]]</f>
        <v>1801530000</v>
      </c>
      <c r="X884" s="1"/>
      <c r="Y884" s="1"/>
      <c r="Z884" s="1"/>
    </row>
    <row r="885" spans="1:26" ht="18.600000000000001">
      <c r="A885" s="360" t="s">
        <v>929</v>
      </c>
      <c r="B885" s="360" t="s">
        <v>100</v>
      </c>
      <c r="C885" s="355" t="s">
        <v>555</v>
      </c>
      <c r="D885">
        <v>6525</v>
      </c>
      <c r="E885" s="143">
        <v>142000</v>
      </c>
      <c r="F885" s="117">
        <v>1404</v>
      </c>
      <c r="G885" s="360" t="s">
        <v>298</v>
      </c>
      <c r="H885" s="144">
        <f>bargiri[[#This Row],[میزان بارگیری شده]]*bargiri[[#This Row],[فی]]</f>
        <v>926550000</v>
      </c>
      <c r="I885" s="360">
        <f>IF(year=bargiri[[#This Row],[سال]],1,0)</f>
        <v>0</v>
      </c>
      <c r="J885" s="360" t="str">
        <f>VLOOKUP(bargiri[[#This Row],[شماره پیش فاکتور]],invoice[],16,0)</f>
        <v>انجمن</v>
      </c>
      <c r="K885" s="252">
        <f>bargiri[[#This Row],[فی]]*bargiri[[#This Row],[میزان بارگیری شده]]</f>
        <v>926550000</v>
      </c>
      <c r="X885" s="1"/>
      <c r="Y885" s="1"/>
      <c r="Z885" s="1"/>
    </row>
    <row r="886" spans="1:26" ht="18.600000000000001">
      <c r="A886" s="360" t="s">
        <v>930</v>
      </c>
      <c r="B886" s="360" t="s">
        <v>104</v>
      </c>
      <c r="C886" s="355" t="s">
        <v>901</v>
      </c>
      <c r="D886">
        <v>18270</v>
      </c>
      <c r="E886" s="143">
        <v>167500</v>
      </c>
      <c r="F886" s="117">
        <v>1404</v>
      </c>
      <c r="G886" s="360" t="s">
        <v>298</v>
      </c>
      <c r="H886" s="144">
        <f>bargiri[[#This Row],[میزان بارگیری شده]]*bargiri[[#This Row],[فی]]</f>
        <v>3060225000</v>
      </c>
      <c r="I886" s="360">
        <f>IF(year=bargiri[[#This Row],[سال]],1,0)</f>
        <v>0</v>
      </c>
      <c r="J886" s="360" t="str">
        <f>VLOOKUP(bargiri[[#This Row],[شماره پیش فاکتور]],invoice[],16,0)</f>
        <v>بورس</v>
      </c>
      <c r="K886" s="252">
        <f>bargiri[[#This Row],[فی]]*bargiri[[#This Row],[میزان بارگیری شده]]</f>
        <v>3060225000</v>
      </c>
      <c r="X886" s="1"/>
      <c r="Y886" s="1"/>
      <c r="Z886" s="1"/>
    </row>
    <row r="887" spans="1:26" ht="18.600000000000001">
      <c r="A887" s="360" t="s">
        <v>930</v>
      </c>
      <c r="B887" s="360" t="s">
        <v>101</v>
      </c>
      <c r="C887" s="355" t="s">
        <v>860</v>
      </c>
      <c r="D887">
        <v>22820</v>
      </c>
      <c r="E887" s="143">
        <v>167500</v>
      </c>
      <c r="F887" s="117">
        <v>1404</v>
      </c>
      <c r="G887" s="360" t="s">
        <v>298</v>
      </c>
      <c r="H887" s="144">
        <f>bargiri[[#This Row],[میزان بارگیری شده]]*bargiri[[#This Row],[فی]]</f>
        <v>3822350000</v>
      </c>
      <c r="I887" s="360">
        <f>IF(year=bargiri[[#This Row],[سال]],1,0)</f>
        <v>0</v>
      </c>
      <c r="J887" s="360" t="str">
        <f>VLOOKUP(bargiri[[#This Row],[شماره پیش فاکتور]],invoice[],16,0)</f>
        <v>بورس</v>
      </c>
      <c r="K887" s="252">
        <f>bargiri[[#This Row],[فی]]*bargiri[[#This Row],[میزان بارگیری شده]]</f>
        <v>3822350000</v>
      </c>
      <c r="X887" s="1"/>
      <c r="Y887" s="1"/>
      <c r="Z887" s="1"/>
    </row>
    <row r="888" spans="1:26" ht="18.600000000000001">
      <c r="A888" s="360" t="s">
        <v>930</v>
      </c>
      <c r="B888" s="360" t="s">
        <v>116</v>
      </c>
      <c r="C888" s="355" t="s">
        <v>859</v>
      </c>
      <c r="D888">
        <v>3365</v>
      </c>
      <c r="E888" s="143">
        <v>167500</v>
      </c>
      <c r="F888" s="117">
        <v>1404</v>
      </c>
      <c r="G888" s="360" t="s">
        <v>298</v>
      </c>
      <c r="H888" s="144">
        <f>bargiri[[#This Row],[میزان بارگیری شده]]*bargiri[[#This Row],[فی]]</f>
        <v>563637500</v>
      </c>
      <c r="I888" s="360">
        <f>IF(year=bargiri[[#This Row],[سال]],1,0)</f>
        <v>0</v>
      </c>
      <c r="J888" s="360" t="str">
        <f>VLOOKUP(bargiri[[#This Row],[شماره پیش فاکتور]],invoice[],16,0)</f>
        <v>بورس</v>
      </c>
      <c r="K888" s="252">
        <f>bargiri[[#This Row],[فی]]*bargiri[[#This Row],[میزان بارگیری شده]]</f>
        <v>563637500</v>
      </c>
      <c r="X888" s="1"/>
      <c r="Y888" s="1"/>
      <c r="Z888" s="1"/>
    </row>
    <row r="889" spans="1:26" ht="18.600000000000001">
      <c r="A889" s="360" t="s">
        <v>930</v>
      </c>
      <c r="B889" s="360" t="s">
        <v>116</v>
      </c>
      <c r="C889" s="355" t="s">
        <v>872</v>
      </c>
      <c r="D889">
        <v>17875</v>
      </c>
      <c r="E889" s="143">
        <v>167500</v>
      </c>
      <c r="F889" s="117">
        <v>1404</v>
      </c>
      <c r="G889" s="360" t="s">
        <v>298</v>
      </c>
      <c r="H889" s="144">
        <f>bargiri[[#This Row],[میزان بارگیری شده]]*bargiri[[#This Row],[فی]]</f>
        <v>2994062500</v>
      </c>
      <c r="I889" s="360">
        <f>IF(year=bargiri[[#This Row],[سال]],1,0)</f>
        <v>0</v>
      </c>
      <c r="J889" s="360" t="str">
        <f>VLOOKUP(bargiri[[#This Row],[شماره پیش فاکتور]],invoice[],16,0)</f>
        <v>بورس</v>
      </c>
      <c r="K889" s="252">
        <f>bargiri[[#This Row],[فی]]*bargiri[[#This Row],[میزان بارگیری شده]]</f>
        <v>2994062500</v>
      </c>
      <c r="X889" s="1"/>
      <c r="Y889" s="1"/>
      <c r="Z889" s="1"/>
    </row>
    <row r="890" spans="1:26" ht="18.600000000000001">
      <c r="A890" s="360" t="s">
        <v>922</v>
      </c>
      <c r="B890" s="360" t="s">
        <v>102</v>
      </c>
      <c r="C890" s="355" t="s">
        <v>559</v>
      </c>
      <c r="D890">
        <v>11580</v>
      </c>
      <c r="E890" s="143">
        <v>142000</v>
      </c>
      <c r="F890" s="117">
        <v>1404</v>
      </c>
      <c r="G890" s="360" t="s">
        <v>298</v>
      </c>
      <c r="H890" s="144">
        <f>bargiri[[#This Row],[میزان بارگیری شده]]*bargiri[[#This Row],[فی]]</f>
        <v>1644360000</v>
      </c>
      <c r="I890" s="360">
        <f>IF(year=bargiri[[#This Row],[سال]],1,0)</f>
        <v>0</v>
      </c>
      <c r="J890" s="360" t="str">
        <f>VLOOKUP(bargiri[[#This Row],[شماره پیش فاکتور]],invoice[],16,0)</f>
        <v>انجمن</v>
      </c>
      <c r="K890" s="252">
        <f>bargiri[[#This Row],[فی]]*bargiri[[#This Row],[میزان بارگیری شده]]</f>
        <v>1644360000</v>
      </c>
      <c r="X890" s="1"/>
      <c r="Y890" s="1"/>
      <c r="Z890" s="1"/>
    </row>
    <row r="891" spans="1:26" ht="18.600000000000001">
      <c r="A891" s="360" t="s">
        <v>922</v>
      </c>
      <c r="B891" s="360" t="s">
        <v>114</v>
      </c>
      <c r="C891" s="355" t="s">
        <v>62</v>
      </c>
      <c r="D891">
        <v>23245</v>
      </c>
      <c r="E891" s="143">
        <v>75000</v>
      </c>
      <c r="F891" s="117">
        <v>1404</v>
      </c>
      <c r="G891" s="360" t="s">
        <v>298</v>
      </c>
      <c r="H891" s="144">
        <f>bargiri[[#This Row],[میزان بارگیری شده]]*bargiri[[#This Row],[فی]]</f>
        <v>1743375000</v>
      </c>
      <c r="I891" s="360">
        <f>IF(year=bargiri[[#This Row],[سال]],1,0)</f>
        <v>0</v>
      </c>
      <c r="J891" s="360" t="str">
        <f>VLOOKUP(bargiri[[#This Row],[شماره پیش فاکتور]],invoice[],16,0)</f>
        <v>عادی</v>
      </c>
      <c r="K891" s="252">
        <f>bargiri[[#This Row],[فی]]*bargiri[[#This Row],[میزان بارگیری شده]]</f>
        <v>1743375000</v>
      </c>
      <c r="X891" s="1"/>
      <c r="Y891" s="1"/>
      <c r="Z891" s="1"/>
    </row>
    <row r="892" spans="1:26" ht="18.600000000000001">
      <c r="A892" s="360" t="s">
        <v>922</v>
      </c>
      <c r="B892" s="360" t="s">
        <v>98</v>
      </c>
      <c r="C892" s="355" t="s">
        <v>636</v>
      </c>
      <c r="D892">
        <v>21115</v>
      </c>
      <c r="E892" s="143">
        <v>120000</v>
      </c>
      <c r="F892" s="117">
        <v>1404</v>
      </c>
      <c r="G892" s="360" t="s">
        <v>298</v>
      </c>
      <c r="H892" s="144">
        <f>bargiri[[#This Row],[میزان بارگیری شده]]*bargiri[[#This Row],[فی]]</f>
        <v>2533800000</v>
      </c>
      <c r="I892" s="360">
        <f>IF(year=bargiri[[#This Row],[سال]],1,0)</f>
        <v>0</v>
      </c>
      <c r="J892" s="360" t="str">
        <f>VLOOKUP(bargiri[[#This Row],[شماره پیش فاکتور]],invoice[],16,0)</f>
        <v>عادی</v>
      </c>
      <c r="K892" s="252">
        <f>bargiri[[#This Row],[فی]]*bargiri[[#This Row],[میزان بارگیری شده]]</f>
        <v>2533800000</v>
      </c>
      <c r="X892" s="1"/>
      <c r="Y892" s="1"/>
      <c r="Z892" s="1"/>
    </row>
    <row r="893" spans="1:26" ht="18.600000000000001">
      <c r="A893" s="360" t="s">
        <v>922</v>
      </c>
      <c r="B893" s="360" t="s">
        <v>122</v>
      </c>
      <c r="C893" s="355" t="s">
        <v>568</v>
      </c>
      <c r="D893">
        <v>22235</v>
      </c>
      <c r="E893" s="143">
        <v>142000</v>
      </c>
      <c r="F893" s="117">
        <v>1404</v>
      </c>
      <c r="G893" s="360" t="s">
        <v>298</v>
      </c>
      <c r="H893" s="144">
        <f>bargiri[[#This Row],[میزان بارگیری شده]]*bargiri[[#This Row],[فی]]</f>
        <v>3157370000</v>
      </c>
      <c r="I893" s="360">
        <f>IF(year=bargiri[[#This Row],[سال]],1,0)</f>
        <v>0</v>
      </c>
      <c r="J893" s="360" t="str">
        <f>VLOOKUP(bargiri[[#This Row],[شماره پیش فاکتور]],invoice[],16,0)</f>
        <v>انجمن</v>
      </c>
      <c r="K893" s="252">
        <f>bargiri[[#This Row],[فی]]*bargiri[[#This Row],[میزان بارگیری شده]]</f>
        <v>3157370000</v>
      </c>
      <c r="X893" s="1"/>
      <c r="Y893" s="1"/>
      <c r="Z893" s="1"/>
    </row>
    <row r="894" spans="1:26" ht="18.600000000000001">
      <c r="A894" s="360" t="s">
        <v>922</v>
      </c>
      <c r="B894" s="360" t="s">
        <v>106</v>
      </c>
      <c r="C894" s="355" t="s">
        <v>781</v>
      </c>
      <c r="D894">
        <v>22290</v>
      </c>
      <c r="E894" s="143">
        <v>111000</v>
      </c>
      <c r="F894" s="117">
        <v>1404</v>
      </c>
      <c r="G894" s="360" t="s">
        <v>298</v>
      </c>
      <c r="H894" s="144">
        <f>bargiri[[#This Row],[میزان بارگیری شده]]*bargiri[[#This Row],[فی]]</f>
        <v>2474190000</v>
      </c>
      <c r="I894" s="360">
        <f>IF(year=bargiri[[#This Row],[سال]],1,0)</f>
        <v>0</v>
      </c>
      <c r="J894" s="360" t="str">
        <f>VLOOKUP(bargiri[[#This Row],[شماره پیش فاکتور]],invoice[],16,0)</f>
        <v>عادی</v>
      </c>
      <c r="K894" s="252">
        <f>bargiri[[#This Row],[فی]]*bargiri[[#This Row],[میزان بارگیری شده]]</f>
        <v>2474190000</v>
      </c>
      <c r="X894" s="1"/>
      <c r="Y894" s="1"/>
      <c r="Z894" s="1"/>
    </row>
    <row r="895" spans="1:26" ht="18.600000000000001">
      <c r="A895" s="360" t="s">
        <v>922</v>
      </c>
      <c r="B895" s="360" t="s">
        <v>99</v>
      </c>
      <c r="C895" s="355" t="s">
        <v>12</v>
      </c>
      <c r="D895">
        <v>20530</v>
      </c>
      <c r="E895" s="143">
        <v>86500</v>
      </c>
      <c r="F895" s="117">
        <v>1404</v>
      </c>
      <c r="G895" s="360" t="s">
        <v>298</v>
      </c>
      <c r="H895" s="144">
        <f>bargiri[[#This Row],[میزان بارگیری شده]]*bargiri[[#This Row],[فی]]</f>
        <v>1775845000</v>
      </c>
      <c r="I895" s="360">
        <f>IF(year=bargiri[[#This Row],[سال]],1,0)</f>
        <v>0</v>
      </c>
      <c r="J895" s="360" t="str">
        <f>VLOOKUP(bargiri[[#This Row],[شماره پیش فاکتور]],invoice[],16,0)</f>
        <v>عادی</v>
      </c>
      <c r="K895" s="252">
        <f>bargiri[[#This Row],[فی]]*bargiri[[#This Row],[میزان بارگیری شده]]</f>
        <v>1775845000</v>
      </c>
      <c r="X895" s="1"/>
      <c r="Y895" s="1"/>
      <c r="Z895" s="1"/>
    </row>
    <row r="896" spans="1:26" ht="18.600000000000001">
      <c r="A896" s="360" t="s">
        <v>919</v>
      </c>
      <c r="B896" s="360" t="s">
        <v>106</v>
      </c>
      <c r="C896" s="355" t="s">
        <v>781</v>
      </c>
      <c r="D896">
        <v>22210</v>
      </c>
      <c r="E896" s="143">
        <v>111000</v>
      </c>
      <c r="F896" s="117">
        <v>1404</v>
      </c>
      <c r="G896" s="360" t="s">
        <v>298</v>
      </c>
      <c r="H896" s="144">
        <f>bargiri[[#This Row],[میزان بارگیری شده]]*bargiri[[#This Row],[فی]]</f>
        <v>2465310000</v>
      </c>
      <c r="I896" s="360">
        <f>IF(year=bargiri[[#This Row],[سال]],1,0)</f>
        <v>0</v>
      </c>
      <c r="J896" s="360" t="str">
        <f>VLOOKUP(bargiri[[#This Row],[شماره پیش فاکتور]],invoice[],16,0)</f>
        <v>عادی</v>
      </c>
      <c r="K896" s="252">
        <f>bargiri[[#This Row],[فی]]*bargiri[[#This Row],[میزان بارگیری شده]]</f>
        <v>2465310000</v>
      </c>
      <c r="X896" s="1"/>
      <c r="Y896" s="1"/>
      <c r="Z896" s="1"/>
    </row>
    <row r="897" spans="1:26" ht="18.600000000000001">
      <c r="A897" s="360" t="s">
        <v>919</v>
      </c>
      <c r="B897" s="360" t="s">
        <v>116</v>
      </c>
      <c r="C897" s="355" t="s">
        <v>641</v>
      </c>
      <c r="D897">
        <v>12770</v>
      </c>
      <c r="E897" s="143">
        <v>83000</v>
      </c>
      <c r="F897" s="117">
        <v>1404</v>
      </c>
      <c r="G897" s="360" t="s">
        <v>298</v>
      </c>
      <c r="H897" s="144">
        <f>bargiri[[#This Row],[میزان بارگیری شده]]*bargiri[[#This Row],[فی]]</f>
        <v>1059910000</v>
      </c>
      <c r="I897" s="360">
        <f>IF(year=bargiri[[#This Row],[سال]],1,0)</f>
        <v>0</v>
      </c>
      <c r="J897" s="360" t="str">
        <f>VLOOKUP(bargiri[[#This Row],[شماره پیش فاکتور]],invoice[],16,0)</f>
        <v>تعادلی</v>
      </c>
      <c r="K897" s="252">
        <f>bargiri[[#This Row],[فی]]*bargiri[[#This Row],[میزان بارگیری شده]]</f>
        <v>1059910000</v>
      </c>
      <c r="X897" s="1"/>
      <c r="Y897" s="1"/>
      <c r="Z897" s="1"/>
    </row>
    <row r="898" spans="1:26" ht="18.600000000000001">
      <c r="A898" s="360" t="s">
        <v>919</v>
      </c>
      <c r="B898" s="360" t="s">
        <v>116</v>
      </c>
      <c r="C898" s="355" t="s">
        <v>608</v>
      </c>
      <c r="D898">
        <v>7525</v>
      </c>
      <c r="E898" s="143">
        <v>95000</v>
      </c>
      <c r="F898" s="117">
        <v>1404</v>
      </c>
      <c r="G898" s="360" t="s">
        <v>298</v>
      </c>
      <c r="H898" s="144">
        <f>bargiri[[#This Row],[میزان بارگیری شده]]*bargiri[[#This Row],[فی]]</f>
        <v>714875000</v>
      </c>
      <c r="I898" s="360">
        <f>IF(year=bargiri[[#This Row],[سال]],1,0)</f>
        <v>0</v>
      </c>
      <c r="J898" s="360" t="str">
        <f>VLOOKUP(bargiri[[#This Row],[شماره پیش فاکتور]],invoice[],16,0)</f>
        <v>عادی</v>
      </c>
      <c r="K898" s="252">
        <f>bargiri[[#This Row],[فی]]*bargiri[[#This Row],[میزان بارگیری شده]]</f>
        <v>714875000</v>
      </c>
      <c r="X898" s="1"/>
      <c r="Y898" s="1"/>
      <c r="Z898" s="1"/>
    </row>
    <row r="899" spans="1:26" ht="18.600000000000001">
      <c r="A899" s="360" t="s">
        <v>919</v>
      </c>
      <c r="B899" s="360" t="s">
        <v>125</v>
      </c>
      <c r="C899" s="355" t="s">
        <v>870</v>
      </c>
      <c r="D899">
        <v>14655</v>
      </c>
      <c r="E899" s="143">
        <v>135000</v>
      </c>
      <c r="F899" s="117">
        <v>1404</v>
      </c>
      <c r="G899" s="360" t="s">
        <v>298</v>
      </c>
      <c r="H899" s="144">
        <f>bargiri[[#This Row],[میزان بارگیری شده]]*bargiri[[#This Row],[فی]]</f>
        <v>1978425000</v>
      </c>
      <c r="I899" s="360">
        <f>IF(year=bargiri[[#This Row],[سال]],1,0)</f>
        <v>0</v>
      </c>
      <c r="J899" s="360" t="str">
        <f>VLOOKUP(bargiri[[#This Row],[شماره پیش فاکتور]],invoice[],16,0)</f>
        <v>عادی</v>
      </c>
      <c r="K899" s="252">
        <f>bargiri[[#This Row],[فی]]*bargiri[[#This Row],[میزان بارگیری شده]]</f>
        <v>1978425000</v>
      </c>
      <c r="X899" s="1"/>
      <c r="Y899" s="1"/>
      <c r="Z899" s="1"/>
    </row>
    <row r="900" spans="1:26" ht="18.600000000000001">
      <c r="A900" s="360" t="s">
        <v>919</v>
      </c>
      <c r="B900" s="360" t="s">
        <v>123</v>
      </c>
      <c r="C900" s="355" t="s">
        <v>569</v>
      </c>
      <c r="D900">
        <v>7295</v>
      </c>
      <c r="E900" s="143">
        <v>142000</v>
      </c>
      <c r="F900" s="117">
        <v>1404</v>
      </c>
      <c r="G900" s="360" t="s">
        <v>298</v>
      </c>
      <c r="H900" s="144">
        <f>bargiri[[#This Row],[میزان بارگیری شده]]*bargiri[[#This Row],[فی]]</f>
        <v>1035890000</v>
      </c>
      <c r="I900" s="360">
        <f>IF(year=bargiri[[#This Row],[سال]],1,0)</f>
        <v>0</v>
      </c>
      <c r="J900" s="360" t="str">
        <f>VLOOKUP(bargiri[[#This Row],[شماره پیش فاکتور]],invoice[],16,0)</f>
        <v>انجمن</v>
      </c>
      <c r="K900" s="252">
        <f>bargiri[[#This Row],[فی]]*bargiri[[#This Row],[میزان بارگیری شده]]</f>
        <v>1035890000</v>
      </c>
      <c r="X900" s="1"/>
      <c r="Y900" s="1"/>
      <c r="Z900" s="1"/>
    </row>
    <row r="901" spans="1:26" ht="18.600000000000001">
      <c r="A901" s="360" t="s">
        <v>920</v>
      </c>
      <c r="B901" s="360" t="s">
        <v>99</v>
      </c>
      <c r="C901" s="355" t="s">
        <v>12</v>
      </c>
      <c r="D901">
        <v>20650</v>
      </c>
      <c r="E901" s="143">
        <v>86500</v>
      </c>
      <c r="F901" s="117">
        <v>1404</v>
      </c>
      <c r="G901" s="360" t="s">
        <v>298</v>
      </c>
      <c r="H901" s="144">
        <f>bargiri[[#This Row],[میزان بارگیری شده]]*bargiri[[#This Row],[فی]]</f>
        <v>1786225000</v>
      </c>
      <c r="I901" s="360">
        <f>IF(year=bargiri[[#This Row],[سال]],1,0)</f>
        <v>0</v>
      </c>
      <c r="J901" s="360" t="str">
        <f>VLOOKUP(bargiri[[#This Row],[شماره پیش فاکتور]],invoice[],16,0)</f>
        <v>عادی</v>
      </c>
      <c r="K901" s="252">
        <f>bargiri[[#This Row],[فی]]*bargiri[[#This Row],[میزان بارگیری شده]]</f>
        <v>1786225000</v>
      </c>
      <c r="X901" s="1"/>
      <c r="Y901" s="1"/>
      <c r="Z901" s="1"/>
    </row>
    <row r="902" spans="1:26" ht="18.600000000000001">
      <c r="A902" s="360" t="s">
        <v>921</v>
      </c>
      <c r="B902" s="360" t="s">
        <v>109</v>
      </c>
      <c r="C902" s="355" t="s">
        <v>563</v>
      </c>
      <c r="D902">
        <v>19970</v>
      </c>
      <c r="E902" s="143">
        <v>142000</v>
      </c>
      <c r="F902" s="117">
        <v>1404</v>
      </c>
      <c r="G902" s="360" t="s">
        <v>298</v>
      </c>
      <c r="H902" s="144">
        <f>bargiri[[#This Row],[میزان بارگیری شده]]*bargiri[[#This Row],[فی]]</f>
        <v>2835740000</v>
      </c>
      <c r="I902" s="360">
        <f>IF(year=bargiri[[#This Row],[سال]],1,0)</f>
        <v>0</v>
      </c>
      <c r="J902" s="360" t="str">
        <f>VLOOKUP(bargiri[[#This Row],[شماره پیش فاکتور]],invoice[],16,0)</f>
        <v>انجمن</v>
      </c>
      <c r="K902" s="252">
        <f>bargiri[[#This Row],[فی]]*bargiri[[#This Row],[میزان بارگیری شده]]</f>
        <v>2835740000</v>
      </c>
      <c r="X902" s="1"/>
      <c r="Y902" s="1"/>
      <c r="Z902" s="1"/>
    </row>
    <row r="903" spans="1:26" ht="18.600000000000001">
      <c r="A903" s="360" t="s">
        <v>914</v>
      </c>
      <c r="B903" s="360" t="s">
        <v>103</v>
      </c>
      <c r="C903" s="355" t="s">
        <v>560</v>
      </c>
      <c r="D903">
        <v>19925</v>
      </c>
      <c r="E903" s="143">
        <v>142000</v>
      </c>
      <c r="F903" s="117">
        <v>1404</v>
      </c>
      <c r="G903" s="360" t="s">
        <v>298</v>
      </c>
      <c r="H903" s="144">
        <f>bargiri[[#This Row],[میزان بارگیری شده]]*bargiri[[#This Row],[فی]]</f>
        <v>2829350000</v>
      </c>
      <c r="I903" s="360">
        <f>IF(year=bargiri[[#This Row],[سال]],1,0)</f>
        <v>0</v>
      </c>
      <c r="J903" s="360" t="str">
        <f>VLOOKUP(bargiri[[#This Row],[شماره پیش فاکتور]],invoice[],16,0)</f>
        <v>انجمن</v>
      </c>
      <c r="K903" s="252">
        <f>bargiri[[#This Row],[فی]]*bargiri[[#This Row],[میزان بارگیری شده]]</f>
        <v>2829350000</v>
      </c>
      <c r="X903" s="1"/>
      <c r="Y903" s="1"/>
      <c r="Z903" s="1"/>
    </row>
    <row r="904" spans="1:26" ht="18.600000000000001">
      <c r="A904" s="360" t="s">
        <v>914</v>
      </c>
      <c r="B904" s="360" t="s">
        <v>117</v>
      </c>
      <c r="C904" s="355" t="s">
        <v>634</v>
      </c>
      <c r="D904">
        <v>20225</v>
      </c>
      <c r="E904" s="143">
        <v>120000</v>
      </c>
      <c r="F904" s="117">
        <v>1404</v>
      </c>
      <c r="G904" s="360" t="s">
        <v>298</v>
      </c>
      <c r="H904" s="144">
        <f>bargiri[[#This Row],[میزان بارگیری شده]]*bargiri[[#This Row],[فی]]</f>
        <v>2427000000</v>
      </c>
      <c r="I904" s="360">
        <f>IF(year=bargiri[[#This Row],[سال]],1,0)</f>
        <v>0</v>
      </c>
      <c r="J904" s="360" t="str">
        <f>VLOOKUP(bargiri[[#This Row],[شماره پیش فاکتور]],invoice[],16,0)</f>
        <v>عادی</v>
      </c>
      <c r="K904" s="252">
        <f>bargiri[[#This Row],[فی]]*bargiri[[#This Row],[میزان بارگیری شده]]</f>
        <v>2427000000</v>
      </c>
      <c r="X904" s="1"/>
      <c r="Y904" s="1"/>
      <c r="Z904" s="1"/>
    </row>
    <row r="905" spans="1:26" ht="18.600000000000001">
      <c r="A905" s="360" t="s">
        <v>915</v>
      </c>
      <c r="B905" s="360" t="s">
        <v>98</v>
      </c>
      <c r="C905" s="355" t="s">
        <v>636</v>
      </c>
      <c r="D905">
        <v>23190</v>
      </c>
      <c r="E905" s="143">
        <v>120000</v>
      </c>
      <c r="F905" s="117">
        <v>1404</v>
      </c>
      <c r="G905" s="360" t="s">
        <v>298</v>
      </c>
      <c r="H905" s="144">
        <f>bargiri[[#This Row],[میزان بارگیری شده]]*bargiri[[#This Row],[فی]]</f>
        <v>2782800000</v>
      </c>
      <c r="I905" s="360">
        <f>IF(year=bargiri[[#This Row],[سال]],1,0)</f>
        <v>0</v>
      </c>
      <c r="J905" s="360" t="str">
        <f>VLOOKUP(bargiri[[#This Row],[شماره پیش فاکتور]],invoice[],16,0)</f>
        <v>عادی</v>
      </c>
      <c r="K905" s="252">
        <f>bargiri[[#This Row],[فی]]*bargiri[[#This Row],[میزان بارگیری شده]]</f>
        <v>2782800000</v>
      </c>
      <c r="X905" s="1"/>
      <c r="Y905" s="1"/>
      <c r="Z905" s="1"/>
    </row>
    <row r="906" spans="1:26" ht="18.600000000000001">
      <c r="A906" s="360" t="s">
        <v>915</v>
      </c>
      <c r="B906" s="360" t="s">
        <v>103</v>
      </c>
      <c r="C906" s="355" t="s">
        <v>560</v>
      </c>
      <c r="D906">
        <v>7335</v>
      </c>
      <c r="E906" s="143">
        <v>142000</v>
      </c>
      <c r="F906" s="117">
        <v>1404</v>
      </c>
      <c r="G906" s="360" t="s">
        <v>298</v>
      </c>
      <c r="H906" s="144">
        <f>bargiri[[#This Row],[میزان بارگیری شده]]*bargiri[[#This Row],[فی]]</f>
        <v>1041570000</v>
      </c>
      <c r="I906" s="360">
        <f>IF(year=bargiri[[#This Row],[سال]],1,0)</f>
        <v>0</v>
      </c>
      <c r="J906" s="360" t="str">
        <f>VLOOKUP(bargiri[[#This Row],[شماره پیش فاکتور]],invoice[],16,0)</f>
        <v>انجمن</v>
      </c>
      <c r="K906" s="252">
        <f>bargiri[[#This Row],[فی]]*bargiri[[#This Row],[میزان بارگیری شده]]</f>
        <v>1041570000</v>
      </c>
      <c r="X906" s="1"/>
      <c r="Y906" s="1"/>
      <c r="Z906" s="1"/>
    </row>
    <row r="907" spans="1:26" ht="18.600000000000001">
      <c r="A907" s="360" t="s">
        <v>915</v>
      </c>
      <c r="B907" s="360" t="s">
        <v>100</v>
      </c>
      <c r="C907" s="355" t="s">
        <v>555</v>
      </c>
      <c r="D907">
        <v>6775</v>
      </c>
      <c r="E907" s="143">
        <v>142000</v>
      </c>
      <c r="F907" s="117">
        <v>1404</v>
      </c>
      <c r="G907" s="360" t="s">
        <v>298</v>
      </c>
      <c r="H907" s="144">
        <f>bargiri[[#This Row],[میزان بارگیری شده]]*bargiri[[#This Row],[فی]]</f>
        <v>962050000</v>
      </c>
      <c r="I907" s="360">
        <f>IF(year=bargiri[[#This Row],[سال]],1,0)</f>
        <v>0</v>
      </c>
      <c r="J907" s="360" t="str">
        <f>VLOOKUP(bargiri[[#This Row],[شماره پیش فاکتور]],invoice[],16,0)</f>
        <v>انجمن</v>
      </c>
      <c r="K907" s="252">
        <f>bargiri[[#This Row],[فی]]*bargiri[[#This Row],[میزان بارگیری شده]]</f>
        <v>962050000</v>
      </c>
      <c r="X907" s="1"/>
      <c r="Y907" s="1"/>
      <c r="Z907" s="1"/>
    </row>
    <row r="908" spans="1:26" ht="18.600000000000001">
      <c r="A908" s="360" t="s">
        <v>915</v>
      </c>
      <c r="B908" s="360" t="s">
        <v>98</v>
      </c>
      <c r="C908" s="355" t="s">
        <v>636</v>
      </c>
      <c r="D908">
        <v>23370</v>
      </c>
      <c r="E908" s="143">
        <v>120000</v>
      </c>
      <c r="F908" s="117">
        <v>1404</v>
      </c>
      <c r="G908" s="360" t="s">
        <v>298</v>
      </c>
      <c r="H908" s="144">
        <f>bargiri[[#This Row],[میزان بارگیری شده]]*bargiri[[#This Row],[فی]]</f>
        <v>2804400000</v>
      </c>
      <c r="I908" s="360">
        <f>IF(year=bargiri[[#This Row],[سال]],1,0)</f>
        <v>0</v>
      </c>
      <c r="J908" s="360" t="str">
        <f>VLOOKUP(bargiri[[#This Row],[شماره پیش فاکتور]],invoice[],16,0)</f>
        <v>عادی</v>
      </c>
      <c r="K908" s="252">
        <f>bargiri[[#This Row],[فی]]*bargiri[[#This Row],[میزان بارگیری شده]]</f>
        <v>2804400000</v>
      </c>
      <c r="X908" s="1"/>
      <c r="Y908" s="1"/>
      <c r="Z908" s="1"/>
    </row>
    <row r="909" spans="1:26" ht="18.600000000000001">
      <c r="A909" s="360" t="s">
        <v>906</v>
      </c>
      <c r="B909" s="360" t="s">
        <v>106</v>
      </c>
      <c r="C909" s="355" t="s">
        <v>781</v>
      </c>
      <c r="D909">
        <v>12100</v>
      </c>
      <c r="E909" s="143">
        <v>111000</v>
      </c>
      <c r="F909" s="117">
        <v>1404</v>
      </c>
      <c r="G909" s="360" t="s">
        <v>298</v>
      </c>
      <c r="H909" s="144">
        <f>bargiri[[#This Row],[میزان بارگیری شده]]*bargiri[[#This Row],[فی]]</f>
        <v>1343100000</v>
      </c>
      <c r="I909" s="360">
        <f>IF(year=bargiri[[#This Row],[سال]],1,0)</f>
        <v>0</v>
      </c>
      <c r="J909" s="360" t="str">
        <f>VLOOKUP(bargiri[[#This Row],[شماره پیش فاکتور]],invoice[],16,0)</f>
        <v>عادی</v>
      </c>
      <c r="K909" s="252">
        <f>bargiri[[#This Row],[فی]]*bargiri[[#This Row],[میزان بارگیری شده]]</f>
        <v>1343100000</v>
      </c>
      <c r="X909" s="1"/>
      <c r="Y909" s="1"/>
      <c r="Z909" s="1"/>
    </row>
    <row r="910" spans="1:26" ht="18.600000000000001">
      <c r="A910" s="360" t="s">
        <v>906</v>
      </c>
      <c r="B910" s="360" t="s">
        <v>109</v>
      </c>
      <c r="C910" s="355" t="s">
        <v>563</v>
      </c>
      <c r="D910">
        <v>20090</v>
      </c>
      <c r="E910" s="143">
        <v>142000</v>
      </c>
      <c r="F910" s="117">
        <v>1404</v>
      </c>
      <c r="G910" s="360" t="s">
        <v>298</v>
      </c>
      <c r="H910" s="144">
        <f>bargiri[[#This Row],[میزان بارگیری شده]]*bargiri[[#This Row],[فی]]</f>
        <v>2852780000</v>
      </c>
      <c r="I910" s="360">
        <f>IF(year=bargiri[[#This Row],[سال]],1,0)</f>
        <v>0</v>
      </c>
      <c r="J910" s="360" t="str">
        <f>VLOOKUP(bargiri[[#This Row],[شماره پیش فاکتور]],invoice[],16,0)</f>
        <v>انجمن</v>
      </c>
      <c r="K910" s="252">
        <f>bargiri[[#This Row],[فی]]*bargiri[[#This Row],[میزان بارگیری شده]]</f>
        <v>2852780000</v>
      </c>
      <c r="X910" s="1"/>
      <c r="Y910" s="1"/>
      <c r="Z910" s="1"/>
    </row>
    <row r="911" spans="1:26" ht="18.600000000000001">
      <c r="A911" s="360" t="s">
        <v>906</v>
      </c>
      <c r="B911" s="360" t="s">
        <v>104</v>
      </c>
      <c r="C911" s="355" t="s">
        <v>640</v>
      </c>
      <c r="D911">
        <v>18270</v>
      </c>
      <c r="E911" s="143">
        <v>79520</v>
      </c>
      <c r="F911" s="117">
        <v>1404</v>
      </c>
      <c r="G911" s="360" t="s">
        <v>298</v>
      </c>
      <c r="H911" s="144">
        <f>bargiri[[#This Row],[میزان بارگیری شده]]*bargiri[[#This Row],[فی]]</f>
        <v>1452830400</v>
      </c>
      <c r="I911" s="360">
        <f>IF(year=bargiri[[#This Row],[سال]],1,0)</f>
        <v>0</v>
      </c>
      <c r="J911" s="360" t="str">
        <f>VLOOKUP(bargiri[[#This Row],[شماره پیش فاکتور]],invoice[],16,0)</f>
        <v>تعادلی</v>
      </c>
      <c r="K911" s="252">
        <f>bargiri[[#This Row],[فی]]*bargiri[[#This Row],[میزان بارگیری شده]]</f>
        <v>1452830400</v>
      </c>
      <c r="X911" s="1"/>
      <c r="Y911" s="1"/>
      <c r="Z911" s="1"/>
    </row>
    <row r="912" spans="1:26" ht="18.600000000000001">
      <c r="A912" s="360" t="s">
        <v>906</v>
      </c>
      <c r="B912" s="360" t="s">
        <v>102</v>
      </c>
      <c r="C912" s="355" t="s">
        <v>22</v>
      </c>
      <c r="D912">
        <v>11630</v>
      </c>
      <c r="E912" s="143">
        <v>89000</v>
      </c>
      <c r="F912" s="117">
        <v>1404</v>
      </c>
      <c r="G912" s="360" t="s">
        <v>298</v>
      </c>
      <c r="H912" s="144">
        <f>bargiri[[#This Row],[میزان بارگیری شده]]*bargiri[[#This Row],[فی]]</f>
        <v>1035070000</v>
      </c>
      <c r="I912" s="360">
        <f>IF(year=bargiri[[#This Row],[سال]],1,0)</f>
        <v>0</v>
      </c>
      <c r="J912" s="360" t="str">
        <f>VLOOKUP(bargiri[[#This Row],[شماره پیش فاکتور]],invoice[],16,0)</f>
        <v>عادی</v>
      </c>
      <c r="K912" s="252">
        <f>bargiri[[#This Row],[فی]]*bargiri[[#This Row],[میزان بارگیری شده]]</f>
        <v>1035070000</v>
      </c>
      <c r="X912" s="1"/>
      <c r="Y912" s="1"/>
      <c r="Z912" s="1"/>
    </row>
    <row r="913" spans="1:26" ht="18.600000000000001">
      <c r="A913" s="360" t="s">
        <v>906</v>
      </c>
      <c r="B913" s="360" t="s">
        <v>99</v>
      </c>
      <c r="C913" s="355" t="s">
        <v>12</v>
      </c>
      <c r="D913">
        <v>22125</v>
      </c>
      <c r="E913" s="143">
        <v>86500</v>
      </c>
      <c r="F913" s="117">
        <v>1404</v>
      </c>
      <c r="G913" s="360" t="s">
        <v>298</v>
      </c>
      <c r="H913" s="144">
        <f>bargiri[[#This Row],[میزان بارگیری شده]]*bargiri[[#This Row],[فی]]</f>
        <v>1913812500</v>
      </c>
      <c r="I913" s="360">
        <f>IF(year=bargiri[[#This Row],[سال]],1,0)</f>
        <v>0</v>
      </c>
      <c r="J913" s="360" t="str">
        <f>VLOOKUP(bargiri[[#This Row],[شماره پیش فاکتور]],invoice[],16,0)</f>
        <v>عادی</v>
      </c>
      <c r="K913" s="252">
        <f>bargiri[[#This Row],[فی]]*bargiri[[#This Row],[میزان بارگیری شده]]</f>
        <v>1913812500</v>
      </c>
      <c r="X913" s="1"/>
      <c r="Y913" s="1"/>
      <c r="Z913" s="1"/>
    </row>
    <row r="914" spans="1:26" ht="18.600000000000001">
      <c r="A914" s="360" t="s">
        <v>909</v>
      </c>
      <c r="B914" s="360" t="s">
        <v>103</v>
      </c>
      <c r="C914" s="355" t="s">
        <v>560</v>
      </c>
      <c r="D914">
        <v>7530</v>
      </c>
      <c r="E914" s="143">
        <v>142000</v>
      </c>
      <c r="F914" s="117">
        <v>1404</v>
      </c>
      <c r="G914" s="360" t="s">
        <v>298</v>
      </c>
      <c r="H914" s="144">
        <f>bargiri[[#This Row],[میزان بارگیری شده]]*bargiri[[#This Row],[فی]]</f>
        <v>1069260000</v>
      </c>
      <c r="I914" s="360">
        <f>IF(year=bargiri[[#This Row],[سال]],1,0)</f>
        <v>0</v>
      </c>
      <c r="J914" s="360" t="str">
        <f>VLOOKUP(bargiri[[#This Row],[شماره پیش فاکتور]],invoice[],16,0)</f>
        <v>انجمن</v>
      </c>
      <c r="K914" s="252">
        <f>bargiri[[#This Row],[فی]]*bargiri[[#This Row],[میزان بارگیری شده]]</f>
        <v>1069260000</v>
      </c>
      <c r="X914" s="1"/>
      <c r="Y914" s="1"/>
      <c r="Z914" s="1"/>
    </row>
    <row r="915" spans="1:26" ht="18.600000000000001">
      <c r="A915" s="360" t="s">
        <v>909</v>
      </c>
      <c r="B915" s="360" t="s">
        <v>125</v>
      </c>
      <c r="C915" s="355" t="s">
        <v>870</v>
      </c>
      <c r="D915">
        <v>14510</v>
      </c>
      <c r="E915" s="143">
        <v>135000</v>
      </c>
      <c r="F915" s="117">
        <v>1404</v>
      </c>
      <c r="G915" s="360" t="s">
        <v>298</v>
      </c>
      <c r="H915" s="144">
        <f>bargiri[[#This Row],[میزان بارگیری شده]]*bargiri[[#This Row],[فی]]</f>
        <v>1958850000</v>
      </c>
      <c r="I915" s="360">
        <f>IF(year=bargiri[[#This Row],[سال]],1,0)</f>
        <v>0</v>
      </c>
      <c r="J915" s="360" t="str">
        <f>VLOOKUP(bargiri[[#This Row],[شماره پیش فاکتور]],invoice[],16,0)</f>
        <v>عادی</v>
      </c>
      <c r="K915" s="252">
        <f>bargiri[[#This Row],[فی]]*bargiri[[#This Row],[میزان بارگیری شده]]</f>
        <v>1958850000</v>
      </c>
      <c r="X915" s="1"/>
      <c r="Y915" s="1"/>
      <c r="Z915" s="1"/>
    </row>
    <row r="916" spans="1:26" ht="18.600000000000001">
      <c r="A916" s="360" t="s">
        <v>909</v>
      </c>
      <c r="B916" s="360" t="s">
        <v>100</v>
      </c>
      <c r="C916" s="355" t="s">
        <v>555</v>
      </c>
      <c r="D916">
        <v>6750</v>
      </c>
      <c r="E916" s="143">
        <v>142000</v>
      </c>
      <c r="F916" s="117">
        <v>1404</v>
      </c>
      <c r="G916" s="360" t="s">
        <v>298</v>
      </c>
      <c r="H916" s="144">
        <f>bargiri[[#This Row],[میزان بارگیری شده]]*bargiri[[#This Row],[فی]]</f>
        <v>958500000</v>
      </c>
      <c r="I916" s="360">
        <f>IF(year=bargiri[[#This Row],[سال]],1,0)</f>
        <v>0</v>
      </c>
      <c r="J916" s="360" t="str">
        <f>VLOOKUP(bargiri[[#This Row],[شماره پیش فاکتور]],invoice[],16,0)</f>
        <v>انجمن</v>
      </c>
      <c r="K916" s="252">
        <f>bargiri[[#This Row],[فی]]*bargiri[[#This Row],[میزان بارگیری شده]]</f>
        <v>958500000</v>
      </c>
      <c r="X916" s="1"/>
      <c r="Y916" s="1"/>
      <c r="Z916" s="1"/>
    </row>
    <row r="917" spans="1:26" ht="18.600000000000001">
      <c r="A917" s="360" t="s">
        <v>910</v>
      </c>
      <c r="B917" s="360" t="s">
        <v>122</v>
      </c>
      <c r="C917" s="355" t="s">
        <v>568</v>
      </c>
      <c r="D917">
        <v>13435</v>
      </c>
      <c r="E917" s="143">
        <v>142000</v>
      </c>
      <c r="F917" s="117">
        <v>1404</v>
      </c>
      <c r="G917" s="360" t="s">
        <v>298</v>
      </c>
      <c r="H917" s="144">
        <f>bargiri[[#This Row],[میزان بارگیری شده]]*bargiri[[#This Row],[فی]]</f>
        <v>1907770000</v>
      </c>
      <c r="I917" s="360">
        <f>IF(year=bargiri[[#This Row],[سال]],1,0)</f>
        <v>0</v>
      </c>
      <c r="J917" s="360" t="str">
        <f>VLOOKUP(bargiri[[#This Row],[شماره پیش فاکتور]],invoice[],16,0)</f>
        <v>انجمن</v>
      </c>
      <c r="K917" s="252">
        <f>bargiri[[#This Row],[فی]]*bargiri[[#This Row],[میزان بارگیری شده]]</f>
        <v>1907770000</v>
      </c>
      <c r="X917" s="1"/>
      <c r="Y917" s="1"/>
      <c r="Z917" s="1"/>
    </row>
    <row r="918" spans="1:26" ht="18.600000000000001">
      <c r="A918" s="360" t="s">
        <v>910</v>
      </c>
      <c r="B918" s="360" t="s">
        <v>116</v>
      </c>
      <c r="C918" s="355" t="s">
        <v>565</v>
      </c>
      <c r="D918">
        <v>20910</v>
      </c>
      <c r="E918" s="143">
        <v>142000</v>
      </c>
      <c r="F918" s="117">
        <v>1404</v>
      </c>
      <c r="G918" s="360" t="s">
        <v>298</v>
      </c>
      <c r="H918" s="144">
        <f>bargiri[[#This Row],[میزان بارگیری شده]]*bargiri[[#This Row],[فی]]</f>
        <v>2969220000</v>
      </c>
      <c r="I918" s="360">
        <f>IF(year=bargiri[[#This Row],[سال]],1,0)</f>
        <v>0</v>
      </c>
      <c r="J918" s="360" t="str">
        <f>VLOOKUP(bargiri[[#This Row],[شماره پیش فاکتور]],invoice[],16,0)</f>
        <v>انجمن</v>
      </c>
      <c r="K918" s="252">
        <f>bargiri[[#This Row],[فی]]*bargiri[[#This Row],[میزان بارگیری شده]]</f>
        <v>2969220000</v>
      </c>
      <c r="X918" s="1"/>
      <c r="Y918" s="1"/>
      <c r="Z918" s="1"/>
    </row>
    <row r="919" spans="1:26" ht="18.600000000000001">
      <c r="A919" s="360" t="s">
        <v>910</v>
      </c>
      <c r="B919" s="360" t="s">
        <v>106</v>
      </c>
      <c r="C919" s="355" t="s">
        <v>781</v>
      </c>
      <c r="D919">
        <v>16815</v>
      </c>
      <c r="E919" s="143">
        <v>111000</v>
      </c>
      <c r="F919" s="117">
        <v>1404</v>
      </c>
      <c r="G919" s="360" t="s">
        <v>298</v>
      </c>
      <c r="H919" s="144">
        <f>bargiri[[#This Row],[میزان بارگیری شده]]*bargiri[[#This Row],[فی]]</f>
        <v>1866465000</v>
      </c>
      <c r="I919" s="360">
        <f>IF(year=bargiri[[#This Row],[سال]],1,0)</f>
        <v>0</v>
      </c>
      <c r="J919" s="360" t="str">
        <f>VLOOKUP(bargiri[[#This Row],[شماره پیش فاکتور]],invoice[],16,0)</f>
        <v>عادی</v>
      </c>
      <c r="K919" s="252">
        <f>bargiri[[#This Row],[فی]]*bargiri[[#This Row],[میزان بارگیری شده]]</f>
        <v>1866465000</v>
      </c>
      <c r="X919" s="1"/>
      <c r="Y919" s="1"/>
      <c r="Z919" s="1"/>
    </row>
    <row r="920" spans="1:26" ht="18.600000000000001">
      <c r="A920" s="360" t="s">
        <v>911</v>
      </c>
      <c r="B920" s="360" t="s">
        <v>101</v>
      </c>
      <c r="C920" s="355" t="s">
        <v>544</v>
      </c>
      <c r="D920">
        <v>15870</v>
      </c>
      <c r="E920" s="143">
        <v>75000</v>
      </c>
      <c r="F920" s="117">
        <v>1404</v>
      </c>
      <c r="G920" s="360" t="s">
        <v>298</v>
      </c>
      <c r="H920" s="144">
        <f>bargiri[[#This Row],[میزان بارگیری شده]]*bargiri[[#This Row],[فی]]</f>
        <v>1190250000</v>
      </c>
      <c r="I920" s="360">
        <f>IF(year=bargiri[[#This Row],[سال]],1,0)</f>
        <v>0</v>
      </c>
      <c r="J920" s="360" t="str">
        <f>VLOOKUP(bargiri[[#This Row],[شماره پیش فاکتور]],invoice[],16,0)</f>
        <v>تعادلی</v>
      </c>
      <c r="K920" s="252">
        <f>bargiri[[#This Row],[فی]]*bargiri[[#This Row],[میزان بارگیری شده]]</f>
        <v>1190250000</v>
      </c>
      <c r="X920" s="1"/>
      <c r="Y920" s="1"/>
      <c r="Z920" s="1"/>
    </row>
    <row r="921" spans="1:26" ht="18.600000000000001">
      <c r="A921" s="360" t="s">
        <v>911</v>
      </c>
      <c r="B921" s="360" t="s">
        <v>101</v>
      </c>
      <c r="C921" s="355" t="s">
        <v>780</v>
      </c>
      <c r="D921">
        <v>6850</v>
      </c>
      <c r="E921" s="143">
        <v>87991</v>
      </c>
      <c r="F921" s="117">
        <v>1404</v>
      </c>
      <c r="G921" s="360" t="s">
        <v>298</v>
      </c>
      <c r="H921" s="144">
        <f>bargiri[[#This Row],[میزان بارگیری شده]]*bargiri[[#This Row],[فی]]</f>
        <v>602738350</v>
      </c>
      <c r="I921" s="360">
        <f>IF(year=bargiri[[#This Row],[سال]],1,0)</f>
        <v>0</v>
      </c>
      <c r="J921" s="360" t="str">
        <f>VLOOKUP(bargiri[[#This Row],[شماره پیش فاکتور]],invoice[],16,0)</f>
        <v>تعادلی</v>
      </c>
      <c r="K921" s="252">
        <f>bargiri[[#This Row],[فی]]*bargiri[[#This Row],[میزان بارگیری شده]]</f>
        <v>602738350</v>
      </c>
      <c r="X921" s="1"/>
      <c r="Y921" s="1"/>
      <c r="Z921" s="1"/>
    </row>
    <row r="922" spans="1:26" ht="18.600000000000001">
      <c r="A922" s="360" t="s">
        <v>912</v>
      </c>
      <c r="B922" s="360" t="s">
        <v>99</v>
      </c>
      <c r="C922" s="355" t="s">
        <v>12</v>
      </c>
      <c r="D922">
        <v>20215</v>
      </c>
      <c r="E922" s="143">
        <v>86500</v>
      </c>
      <c r="F922" s="117">
        <v>1404</v>
      </c>
      <c r="G922" s="360" t="s">
        <v>298</v>
      </c>
      <c r="H922" s="144">
        <f>bargiri[[#This Row],[میزان بارگیری شده]]*bargiri[[#This Row],[فی]]</f>
        <v>1748597500</v>
      </c>
      <c r="I922" s="360">
        <f>IF(year=bargiri[[#This Row],[سال]],1,0)</f>
        <v>0</v>
      </c>
      <c r="J922" s="360" t="str">
        <f>VLOOKUP(bargiri[[#This Row],[شماره پیش فاکتور]],invoice[],16,0)</f>
        <v>عادی</v>
      </c>
      <c r="K922" s="252">
        <f>bargiri[[#This Row],[فی]]*bargiri[[#This Row],[میزان بارگیری شده]]</f>
        <v>1748597500</v>
      </c>
      <c r="X922" s="1"/>
      <c r="Y922" s="1"/>
      <c r="Z922" s="1"/>
    </row>
    <row r="923" spans="1:26" ht="18.600000000000001">
      <c r="A923" s="360" t="s">
        <v>912</v>
      </c>
      <c r="B923" s="360" t="s">
        <v>123</v>
      </c>
      <c r="C923" s="355" t="s">
        <v>569</v>
      </c>
      <c r="D923">
        <v>7960</v>
      </c>
      <c r="E923" s="143">
        <v>142000</v>
      </c>
      <c r="F923" s="117">
        <v>1404</v>
      </c>
      <c r="G923" s="360" t="s">
        <v>298</v>
      </c>
      <c r="H923" s="144">
        <f>bargiri[[#This Row],[میزان بارگیری شده]]*bargiri[[#This Row],[فی]]</f>
        <v>1130320000</v>
      </c>
      <c r="I923" s="360">
        <f>IF(year=bargiri[[#This Row],[سال]],1,0)</f>
        <v>0</v>
      </c>
      <c r="J923" s="360" t="str">
        <f>VLOOKUP(bargiri[[#This Row],[شماره پیش فاکتور]],invoice[],16,0)</f>
        <v>انجمن</v>
      </c>
      <c r="K923" s="252">
        <f>bargiri[[#This Row],[فی]]*bargiri[[#This Row],[میزان بارگیری شده]]</f>
        <v>1130320000</v>
      </c>
      <c r="X923" s="1"/>
      <c r="Y923" s="1"/>
      <c r="Z923" s="1"/>
    </row>
    <row r="924" spans="1:26" ht="18.600000000000001">
      <c r="A924" s="360" t="s">
        <v>907</v>
      </c>
      <c r="B924" s="360" t="s">
        <v>100</v>
      </c>
      <c r="C924" s="355" t="s">
        <v>555</v>
      </c>
      <c r="D924">
        <v>6885</v>
      </c>
      <c r="E924" s="143">
        <v>142000</v>
      </c>
      <c r="F924" s="117">
        <v>1404</v>
      </c>
      <c r="G924" s="360" t="s">
        <v>298</v>
      </c>
      <c r="H924" s="144">
        <f>bargiri[[#This Row],[میزان بارگیری شده]]*bargiri[[#This Row],[فی]]</f>
        <v>977670000</v>
      </c>
      <c r="I924" s="360">
        <f>IF(year=bargiri[[#This Row],[سال]],1,0)</f>
        <v>0</v>
      </c>
      <c r="J924" s="360" t="str">
        <f>VLOOKUP(bargiri[[#This Row],[شماره پیش فاکتور]],invoice[],16,0)</f>
        <v>انجمن</v>
      </c>
      <c r="K924" s="252">
        <f>bargiri[[#This Row],[فی]]*bargiri[[#This Row],[میزان بارگیری شده]]</f>
        <v>977670000</v>
      </c>
      <c r="X924" s="1"/>
      <c r="Y924" s="1"/>
      <c r="Z924" s="1"/>
    </row>
    <row r="925" spans="1:26" ht="18.600000000000001">
      <c r="A925" s="360" t="s">
        <v>907</v>
      </c>
      <c r="B925" s="360" t="s">
        <v>102</v>
      </c>
      <c r="C925" s="355" t="s">
        <v>559</v>
      </c>
      <c r="D925">
        <v>11645</v>
      </c>
      <c r="E925" s="143">
        <v>142000</v>
      </c>
      <c r="F925" s="117">
        <v>1404</v>
      </c>
      <c r="G925" s="360" t="s">
        <v>298</v>
      </c>
      <c r="H925" s="144">
        <f>bargiri[[#This Row],[میزان بارگیری شده]]*bargiri[[#This Row],[فی]]</f>
        <v>1653590000</v>
      </c>
      <c r="I925" s="360">
        <f>IF(year=bargiri[[#This Row],[سال]],1,0)</f>
        <v>0</v>
      </c>
      <c r="J925" s="360" t="str">
        <f>VLOOKUP(bargiri[[#This Row],[شماره پیش فاکتور]],invoice[],16,0)</f>
        <v>انجمن</v>
      </c>
      <c r="K925" s="252">
        <f>bargiri[[#This Row],[فی]]*bargiri[[#This Row],[میزان بارگیری شده]]</f>
        <v>1653590000</v>
      </c>
      <c r="X925" s="1"/>
      <c r="Y925" s="1"/>
      <c r="Z925" s="1"/>
    </row>
    <row r="926" spans="1:26" ht="18.600000000000001">
      <c r="A926" s="360" t="s">
        <v>907</v>
      </c>
      <c r="B926" s="360" t="s">
        <v>104</v>
      </c>
      <c r="C926" s="355" t="s">
        <v>901</v>
      </c>
      <c r="D926">
        <v>20340</v>
      </c>
      <c r="E926" s="143">
        <v>167500</v>
      </c>
      <c r="F926" s="117">
        <v>1404</v>
      </c>
      <c r="G926" s="360" t="s">
        <v>298</v>
      </c>
      <c r="H926" s="144">
        <f>bargiri[[#This Row],[میزان بارگیری شده]]*bargiri[[#This Row],[فی]]</f>
        <v>3406950000</v>
      </c>
      <c r="I926" s="360">
        <f>IF(year=bargiri[[#This Row],[سال]],1,0)</f>
        <v>0</v>
      </c>
      <c r="J926" s="360" t="str">
        <f>VLOOKUP(bargiri[[#This Row],[شماره پیش فاکتور]],invoice[],16,0)</f>
        <v>بورس</v>
      </c>
      <c r="K926" s="252">
        <f>bargiri[[#This Row],[فی]]*bargiri[[#This Row],[میزان بارگیری شده]]</f>
        <v>3406950000</v>
      </c>
      <c r="X926" s="1"/>
      <c r="Y926" s="1"/>
      <c r="Z926" s="1"/>
    </row>
    <row r="927" spans="1:26" ht="18.600000000000001">
      <c r="A927" s="360" t="s">
        <v>907</v>
      </c>
      <c r="B927" s="360" t="s">
        <v>117</v>
      </c>
      <c r="C927" s="355" t="s">
        <v>566</v>
      </c>
      <c r="D927">
        <v>20390</v>
      </c>
      <c r="E927" s="143">
        <v>142000</v>
      </c>
      <c r="F927" s="117">
        <v>1404</v>
      </c>
      <c r="G927" s="360" t="s">
        <v>298</v>
      </c>
      <c r="H927" s="144">
        <f>bargiri[[#This Row],[میزان بارگیری شده]]*bargiri[[#This Row],[فی]]</f>
        <v>2895380000</v>
      </c>
      <c r="I927" s="360">
        <f>IF(year=bargiri[[#This Row],[سال]],1,0)</f>
        <v>0</v>
      </c>
      <c r="J927" s="360" t="str">
        <f>VLOOKUP(bargiri[[#This Row],[شماره پیش فاکتور]],invoice[],16,0)</f>
        <v>انجمن</v>
      </c>
      <c r="K927" s="252">
        <f>bargiri[[#This Row],[فی]]*bargiri[[#This Row],[میزان بارگیری شده]]</f>
        <v>2895380000</v>
      </c>
      <c r="X927" s="1"/>
      <c r="Y927" s="1"/>
      <c r="Z927" s="1"/>
    </row>
    <row r="928" spans="1:26" ht="18.600000000000001">
      <c r="A928" s="360" t="s">
        <v>847</v>
      </c>
      <c r="B928" s="360" t="s">
        <v>118</v>
      </c>
      <c r="C928" s="355" t="s">
        <v>853</v>
      </c>
      <c r="D928">
        <v>4710</v>
      </c>
      <c r="E928" s="143">
        <v>56881</v>
      </c>
      <c r="F928" s="117">
        <v>1404</v>
      </c>
      <c r="G928" s="360" t="s">
        <v>300</v>
      </c>
      <c r="H928" s="144">
        <f>bargiri[[#This Row],[میزان بارگیری شده]]*bargiri[[#This Row],[فی]]</f>
        <v>267909510</v>
      </c>
      <c r="I928" s="360">
        <f>IF(year=bargiri[[#This Row],[سال]],1,0)</f>
        <v>0</v>
      </c>
      <c r="J928" s="360" t="str">
        <f>VLOOKUP(bargiri[[#This Row],[شماره پیش فاکتور]],invoice[],16,0)</f>
        <v>عادی</v>
      </c>
      <c r="K928" s="252">
        <f>bargiri[[#This Row],[فی]]*bargiri[[#This Row],[میزان بارگیری شده]]</f>
        <v>267909510</v>
      </c>
      <c r="X928" s="1"/>
      <c r="Y928" s="1"/>
      <c r="Z928" s="1"/>
    </row>
    <row r="929" spans="1:26" ht="18.600000000000001">
      <c r="A929" s="360" t="s">
        <v>847</v>
      </c>
      <c r="B929" s="360" t="s">
        <v>118</v>
      </c>
      <c r="C929" s="355" t="s">
        <v>84</v>
      </c>
      <c r="D929">
        <v>15330</v>
      </c>
      <c r="E929" s="143">
        <v>56881</v>
      </c>
      <c r="F929" s="117">
        <v>1404</v>
      </c>
      <c r="G929" s="360" t="s">
        <v>300</v>
      </c>
      <c r="H929" s="144">
        <f>bargiri[[#This Row],[میزان بارگیری شده]]*bargiri[[#This Row],[فی]]</f>
        <v>871985730</v>
      </c>
      <c r="I929" s="360">
        <f>IF(year=bargiri[[#This Row],[سال]],1,0)</f>
        <v>0</v>
      </c>
      <c r="J929" s="360" t="str">
        <f>VLOOKUP(bargiri[[#This Row],[شماره پیش فاکتور]],invoice[],16,0)</f>
        <v>عادی</v>
      </c>
      <c r="K929" s="252">
        <f>bargiri[[#This Row],[فی]]*bargiri[[#This Row],[میزان بارگیری شده]]</f>
        <v>871985730</v>
      </c>
      <c r="X929" s="1"/>
      <c r="Y929" s="1"/>
      <c r="Z929" s="1"/>
    </row>
    <row r="930" spans="1:26" ht="18.600000000000001">
      <c r="A930" s="360" t="s">
        <v>847</v>
      </c>
      <c r="B930" s="360" t="s">
        <v>118</v>
      </c>
      <c r="C930" s="355" t="s">
        <v>84</v>
      </c>
      <c r="D930">
        <v>20400</v>
      </c>
      <c r="E930" s="143">
        <v>56881</v>
      </c>
      <c r="F930" s="117">
        <v>1404</v>
      </c>
      <c r="G930" s="360" t="s">
        <v>300</v>
      </c>
      <c r="H930" s="144">
        <f>bargiri[[#This Row],[میزان بارگیری شده]]*bargiri[[#This Row],[فی]]</f>
        <v>1160372400</v>
      </c>
      <c r="I930" s="360">
        <f>IF(year=bargiri[[#This Row],[سال]],1,0)</f>
        <v>0</v>
      </c>
      <c r="J930" s="360" t="str">
        <f>VLOOKUP(bargiri[[#This Row],[شماره پیش فاکتور]],invoice[],16,0)</f>
        <v>عادی</v>
      </c>
      <c r="K930" s="252">
        <f>bargiri[[#This Row],[فی]]*bargiri[[#This Row],[میزان بارگیری شده]]</f>
        <v>1160372400</v>
      </c>
      <c r="X930" s="1"/>
      <c r="Y930" s="1"/>
      <c r="Z930" s="1"/>
    </row>
    <row r="931" spans="1:26" ht="18.600000000000001">
      <c r="A931" s="360" t="s">
        <v>848</v>
      </c>
      <c r="B931" s="360" t="s">
        <v>118</v>
      </c>
      <c r="C931" s="355" t="s">
        <v>84</v>
      </c>
      <c r="D931">
        <v>20345</v>
      </c>
      <c r="E931" s="143">
        <v>56881</v>
      </c>
      <c r="F931" s="117">
        <v>1404</v>
      </c>
      <c r="G931" s="360" t="s">
        <v>300</v>
      </c>
      <c r="H931" s="144">
        <f>bargiri[[#This Row],[میزان بارگیری شده]]*bargiri[[#This Row],[فی]]</f>
        <v>1157243945</v>
      </c>
      <c r="I931" s="360">
        <f>IF(year=bargiri[[#This Row],[سال]],1,0)</f>
        <v>0</v>
      </c>
      <c r="J931" s="360" t="str">
        <f>VLOOKUP(bargiri[[#This Row],[شماره پیش فاکتور]],invoice[],16,0)</f>
        <v>عادی</v>
      </c>
      <c r="K931" s="252">
        <f>bargiri[[#This Row],[فی]]*bargiri[[#This Row],[میزان بارگیری شده]]</f>
        <v>1157243945</v>
      </c>
      <c r="X931" s="1"/>
      <c r="Y931" s="1"/>
      <c r="Z931" s="1"/>
    </row>
    <row r="932" spans="1:26" ht="18.600000000000001">
      <c r="A932" s="360" t="s">
        <v>848</v>
      </c>
      <c r="B932" s="360" t="s">
        <v>118</v>
      </c>
      <c r="C932" s="355" t="s">
        <v>84</v>
      </c>
      <c r="D932">
        <v>20235</v>
      </c>
      <c r="E932" s="143">
        <v>56881</v>
      </c>
      <c r="F932" s="117">
        <v>1404</v>
      </c>
      <c r="G932" s="360" t="s">
        <v>300</v>
      </c>
      <c r="H932" s="144">
        <f>bargiri[[#This Row],[میزان بارگیری شده]]*bargiri[[#This Row],[فی]]</f>
        <v>1150987035</v>
      </c>
      <c r="I932" s="360">
        <f>IF(year=bargiri[[#This Row],[سال]],1,0)</f>
        <v>0</v>
      </c>
      <c r="J932" s="360" t="str">
        <f>VLOOKUP(bargiri[[#This Row],[شماره پیش فاکتور]],invoice[],16,0)</f>
        <v>عادی</v>
      </c>
      <c r="K932" s="252">
        <f>bargiri[[#This Row],[فی]]*bargiri[[#This Row],[میزان بارگیری شده]]</f>
        <v>1150987035</v>
      </c>
      <c r="X932" s="1"/>
      <c r="Y932" s="1"/>
      <c r="Z932" s="1"/>
    </row>
    <row r="933" spans="1:26" ht="18.600000000000001">
      <c r="A933" s="360" t="s">
        <v>845</v>
      </c>
      <c r="B933" s="360" t="s">
        <v>118</v>
      </c>
      <c r="C933" s="355" t="s">
        <v>84</v>
      </c>
      <c r="D933">
        <v>21030</v>
      </c>
      <c r="E933" s="143">
        <v>56881</v>
      </c>
      <c r="F933" s="117">
        <v>1404</v>
      </c>
      <c r="G933" s="360" t="s">
        <v>300</v>
      </c>
      <c r="H933" s="144">
        <f>bargiri[[#This Row],[میزان بارگیری شده]]*bargiri[[#This Row],[فی]]</f>
        <v>1196207430</v>
      </c>
      <c r="I933" s="360">
        <f>IF(year=bargiri[[#This Row],[سال]],1,0)</f>
        <v>0</v>
      </c>
      <c r="J933" s="360" t="str">
        <f>VLOOKUP(bargiri[[#This Row],[شماره پیش فاکتور]],invoice[],16,0)</f>
        <v>عادی</v>
      </c>
      <c r="K933" s="252">
        <f>bargiri[[#This Row],[فی]]*bargiri[[#This Row],[میزان بارگیری شده]]</f>
        <v>1196207430</v>
      </c>
      <c r="X933" s="1"/>
      <c r="Y933" s="1"/>
      <c r="Z933" s="1"/>
    </row>
    <row r="934" spans="1:26" ht="18.600000000000001">
      <c r="A934" s="360" t="s">
        <v>908</v>
      </c>
      <c r="B934" s="360" t="s">
        <v>106</v>
      </c>
      <c r="C934" s="355" t="s">
        <v>781</v>
      </c>
      <c r="D934">
        <v>19485</v>
      </c>
      <c r="E934" s="143">
        <v>111000</v>
      </c>
      <c r="F934" s="117">
        <v>1404</v>
      </c>
      <c r="G934" s="360" t="s">
        <v>298</v>
      </c>
      <c r="H934" s="144">
        <f>bargiri[[#This Row],[میزان بارگیری شده]]*bargiri[[#This Row],[فی]]</f>
        <v>2162835000</v>
      </c>
      <c r="I934" s="360">
        <f>IF(year=bargiri[[#This Row],[سال]],1,0)</f>
        <v>0</v>
      </c>
      <c r="J934" s="360" t="str">
        <f>VLOOKUP(bargiri[[#This Row],[شماره پیش فاکتور]],invoice[],16,0)</f>
        <v>عادی</v>
      </c>
      <c r="K934" s="252">
        <f>bargiri[[#This Row],[فی]]*bargiri[[#This Row],[میزان بارگیری شده]]</f>
        <v>2162835000</v>
      </c>
      <c r="X934" s="1"/>
      <c r="Y934" s="1"/>
      <c r="Z934" s="1"/>
    </row>
    <row r="935" spans="1:26" ht="18.600000000000001">
      <c r="A935" s="360" t="s">
        <v>1084</v>
      </c>
      <c r="B935" s="360" t="s">
        <v>109</v>
      </c>
      <c r="C935" s="355" t="s">
        <v>563</v>
      </c>
      <c r="D935">
        <v>20495</v>
      </c>
      <c r="E935" s="143">
        <v>142000</v>
      </c>
      <c r="F935" s="117">
        <v>1404</v>
      </c>
      <c r="G935" s="360" t="s">
        <v>298</v>
      </c>
      <c r="H935" s="144">
        <f>bargiri[[#This Row],[میزان بارگیری شده]]*bargiri[[#This Row],[فی]]</f>
        <v>2910290000</v>
      </c>
      <c r="I935" s="360">
        <f>IF(year=bargiri[[#This Row],[سال]],1,0)</f>
        <v>0</v>
      </c>
      <c r="J935" s="360" t="str">
        <f>VLOOKUP(bargiri[[#This Row],[شماره پیش فاکتور]],invoice[],16,0)</f>
        <v>انجمن</v>
      </c>
      <c r="K935" s="252">
        <f>bargiri[[#This Row],[فی]]*bargiri[[#This Row],[میزان بارگیری شده]]</f>
        <v>2910290000</v>
      </c>
      <c r="X935" s="1"/>
      <c r="Y935" s="1"/>
      <c r="Z935" s="1"/>
    </row>
    <row r="936" spans="1:26" ht="18.600000000000001">
      <c r="A936" s="360" t="s">
        <v>1084</v>
      </c>
      <c r="B936" s="360" t="s">
        <v>103</v>
      </c>
      <c r="C936" s="355" t="s">
        <v>560</v>
      </c>
      <c r="D936">
        <v>6875</v>
      </c>
      <c r="E936" s="143">
        <v>142000</v>
      </c>
      <c r="F936" s="117">
        <v>1404</v>
      </c>
      <c r="G936" s="360" t="s">
        <v>298</v>
      </c>
      <c r="H936" s="144">
        <f>bargiri[[#This Row],[میزان بارگیری شده]]*bargiri[[#This Row],[فی]]</f>
        <v>976250000</v>
      </c>
      <c r="I936" s="360">
        <f>IF(year=bargiri[[#This Row],[سال]],1,0)</f>
        <v>0</v>
      </c>
      <c r="J936" s="360" t="str">
        <f>VLOOKUP(bargiri[[#This Row],[شماره پیش فاکتور]],invoice[],16,0)</f>
        <v>انجمن</v>
      </c>
      <c r="K936" s="252">
        <f>bargiri[[#This Row],[فی]]*bargiri[[#This Row],[میزان بارگیری شده]]</f>
        <v>976250000</v>
      </c>
      <c r="X936" s="1"/>
      <c r="Y936" s="1"/>
      <c r="Z936" s="1"/>
    </row>
    <row r="937" spans="1:26" ht="18.600000000000001">
      <c r="A937" s="360" t="s">
        <v>1084</v>
      </c>
      <c r="B937" s="360" t="s">
        <v>106</v>
      </c>
      <c r="C937" s="355" t="s">
        <v>781</v>
      </c>
      <c r="D937">
        <v>22360</v>
      </c>
      <c r="E937" s="143">
        <v>111000</v>
      </c>
      <c r="F937" s="117">
        <v>1404</v>
      </c>
      <c r="G937" s="360" t="s">
        <v>298</v>
      </c>
      <c r="H937" s="144">
        <f>bargiri[[#This Row],[میزان بارگیری شده]]*bargiri[[#This Row],[فی]]</f>
        <v>2481960000</v>
      </c>
      <c r="I937" s="360">
        <f>IF(year=bargiri[[#This Row],[سال]],1,0)</f>
        <v>0</v>
      </c>
      <c r="J937" s="360" t="str">
        <f>VLOOKUP(bargiri[[#This Row],[شماره پیش فاکتور]],invoice[],16,0)</f>
        <v>عادی</v>
      </c>
      <c r="K937" s="252">
        <f>bargiri[[#This Row],[فی]]*bargiri[[#This Row],[میزان بارگیری شده]]</f>
        <v>2481960000</v>
      </c>
      <c r="X937" s="1"/>
      <c r="Y937" s="1"/>
      <c r="Z937" s="1"/>
    </row>
    <row r="938" spans="1:26" ht="18.600000000000001">
      <c r="A938" s="360" t="s">
        <v>1084</v>
      </c>
      <c r="B938" s="360" t="s">
        <v>101</v>
      </c>
      <c r="C938" s="355" t="s">
        <v>777</v>
      </c>
      <c r="D938">
        <v>14820</v>
      </c>
      <c r="E938" s="143">
        <v>196009</v>
      </c>
      <c r="F938" s="117">
        <v>1404</v>
      </c>
      <c r="G938" s="360" t="s">
        <v>298</v>
      </c>
      <c r="H938" s="144">
        <f>bargiri[[#This Row],[میزان بارگیری شده]]*bargiri[[#This Row],[فی]]</f>
        <v>2904853380</v>
      </c>
      <c r="I938" s="360">
        <f>IF(year=bargiri[[#This Row],[سال]],1,0)</f>
        <v>0</v>
      </c>
      <c r="J938" s="360" t="str">
        <f>VLOOKUP(bargiri[[#This Row],[شماره پیش فاکتور]],invoice[],16,0)</f>
        <v>بورس</v>
      </c>
      <c r="K938" s="252">
        <f>bargiri[[#This Row],[فی]]*bargiri[[#This Row],[میزان بارگیری شده]]</f>
        <v>2904853380</v>
      </c>
      <c r="X938" s="1"/>
      <c r="Y938" s="1"/>
      <c r="Z938" s="1"/>
    </row>
    <row r="939" spans="1:26" ht="18.600000000000001">
      <c r="A939" s="360" t="s">
        <v>1084</v>
      </c>
      <c r="B939" s="360" t="s">
        <v>101</v>
      </c>
      <c r="C939" s="355" t="s">
        <v>860</v>
      </c>
      <c r="D939">
        <v>8070</v>
      </c>
      <c r="E939" s="143">
        <v>167500</v>
      </c>
      <c r="F939" s="117">
        <v>1404</v>
      </c>
      <c r="G939" s="360" t="s">
        <v>298</v>
      </c>
      <c r="H939" s="144">
        <f>bargiri[[#This Row],[میزان بارگیری شده]]*bargiri[[#This Row],[فی]]</f>
        <v>1351725000</v>
      </c>
      <c r="I939" s="360">
        <f>IF(year=bargiri[[#This Row],[سال]],1,0)</f>
        <v>0</v>
      </c>
      <c r="J939" s="360" t="str">
        <f>VLOOKUP(bargiri[[#This Row],[شماره پیش فاکتور]],invoice[],16,0)</f>
        <v>بورس</v>
      </c>
      <c r="K939" s="252">
        <f>bargiri[[#This Row],[فی]]*bargiri[[#This Row],[میزان بارگیری شده]]</f>
        <v>1351725000</v>
      </c>
      <c r="X939" s="1"/>
      <c r="Y939" s="1"/>
      <c r="Z939" s="1"/>
    </row>
    <row r="940" spans="1:26" ht="18.600000000000001">
      <c r="A940" s="360" t="s">
        <v>1084</v>
      </c>
      <c r="B940" s="360" t="s">
        <v>125</v>
      </c>
      <c r="C940" s="355" t="s">
        <v>870</v>
      </c>
      <c r="D940">
        <v>14595</v>
      </c>
      <c r="E940" s="143">
        <v>135000</v>
      </c>
      <c r="F940" s="117">
        <v>1404</v>
      </c>
      <c r="G940" s="360" t="s">
        <v>298</v>
      </c>
      <c r="H940" s="144">
        <f>bargiri[[#This Row],[میزان بارگیری شده]]*bargiri[[#This Row],[فی]]</f>
        <v>1970325000</v>
      </c>
      <c r="I940" s="360">
        <f>IF(year=bargiri[[#This Row],[سال]],1,0)</f>
        <v>0</v>
      </c>
      <c r="J940" s="360" t="str">
        <f>VLOOKUP(bargiri[[#This Row],[شماره پیش فاکتور]],invoice[],16,0)</f>
        <v>عادی</v>
      </c>
      <c r="K940" s="252">
        <f>bargiri[[#This Row],[فی]]*bargiri[[#This Row],[میزان بارگیری شده]]</f>
        <v>1970325000</v>
      </c>
      <c r="X940" s="1"/>
      <c r="Y940" s="1"/>
      <c r="Z940" s="1"/>
    </row>
    <row r="941" spans="1:26" ht="18.600000000000001">
      <c r="A941" s="360" t="s">
        <v>1021</v>
      </c>
      <c r="B941" s="360" t="s">
        <v>116</v>
      </c>
      <c r="C941" s="355" t="s">
        <v>608</v>
      </c>
      <c r="D941">
        <v>19225</v>
      </c>
      <c r="E941" s="143">
        <v>95000</v>
      </c>
      <c r="F941" s="117">
        <v>1404</v>
      </c>
      <c r="G941" s="360" t="s">
        <v>299</v>
      </c>
      <c r="H941" s="144">
        <f>bargiri[[#This Row],[میزان بارگیری شده]]*bargiri[[#This Row],[فی]]</f>
        <v>1826375000</v>
      </c>
      <c r="I941" s="360">
        <f>IF(year=bargiri[[#This Row],[سال]],1,0)</f>
        <v>0</v>
      </c>
      <c r="J941" s="360" t="str">
        <f>VLOOKUP(bargiri[[#This Row],[شماره پیش فاکتور]],invoice[],16,0)</f>
        <v>عادی</v>
      </c>
      <c r="K941" s="252">
        <f>bargiri[[#This Row],[فی]]*bargiri[[#This Row],[میزان بارگیری شده]]</f>
        <v>1826375000</v>
      </c>
      <c r="X941" s="1"/>
      <c r="Y941" s="1"/>
      <c r="Z941" s="1"/>
    </row>
    <row r="942" spans="1:26" ht="18.600000000000001">
      <c r="A942" s="360" t="s">
        <v>1021</v>
      </c>
      <c r="B942" s="360" t="s">
        <v>98</v>
      </c>
      <c r="C942" s="355" t="s">
        <v>636</v>
      </c>
      <c r="D942">
        <v>23475</v>
      </c>
      <c r="E942" s="143">
        <v>120000</v>
      </c>
      <c r="F942" s="117">
        <v>1404</v>
      </c>
      <c r="G942" s="360" t="s">
        <v>299</v>
      </c>
      <c r="H942" s="144">
        <f>bargiri[[#This Row],[میزان بارگیری شده]]*bargiri[[#This Row],[فی]]</f>
        <v>2817000000</v>
      </c>
      <c r="I942" s="360">
        <f>IF(year=bargiri[[#This Row],[سال]],1,0)</f>
        <v>0</v>
      </c>
      <c r="J942" s="360" t="str">
        <f>VLOOKUP(bargiri[[#This Row],[شماره پیش فاکتور]],invoice[],16,0)</f>
        <v>عادی</v>
      </c>
      <c r="K942" s="252">
        <f>bargiri[[#This Row],[فی]]*bargiri[[#This Row],[میزان بارگیری شده]]</f>
        <v>2817000000</v>
      </c>
      <c r="X942" s="1"/>
      <c r="Y942" s="1"/>
      <c r="Z942" s="1"/>
    </row>
    <row r="943" spans="1:26" ht="18.600000000000001">
      <c r="A943" s="360" t="s">
        <v>896</v>
      </c>
      <c r="B943" s="360" t="s">
        <v>116</v>
      </c>
      <c r="C943" s="355" t="s">
        <v>641</v>
      </c>
      <c r="D943">
        <v>20365</v>
      </c>
      <c r="E943" s="143">
        <v>83000</v>
      </c>
      <c r="F943" s="117">
        <v>1404</v>
      </c>
      <c r="G943" s="360" t="s">
        <v>299</v>
      </c>
      <c r="H943" s="144">
        <f>bargiri[[#This Row],[میزان بارگیری شده]]*bargiri[[#This Row],[فی]]</f>
        <v>1690295000</v>
      </c>
      <c r="I943" s="360">
        <f>IF(year=bargiri[[#This Row],[سال]],1,0)</f>
        <v>0</v>
      </c>
      <c r="J943" s="360" t="str">
        <f>VLOOKUP(bargiri[[#This Row],[شماره پیش فاکتور]],invoice[],16,0)</f>
        <v>تعادلی</v>
      </c>
      <c r="K943" s="252">
        <f>bargiri[[#This Row],[فی]]*bargiri[[#This Row],[میزان بارگیری شده]]</f>
        <v>1690295000</v>
      </c>
      <c r="X943" s="1"/>
      <c r="Y943" s="1"/>
      <c r="Z943" s="1"/>
    </row>
    <row r="944" spans="1:26" ht="18.600000000000001">
      <c r="A944" s="360" t="s">
        <v>896</v>
      </c>
      <c r="B944" s="360" t="s">
        <v>106</v>
      </c>
      <c r="C944" s="355" t="s">
        <v>781</v>
      </c>
      <c r="D944">
        <v>20365</v>
      </c>
      <c r="E944" s="143">
        <v>111000</v>
      </c>
      <c r="F944" s="117">
        <v>1404</v>
      </c>
      <c r="G944" s="360" t="s">
        <v>299</v>
      </c>
      <c r="H944" s="144">
        <f>bargiri[[#This Row],[میزان بارگیری شده]]*bargiri[[#This Row],[فی]]</f>
        <v>2260515000</v>
      </c>
      <c r="I944" s="360">
        <f>IF(year=bargiri[[#This Row],[سال]],1,0)</f>
        <v>0</v>
      </c>
      <c r="J944" s="360" t="str">
        <f>VLOOKUP(bargiri[[#This Row],[شماره پیش فاکتور]],invoice[],16,0)</f>
        <v>عادی</v>
      </c>
      <c r="K944" s="252">
        <f>bargiri[[#This Row],[فی]]*bargiri[[#This Row],[میزان بارگیری شده]]</f>
        <v>2260515000</v>
      </c>
      <c r="X944" s="1"/>
      <c r="Y944" s="1"/>
      <c r="Z944" s="1"/>
    </row>
    <row r="945" spans="1:26" ht="18.600000000000001">
      <c r="A945" s="360" t="s">
        <v>896</v>
      </c>
      <c r="B945" s="360" t="s">
        <v>99</v>
      </c>
      <c r="C945" s="355" t="s">
        <v>12</v>
      </c>
      <c r="D945">
        <v>18945</v>
      </c>
      <c r="E945" s="143">
        <v>86500</v>
      </c>
      <c r="F945" s="117">
        <v>1404</v>
      </c>
      <c r="G945" s="360" t="s">
        <v>299</v>
      </c>
      <c r="H945" s="144">
        <f>bargiri[[#This Row],[میزان بارگیری شده]]*bargiri[[#This Row],[فی]]</f>
        <v>1638742500</v>
      </c>
      <c r="I945" s="360">
        <f>IF(year=bargiri[[#This Row],[سال]],1,0)</f>
        <v>0</v>
      </c>
      <c r="J945" s="360" t="str">
        <f>VLOOKUP(bargiri[[#This Row],[شماره پیش فاکتور]],invoice[],16,0)</f>
        <v>عادی</v>
      </c>
      <c r="K945" s="252">
        <f>bargiri[[#This Row],[فی]]*bargiri[[#This Row],[میزان بارگیری شده]]</f>
        <v>1638742500</v>
      </c>
      <c r="X945" s="1"/>
      <c r="Y945" s="1"/>
      <c r="Z945" s="1"/>
    </row>
    <row r="946" spans="1:26" ht="18.600000000000001">
      <c r="A946" s="360" t="s">
        <v>897</v>
      </c>
      <c r="B946" s="360" t="s">
        <v>99</v>
      </c>
      <c r="C946" s="355" t="s">
        <v>12</v>
      </c>
      <c r="D946">
        <v>19085</v>
      </c>
      <c r="E946" s="143">
        <v>86500</v>
      </c>
      <c r="F946" s="117">
        <v>1404</v>
      </c>
      <c r="G946" s="360" t="s">
        <v>299</v>
      </c>
      <c r="H946" s="144">
        <f>bargiri[[#This Row],[میزان بارگیری شده]]*bargiri[[#This Row],[فی]]</f>
        <v>1650852500</v>
      </c>
      <c r="I946" s="360">
        <f>IF(year=bargiri[[#This Row],[سال]],1,0)</f>
        <v>0</v>
      </c>
      <c r="J946" s="360" t="str">
        <f>VLOOKUP(bargiri[[#This Row],[شماره پیش فاکتور]],invoice[],16,0)</f>
        <v>عادی</v>
      </c>
      <c r="K946" s="252">
        <f>bargiri[[#This Row],[فی]]*bargiri[[#This Row],[میزان بارگیری شده]]</f>
        <v>1650852500</v>
      </c>
      <c r="X946" s="1"/>
      <c r="Y946" s="1"/>
      <c r="Z946" s="1"/>
    </row>
    <row r="947" spans="1:26" ht="18.600000000000001">
      <c r="A947" s="360" t="s">
        <v>898</v>
      </c>
      <c r="B947" s="360" t="s">
        <v>106</v>
      </c>
      <c r="C947" s="355" t="s">
        <v>781</v>
      </c>
      <c r="D947">
        <v>19820</v>
      </c>
      <c r="E947" s="143">
        <v>111000</v>
      </c>
      <c r="F947" s="117">
        <v>1404</v>
      </c>
      <c r="G947" s="360" t="s">
        <v>299</v>
      </c>
      <c r="H947" s="144">
        <f>bargiri[[#This Row],[میزان بارگیری شده]]*bargiri[[#This Row],[فی]]</f>
        <v>2200020000</v>
      </c>
      <c r="I947" s="360">
        <f>IF(year=bargiri[[#This Row],[سال]],1,0)</f>
        <v>0</v>
      </c>
      <c r="J947" s="360" t="str">
        <f>VLOOKUP(bargiri[[#This Row],[شماره پیش فاکتور]],invoice[],16,0)</f>
        <v>عادی</v>
      </c>
      <c r="K947" s="252">
        <f>bargiri[[#This Row],[فی]]*bargiri[[#This Row],[میزان بارگیری شده]]</f>
        <v>2200020000</v>
      </c>
      <c r="X947" s="1"/>
      <c r="Y947" s="1"/>
      <c r="Z947" s="1"/>
    </row>
    <row r="948" spans="1:26" ht="18.600000000000001">
      <c r="A948" s="360" t="s">
        <v>898</v>
      </c>
      <c r="B948" s="360" t="s">
        <v>100</v>
      </c>
      <c r="C948" s="355" t="s">
        <v>555</v>
      </c>
      <c r="D948">
        <v>6820</v>
      </c>
      <c r="E948" s="143">
        <v>142000</v>
      </c>
      <c r="F948" s="117">
        <v>1404</v>
      </c>
      <c r="G948" s="360" t="s">
        <v>299</v>
      </c>
      <c r="H948" s="144">
        <f>bargiri[[#This Row],[میزان بارگیری شده]]*bargiri[[#This Row],[فی]]</f>
        <v>968440000</v>
      </c>
      <c r="I948" s="360">
        <f>IF(year=bargiri[[#This Row],[سال]],1,0)</f>
        <v>0</v>
      </c>
      <c r="J948" s="360" t="str">
        <f>VLOOKUP(bargiri[[#This Row],[شماره پیش فاکتور]],invoice[],16,0)</f>
        <v>انجمن</v>
      </c>
      <c r="K948" s="252">
        <f>bargiri[[#This Row],[فی]]*bargiri[[#This Row],[میزان بارگیری شده]]</f>
        <v>968440000</v>
      </c>
      <c r="X948" s="1"/>
      <c r="Y948" s="1"/>
      <c r="Z948" s="1"/>
    </row>
    <row r="949" spans="1:26" ht="18.600000000000001">
      <c r="A949" s="360" t="s">
        <v>898</v>
      </c>
      <c r="B949" s="360" t="s">
        <v>106</v>
      </c>
      <c r="C949" s="355" t="s">
        <v>781</v>
      </c>
      <c r="D949">
        <v>20385</v>
      </c>
      <c r="E949" s="143">
        <v>111000</v>
      </c>
      <c r="F949" s="117">
        <v>1404</v>
      </c>
      <c r="G949" s="360" t="s">
        <v>299</v>
      </c>
      <c r="H949" s="144">
        <f>bargiri[[#This Row],[میزان بارگیری شده]]*bargiri[[#This Row],[فی]]</f>
        <v>2262735000</v>
      </c>
      <c r="I949" s="360">
        <f>IF(year=bargiri[[#This Row],[سال]],1,0)</f>
        <v>0</v>
      </c>
      <c r="J949" s="360" t="str">
        <f>VLOOKUP(bargiri[[#This Row],[شماره پیش فاکتور]],invoice[],16,0)</f>
        <v>عادی</v>
      </c>
      <c r="K949" s="252">
        <f>bargiri[[#This Row],[فی]]*bargiri[[#This Row],[میزان بارگیری شده]]</f>
        <v>2262735000</v>
      </c>
      <c r="X949" s="1"/>
      <c r="Y949" s="1"/>
      <c r="Z949" s="1"/>
    </row>
    <row r="950" spans="1:26" ht="18.600000000000001">
      <c r="A950" s="360" t="s">
        <v>895</v>
      </c>
      <c r="B950" s="360" t="s">
        <v>99</v>
      </c>
      <c r="C950" s="355" t="s">
        <v>12</v>
      </c>
      <c r="D950">
        <v>20125</v>
      </c>
      <c r="E950" s="143">
        <v>86500</v>
      </c>
      <c r="F950" s="117">
        <v>1404</v>
      </c>
      <c r="G950" s="360" t="s">
        <v>299</v>
      </c>
      <c r="H950" s="144">
        <f>bargiri[[#This Row],[میزان بارگیری شده]]*bargiri[[#This Row],[فی]]</f>
        <v>1740812500</v>
      </c>
      <c r="I950" s="360">
        <f>IF(year=bargiri[[#This Row],[سال]],1,0)</f>
        <v>0</v>
      </c>
      <c r="J950" s="360" t="str">
        <f>VLOOKUP(bargiri[[#This Row],[شماره پیش فاکتور]],invoice[],16,0)</f>
        <v>عادی</v>
      </c>
      <c r="K950" s="252">
        <f>bargiri[[#This Row],[فی]]*bargiri[[#This Row],[میزان بارگیری شده]]</f>
        <v>1740812500</v>
      </c>
      <c r="X950" s="1"/>
      <c r="Y950" s="1"/>
      <c r="Z950" s="1"/>
    </row>
    <row r="951" spans="1:26" ht="18.600000000000001">
      <c r="A951" s="360" t="s">
        <v>895</v>
      </c>
      <c r="B951" s="360" t="s">
        <v>101</v>
      </c>
      <c r="C951" s="355" t="s">
        <v>544</v>
      </c>
      <c r="D951">
        <v>22805</v>
      </c>
      <c r="E951" s="143">
        <v>75000</v>
      </c>
      <c r="F951" s="117">
        <v>1404</v>
      </c>
      <c r="G951" s="360" t="s">
        <v>299</v>
      </c>
      <c r="H951" s="144">
        <f>bargiri[[#This Row],[میزان بارگیری شده]]*bargiri[[#This Row],[فی]]</f>
        <v>1710375000</v>
      </c>
      <c r="I951" s="360">
        <f>IF(year=bargiri[[#This Row],[سال]],1,0)</f>
        <v>0</v>
      </c>
      <c r="J951" s="360" t="str">
        <f>VLOOKUP(bargiri[[#This Row],[شماره پیش فاکتور]],invoice[],16,0)</f>
        <v>تعادلی</v>
      </c>
      <c r="K951" s="252">
        <f>bargiri[[#This Row],[فی]]*bargiri[[#This Row],[میزان بارگیری شده]]</f>
        <v>1710375000</v>
      </c>
      <c r="X951" s="1"/>
      <c r="Y951" s="1"/>
      <c r="Z951" s="1"/>
    </row>
    <row r="952" spans="1:26" ht="18.600000000000001">
      <c r="A952" s="360" t="s">
        <v>895</v>
      </c>
      <c r="B952" s="360" t="s">
        <v>104</v>
      </c>
      <c r="C952" s="355" t="s">
        <v>640</v>
      </c>
      <c r="D952">
        <v>17330</v>
      </c>
      <c r="E952" s="143">
        <v>79520</v>
      </c>
      <c r="F952" s="117">
        <v>1404</v>
      </c>
      <c r="G952" s="360" t="s">
        <v>299</v>
      </c>
      <c r="H952" s="144">
        <f>bargiri[[#This Row],[میزان بارگیری شده]]*bargiri[[#This Row],[فی]]</f>
        <v>1378081600</v>
      </c>
      <c r="I952" s="360">
        <f>IF(year=bargiri[[#This Row],[سال]],1,0)</f>
        <v>0</v>
      </c>
      <c r="J952" s="360" t="str">
        <f>VLOOKUP(bargiri[[#This Row],[شماره پیش فاکتور]],invoice[],16,0)</f>
        <v>تعادلی</v>
      </c>
      <c r="K952" s="252">
        <f>bargiri[[#This Row],[فی]]*bargiri[[#This Row],[میزان بارگیری شده]]</f>
        <v>1378081600</v>
      </c>
      <c r="X952" s="1"/>
      <c r="Y952" s="1"/>
      <c r="Z952" s="1"/>
    </row>
    <row r="953" spans="1:26" ht="18.600000000000001">
      <c r="A953" s="360" t="s">
        <v>895</v>
      </c>
      <c r="B953" s="360" t="s">
        <v>106</v>
      </c>
      <c r="C953" s="355" t="s">
        <v>781</v>
      </c>
      <c r="D953">
        <v>16915</v>
      </c>
      <c r="E953" s="143">
        <v>111000</v>
      </c>
      <c r="F953" s="117">
        <v>1404</v>
      </c>
      <c r="G953" s="360" t="s">
        <v>299</v>
      </c>
      <c r="H953" s="144">
        <f>bargiri[[#This Row],[میزان بارگیری شده]]*bargiri[[#This Row],[فی]]</f>
        <v>1877565000</v>
      </c>
      <c r="I953" s="360">
        <f>IF(year=bargiri[[#This Row],[سال]],1,0)</f>
        <v>0</v>
      </c>
      <c r="J953" s="360" t="str">
        <f>VLOOKUP(bargiri[[#This Row],[شماره پیش فاکتور]],invoice[],16,0)</f>
        <v>عادی</v>
      </c>
      <c r="K953" s="252">
        <f>bargiri[[#This Row],[فی]]*bargiri[[#This Row],[میزان بارگیری شده]]</f>
        <v>1877565000</v>
      </c>
      <c r="X953" s="1"/>
      <c r="Y953" s="1"/>
      <c r="Z953" s="1"/>
    </row>
    <row r="954" spans="1:26" ht="18.600000000000001">
      <c r="A954" s="360" t="s">
        <v>895</v>
      </c>
      <c r="B954" s="360" t="s">
        <v>99</v>
      </c>
      <c r="C954" s="355" t="s">
        <v>12</v>
      </c>
      <c r="D954">
        <v>20045</v>
      </c>
      <c r="E954" s="143">
        <v>86500</v>
      </c>
      <c r="F954" s="117">
        <v>1404</v>
      </c>
      <c r="G954" s="360" t="s">
        <v>299</v>
      </c>
      <c r="H954" s="144">
        <f>bargiri[[#This Row],[میزان بارگیری شده]]*bargiri[[#This Row],[فی]]</f>
        <v>1733892500</v>
      </c>
      <c r="I954" s="360">
        <f>IF(year=bargiri[[#This Row],[سال]],1,0)</f>
        <v>0</v>
      </c>
      <c r="J954" s="360" t="str">
        <f>VLOOKUP(bargiri[[#This Row],[شماره پیش فاکتور]],invoice[],16,0)</f>
        <v>عادی</v>
      </c>
      <c r="K954" s="252">
        <f>bargiri[[#This Row],[فی]]*bargiri[[#This Row],[میزان بارگیری شده]]</f>
        <v>1733892500</v>
      </c>
      <c r="X954" s="1"/>
      <c r="Y954" s="1"/>
      <c r="Z954" s="1"/>
    </row>
    <row r="955" spans="1:26" ht="18.600000000000001">
      <c r="A955" s="360" t="s">
        <v>894</v>
      </c>
      <c r="B955" s="360" t="s">
        <v>116</v>
      </c>
      <c r="C955" s="355" t="s">
        <v>859</v>
      </c>
      <c r="D955">
        <v>21190</v>
      </c>
      <c r="E955" s="143">
        <v>167500</v>
      </c>
      <c r="F955" s="117">
        <v>1404</v>
      </c>
      <c r="G955" s="360" t="s">
        <v>299</v>
      </c>
      <c r="H955" s="144">
        <f>bargiri[[#This Row],[میزان بارگیری شده]]*bargiri[[#This Row],[فی]]</f>
        <v>3549325000</v>
      </c>
      <c r="I955" s="360">
        <f>IF(year=bargiri[[#This Row],[سال]],1,0)</f>
        <v>0</v>
      </c>
      <c r="J955" s="360" t="str">
        <f>VLOOKUP(bargiri[[#This Row],[شماره پیش فاکتور]],invoice[],16,0)</f>
        <v>بورس</v>
      </c>
      <c r="K955" s="252">
        <f>bargiri[[#This Row],[فی]]*bargiri[[#This Row],[میزان بارگیری شده]]</f>
        <v>3549325000</v>
      </c>
      <c r="X955" s="1"/>
      <c r="Y955" s="1"/>
      <c r="Z955" s="1"/>
    </row>
    <row r="956" spans="1:26" ht="18.600000000000001">
      <c r="A956" s="360" t="s">
        <v>894</v>
      </c>
      <c r="B956" s="360" t="s">
        <v>102</v>
      </c>
      <c r="C956" s="355" t="s">
        <v>22</v>
      </c>
      <c r="D956">
        <v>11910</v>
      </c>
      <c r="E956" s="143">
        <v>89000</v>
      </c>
      <c r="F956" s="117">
        <v>1404</v>
      </c>
      <c r="G956" s="360" t="s">
        <v>299</v>
      </c>
      <c r="H956" s="144">
        <f>bargiri[[#This Row],[میزان بارگیری شده]]*bargiri[[#This Row],[فی]]</f>
        <v>1059990000</v>
      </c>
      <c r="I956" s="360">
        <f>IF(year=bargiri[[#This Row],[سال]],1,0)</f>
        <v>0</v>
      </c>
      <c r="J956" s="360" t="str">
        <f>VLOOKUP(bargiri[[#This Row],[شماره پیش فاکتور]],invoice[],16,0)</f>
        <v>عادی</v>
      </c>
      <c r="K956" s="252">
        <f>bargiri[[#This Row],[فی]]*bargiri[[#This Row],[میزان بارگیری شده]]</f>
        <v>1059990000</v>
      </c>
      <c r="X956" s="1"/>
      <c r="Y956" s="1"/>
      <c r="Z956" s="1"/>
    </row>
    <row r="957" spans="1:26" ht="18.600000000000001">
      <c r="A957" s="360" t="s">
        <v>894</v>
      </c>
      <c r="B957" s="360" t="s">
        <v>114</v>
      </c>
      <c r="C957" s="355" t="s">
        <v>62</v>
      </c>
      <c r="D957">
        <v>23140</v>
      </c>
      <c r="E957" s="143">
        <v>75000</v>
      </c>
      <c r="F957" s="117">
        <v>1404</v>
      </c>
      <c r="G957" s="360" t="s">
        <v>299</v>
      </c>
      <c r="H957" s="144">
        <f>bargiri[[#This Row],[میزان بارگیری شده]]*bargiri[[#This Row],[فی]]</f>
        <v>1735500000</v>
      </c>
      <c r="I957" s="360">
        <f>IF(year=bargiri[[#This Row],[سال]],1,0)</f>
        <v>0</v>
      </c>
      <c r="J957" s="360" t="str">
        <f>VLOOKUP(bargiri[[#This Row],[شماره پیش فاکتور]],invoice[],16,0)</f>
        <v>عادی</v>
      </c>
      <c r="K957" s="252">
        <f>bargiri[[#This Row],[فی]]*bargiri[[#This Row],[میزان بارگیری شده]]</f>
        <v>1735500000</v>
      </c>
      <c r="X957" s="1"/>
      <c r="Y957" s="1"/>
      <c r="Z957" s="1"/>
    </row>
    <row r="958" spans="1:26" ht="18.600000000000001">
      <c r="A958" s="360" t="s">
        <v>894</v>
      </c>
      <c r="B958" s="360" t="s">
        <v>98</v>
      </c>
      <c r="C958" s="355" t="s">
        <v>636</v>
      </c>
      <c r="D958">
        <v>13255</v>
      </c>
      <c r="E958" s="143">
        <v>120000</v>
      </c>
      <c r="F958" s="117">
        <v>1404</v>
      </c>
      <c r="G958" s="360" t="s">
        <v>299</v>
      </c>
      <c r="H958" s="144">
        <f>bargiri[[#This Row],[میزان بارگیری شده]]*bargiri[[#This Row],[فی]]</f>
        <v>1590600000</v>
      </c>
      <c r="I958" s="360">
        <f>IF(year=bargiri[[#This Row],[سال]],1,0)</f>
        <v>0</v>
      </c>
      <c r="J958" s="360" t="str">
        <f>VLOOKUP(bargiri[[#This Row],[شماره پیش فاکتور]],invoice[],16,0)</f>
        <v>عادی</v>
      </c>
      <c r="K958" s="252">
        <f>bargiri[[#This Row],[فی]]*bargiri[[#This Row],[میزان بارگیری شده]]</f>
        <v>1590600000</v>
      </c>
      <c r="X958" s="1"/>
      <c r="Y958" s="1"/>
      <c r="Z958" s="1"/>
    </row>
    <row r="959" spans="1:26" ht="18.600000000000001">
      <c r="A959" s="360" t="s">
        <v>894</v>
      </c>
      <c r="B959" s="360" t="s">
        <v>106</v>
      </c>
      <c r="C959" s="355" t="s">
        <v>781</v>
      </c>
      <c r="D959">
        <v>20290</v>
      </c>
      <c r="E959" s="143">
        <v>111000</v>
      </c>
      <c r="F959" s="117">
        <v>1404</v>
      </c>
      <c r="G959" s="360" t="s">
        <v>299</v>
      </c>
      <c r="H959" s="144">
        <f>bargiri[[#This Row],[میزان بارگیری شده]]*bargiri[[#This Row],[فی]]</f>
        <v>2252190000</v>
      </c>
      <c r="I959" s="360">
        <f>IF(year=bargiri[[#This Row],[سال]],1,0)</f>
        <v>0</v>
      </c>
      <c r="J959" s="360" t="str">
        <f>VLOOKUP(bargiri[[#This Row],[شماره پیش فاکتور]],invoice[],16,0)</f>
        <v>عادی</v>
      </c>
      <c r="K959" s="252">
        <f>bargiri[[#This Row],[فی]]*bargiri[[#This Row],[میزان بارگیری شده]]</f>
        <v>2252190000</v>
      </c>
      <c r="X959" s="1"/>
      <c r="Y959" s="1"/>
      <c r="Z959" s="1"/>
    </row>
    <row r="960" spans="1:26" ht="18.600000000000001">
      <c r="A960" s="360" t="s">
        <v>894</v>
      </c>
      <c r="B960" s="360" t="s">
        <v>125</v>
      </c>
      <c r="C960" s="355" t="s">
        <v>870</v>
      </c>
      <c r="D960">
        <v>14480</v>
      </c>
      <c r="E960" s="143">
        <v>135000</v>
      </c>
      <c r="F960" s="117">
        <v>1404</v>
      </c>
      <c r="G960" s="360" t="s">
        <v>299</v>
      </c>
      <c r="H960" s="144">
        <f>bargiri[[#This Row],[میزان بارگیری شده]]*bargiri[[#This Row],[فی]]</f>
        <v>1954800000</v>
      </c>
      <c r="I960" s="360">
        <f>IF(year=bargiri[[#This Row],[سال]],1,0)</f>
        <v>0</v>
      </c>
      <c r="J960" s="360" t="str">
        <f>VLOOKUP(bargiri[[#This Row],[شماره پیش فاکتور]],invoice[],16,0)</f>
        <v>عادی</v>
      </c>
      <c r="K960" s="252">
        <f>bargiri[[#This Row],[فی]]*bargiri[[#This Row],[میزان بارگیری شده]]</f>
        <v>1954800000</v>
      </c>
      <c r="X960" s="1"/>
      <c r="Y960" s="1"/>
      <c r="Z960" s="1"/>
    </row>
    <row r="961" spans="1:26" ht="18.600000000000001">
      <c r="A961" s="360" t="s">
        <v>894</v>
      </c>
      <c r="B961" s="360" t="s">
        <v>106</v>
      </c>
      <c r="C961" s="355" t="s">
        <v>781</v>
      </c>
      <c r="D961">
        <v>20375</v>
      </c>
      <c r="E961" s="143">
        <v>111000</v>
      </c>
      <c r="F961" s="117">
        <v>1404</v>
      </c>
      <c r="G961" s="360" t="s">
        <v>299</v>
      </c>
      <c r="H961" s="144">
        <f>bargiri[[#This Row],[میزان بارگیری شده]]*bargiri[[#This Row],[فی]]</f>
        <v>2261625000</v>
      </c>
      <c r="I961" s="360">
        <f>IF(year=bargiri[[#This Row],[سال]],1,0)</f>
        <v>0</v>
      </c>
      <c r="J961" s="360" t="str">
        <f>VLOOKUP(bargiri[[#This Row],[شماره پیش فاکتور]],invoice[],16,0)</f>
        <v>عادی</v>
      </c>
      <c r="K961" s="252">
        <f>bargiri[[#This Row],[فی]]*bargiri[[#This Row],[میزان بارگیری شده]]</f>
        <v>2261625000</v>
      </c>
      <c r="X961" s="1"/>
      <c r="Y961" s="1"/>
      <c r="Z961" s="1"/>
    </row>
    <row r="962" spans="1:26" ht="18.600000000000001">
      <c r="A962" s="360" t="s">
        <v>893</v>
      </c>
      <c r="B962" s="360" t="s">
        <v>100</v>
      </c>
      <c r="C962" s="355" t="s">
        <v>555</v>
      </c>
      <c r="D962">
        <v>6560</v>
      </c>
      <c r="E962" s="143">
        <v>142000</v>
      </c>
      <c r="F962" s="117">
        <v>1404</v>
      </c>
      <c r="G962" s="360" t="s">
        <v>299</v>
      </c>
      <c r="H962" s="144">
        <f>bargiri[[#This Row],[میزان بارگیری شده]]*bargiri[[#This Row],[فی]]</f>
        <v>931520000</v>
      </c>
      <c r="I962" s="360">
        <f>IF(year=bargiri[[#This Row],[سال]],1,0)</f>
        <v>0</v>
      </c>
      <c r="J962" s="360" t="str">
        <f>VLOOKUP(bargiri[[#This Row],[شماره پیش فاکتور]],invoice[],16,0)</f>
        <v>انجمن</v>
      </c>
      <c r="K962" s="252">
        <f>bargiri[[#This Row],[فی]]*bargiri[[#This Row],[میزان بارگیری شده]]</f>
        <v>931520000</v>
      </c>
      <c r="X962" s="1"/>
      <c r="Y962" s="1"/>
      <c r="Z962" s="1"/>
    </row>
    <row r="963" spans="1:26" ht="18.600000000000001">
      <c r="A963" s="360" t="s">
        <v>893</v>
      </c>
      <c r="B963" s="360" t="s">
        <v>103</v>
      </c>
      <c r="C963" s="355" t="s">
        <v>560</v>
      </c>
      <c r="D963">
        <v>20040</v>
      </c>
      <c r="E963" s="143">
        <v>142000</v>
      </c>
      <c r="F963" s="117">
        <v>1404</v>
      </c>
      <c r="G963" s="360" t="s">
        <v>299</v>
      </c>
      <c r="H963" s="144">
        <f>bargiri[[#This Row],[میزان بارگیری شده]]*bargiri[[#This Row],[فی]]</f>
        <v>2845680000</v>
      </c>
      <c r="I963" s="360">
        <f>IF(year=bargiri[[#This Row],[سال]],1,0)</f>
        <v>0</v>
      </c>
      <c r="J963" s="360" t="str">
        <f>VLOOKUP(bargiri[[#This Row],[شماره پیش فاکتور]],invoice[],16,0)</f>
        <v>انجمن</v>
      </c>
      <c r="K963" s="252">
        <f>bargiri[[#This Row],[فی]]*bargiri[[#This Row],[میزان بارگیری شده]]</f>
        <v>2845680000</v>
      </c>
      <c r="X963" s="1"/>
      <c r="Y963" s="1"/>
      <c r="Z963" s="1"/>
    </row>
    <row r="964" spans="1:26" ht="18.600000000000001">
      <c r="A964" s="360" t="s">
        <v>890</v>
      </c>
      <c r="B964" s="360" t="s">
        <v>117</v>
      </c>
      <c r="C964" s="355" t="s">
        <v>634</v>
      </c>
      <c r="D964">
        <v>20295</v>
      </c>
      <c r="E964" s="143">
        <v>120000</v>
      </c>
      <c r="F964" s="117">
        <v>1404</v>
      </c>
      <c r="G964" s="360" t="s">
        <v>299</v>
      </c>
      <c r="H964" s="144">
        <f>bargiri[[#This Row],[میزان بارگیری شده]]*bargiri[[#This Row],[فی]]</f>
        <v>2435400000</v>
      </c>
      <c r="I964" s="360">
        <f>IF(year=bargiri[[#This Row],[سال]],1,0)</f>
        <v>0</v>
      </c>
      <c r="J964" s="360" t="str">
        <f>VLOOKUP(bargiri[[#This Row],[شماره پیش فاکتور]],invoice[],16,0)</f>
        <v>عادی</v>
      </c>
      <c r="K964" s="252">
        <f>bargiri[[#This Row],[فی]]*bargiri[[#This Row],[میزان بارگیری شده]]</f>
        <v>2435400000</v>
      </c>
      <c r="X964" s="1"/>
      <c r="Y964" s="1"/>
      <c r="Z964" s="1"/>
    </row>
    <row r="965" spans="1:26" ht="18.600000000000001">
      <c r="A965" s="360" t="s">
        <v>890</v>
      </c>
      <c r="B965" s="360" t="s">
        <v>122</v>
      </c>
      <c r="C965" s="355" t="s">
        <v>568</v>
      </c>
      <c r="D965">
        <v>23265</v>
      </c>
      <c r="E965" s="143">
        <v>142000</v>
      </c>
      <c r="F965" s="117">
        <v>1404</v>
      </c>
      <c r="G965" s="360" t="s">
        <v>299</v>
      </c>
      <c r="H965" s="144">
        <f>bargiri[[#This Row],[میزان بارگیری شده]]*bargiri[[#This Row],[فی]]</f>
        <v>3303630000</v>
      </c>
      <c r="I965" s="360">
        <f>IF(year=bargiri[[#This Row],[سال]],1,0)</f>
        <v>0</v>
      </c>
      <c r="J965" s="360" t="str">
        <f>VLOOKUP(bargiri[[#This Row],[شماره پیش فاکتور]],invoice[],16,0)</f>
        <v>انجمن</v>
      </c>
      <c r="K965" s="252">
        <f>bargiri[[#This Row],[فی]]*bargiri[[#This Row],[میزان بارگیری شده]]</f>
        <v>3303630000</v>
      </c>
      <c r="X965" s="1"/>
      <c r="Y965" s="1"/>
      <c r="Z965" s="1"/>
    </row>
    <row r="966" spans="1:26" ht="18.600000000000001">
      <c r="A966" s="360" t="s">
        <v>890</v>
      </c>
      <c r="B966" s="360" t="s">
        <v>98</v>
      </c>
      <c r="C966" s="355" t="s">
        <v>636</v>
      </c>
      <c r="D966">
        <v>19560</v>
      </c>
      <c r="E966" s="143">
        <v>120000</v>
      </c>
      <c r="F966" s="117">
        <v>1404</v>
      </c>
      <c r="G966" s="360" t="s">
        <v>299</v>
      </c>
      <c r="H966" s="144">
        <f>bargiri[[#This Row],[میزان بارگیری شده]]*bargiri[[#This Row],[فی]]</f>
        <v>2347200000</v>
      </c>
      <c r="I966" s="360">
        <f>IF(year=bargiri[[#This Row],[سال]],1,0)</f>
        <v>0</v>
      </c>
      <c r="J966" s="360" t="str">
        <f>VLOOKUP(bargiri[[#This Row],[شماره پیش فاکتور]],invoice[],16,0)</f>
        <v>عادی</v>
      </c>
      <c r="K966" s="252">
        <f>bargiri[[#This Row],[فی]]*bargiri[[#This Row],[میزان بارگیری شده]]</f>
        <v>2347200000</v>
      </c>
      <c r="X966" s="1"/>
      <c r="Y966" s="1"/>
      <c r="Z966" s="1"/>
    </row>
    <row r="967" spans="1:26" ht="18.600000000000001">
      <c r="A967" s="360" t="s">
        <v>891</v>
      </c>
      <c r="B967" s="360" t="s">
        <v>116</v>
      </c>
      <c r="C967" s="355" t="s">
        <v>538</v>
      </c>
      <c r="D967">
        <v>14105</v>
      </c>
      <c r="E967" s="143">
        <v>80000</v>
      </c>
      <c r="F967" s="117">
        <v>1404</v>
      </c>
      <c r="G967" s="360" t="s">
        <v>299</v>
      </c>
      <c r="H967" s="144">
        <f>bargiri[[#This Row],[میزان بارگیری شده]]*bargiri[[#This Row],[فی]]</f>
        <v>1128400000</v>
      </c>
      <c r="I967" s="360">
        <f>IF(year=bargiri[[#This Row],[سال]],1,0)</f>
        <v>0</v>
      </c>
      <c r="J967" s="360" t="str">
        <f>VLOOKUP(bargiri[[#This Row],[شماره پیش فاکتور]],invoice[],16,0)</f>
        <v>تعادلی</v>
      </c>
      <c r="K967" s="252">
        <f>bargiri[[#This Row],[فی]]*bargiri[[#This Row],[میزان بارگیری شده]]</f>
        <v>1128400000</v>
      </c>
      <c r="X967" s="1"/>
      <c r="Y967" s="1"/>
      <c r="Z967" s="1"/>
    </row>
    <row r="968" spans="1:26" ht="18.600000000000001">
      <c r="A968" s="360" t="s">
        <v>891</v>
      </c>
      <c r="B968" s="360" t="s">
        <v>116</v>
      </c>
      <c r="C968" s="355" t="s">
        <v>641</v>
      </c>
      <c r="D968">
        <v>6865</v>
      </c>
      <c r="E968" s="143">
        <v>83000</v>
      </c>
      <c r="F968" s="117">
        <v>1404</v>
      </c>
      <c r="G968" s="360" t="s">
        <v>299</v>
      </c>
      <c r="H968" s="144">
        <f>bargiri[[#This Row],[میزان بارگیری شده]]*bargiri[[#This Row],[فی]]</f>
        <v>569795000</v>
      </c>
      <c r="I968" s="360">
        <f>IF(year=bargiri[[#This Row],[سال]],1,0)</f>
        <v>0</v>
      </c>
      <c r="J968" s="360" t="str">
        <f>VLOOKUP(bargiri[[#This Row],[شماره پیش فاکتور]],invoice[],16,0)</f>
        <v>تعادلی</v>
      </c>
      <c r="K968" s="252">
        <f>bargiri[[#This Row],[فی]]*bargiri[[#This Row],[میزان بارگیری شده]]</f>
        <v>569795000</v>
      </c>
      <c r="X968" s="1"/>
      <c r="Y968" s="1"/>
      <c r="Z968" s="1"/>
    </row>
    <row r="969" spans="1:26" ht="18.600000000000001">
      <c r="A969" s="360" t="s">
        <v>892</v>
      </c>
      <c r="B969" s="360" t="s">
        <v>103</v>
      </c>
      <c r="C969" s="355" t="s">
        <v>560</v>
      </c>
      <c r="D969">
        <v>20230</v>
      </c>
      <c r="E969" s="143">
        <v>142000</v>
      </c>
      <c r="F969" s="117">
        <v>1404</v>
      </c>
      <c r="G969" s="360" t="s">
        <v>299</v>
      </c>
      <c r="H969" s="144">
        <f>bargiri[[#This Row],[میزان بارگیری شده]]*bargiri[[#This Row],[فی]]</f>
        <v>2872660000</v>
      </c>
      <c r="I969" s="360">
        <f>IF(year=bargiri[[#This Row],[سال]],1,0)</f>
        <v>0</v>
      </c>
      <c r="J969" s="360" t="str">
        <f>VLOOKUP(bargiri[[#This Row],[شماره پیش فاکتور]],invoice[],16,0)</f>
        <v>انجمن</v>
      </c>
      <c r="K969" s="252">
        <f>bargiri[[#This Row],[فی]]*bargiri[[#This Row],[میزان بارگیری شده]]</f>
        <v>2872660000</v>
      </c>
      <c r="X969" s="1"/>
      <c r="Y969" s="1"/>
      <c r="Z969" s="1"/>
    </row>
    <row r="970" spans="1:26" ht="18.600000000000001">
      <c r="A970" s="360" t="s">
        <v>892</v>
      </c>
      <c r="B970" s="360" t="s">
        <v>102</v>
      </c>
      <c r="C970" s="355" t="s">
        <v>559</v>
      </c>
      <c r="D970">
        <v>11700</v>
      </c>
      <c r="E970" s="143">
        <v>142000</v>
      </c>
      <c r="F970" s="117">
        <v>1404</v>
      </c>
      <c r="G970" s="360" t="s">
        <v>299</v>
      </c>
      <c r="H970" s="144">
        <f>bargiri[[#This Row],[میزان بارگیری شده]]*bargiri[[#This Row],[فی]]</f>
        <v>1661400000</v>
      </c>
      <c r="I970" s="360">
        <f>IF(year=bargiri[[#This Row],[سال]],1,0)</f>
        <v>0</v>
      </c>
      <c r="J970" s="360" t="str">
        <f>VLOOKUP(bargiri[[#This Row],[شماره پیش فاکتور]],invoice[],16,0)</f>
        <v>انجمن</v>
      </c>
      <c r="K970" s="252">
        <f>bargiri[[#This Row],[فی]]*bargiri[[#This Row],[میزان بارگیری شده]]</f>
        <v>1661400000</v>
      </c>
      <c r="X970" s="1"/>
      <c r="Y970" s="1"/>
      <c r="Z970" s="1"/>
    </row>
    <row r="971" spans="1:26" ht="18.600000000000001">
      <c r="A971" s="360" t="s">
        <v>892</v>
      </c>
      <c r="B971" s="360" t="s">
        <v>125</v>
      </c>
      <c r="C971" s="355" t="s">
        <v>870</v>
      </c>
      <c r="D971">
        <v>14555</v>
      </c>
      <c r="E971" s="143">
        <v>135000</v>
      </c>
      <c r="F971" s="117">
        <v>1404</v>
      </c>
      <c r="G971" s="360" t="s">
        <v>299</v>
      </c>
      <c r="H971" s="144">
        <f>bargiri[[#This Row],[میزان بارگیری شده]]*bargiri[[#This Row],[فی]]</f>
        <v>1964925000</v>
      </c>
      <c r="I971" s="360">
        <f>IF(year=bargiri[[#This Row],[سال]],1,0)</f>
        <v>0</v>
      </c>
      <c r="J971" s="360" t="str">
        <f>VLOOKUP(bargiri[[#This Row],[شماره پیش فاکتور]],invoice[],16,0)</f>
        <v>عادی</v>
      </c>
      <c r="K971" s="252">
        <f>bargiri[[#This Row],[فی]]*bargiri[[#This Row],[میزان بارگیری شده]]</f>
        <v>1964925000</v>
      </c>
      <c r="X971" s="1"/>
      <c r="Y971" s="1"/>
      <c r="Z971" s="1"/>
    </row>
    <row r="972" spans="1:26" ht="18.600000000000001">
      <c r="A972" s="360" t="s">
        <v>889</v>
      </c>
      <c r="B972" s="360" t="s">
        <v>100</v>
      </c>
      <c r="C972" s="355" t="s">
        <v>555</v>
      </c>
      <c r="D972">
        <v>6590</v>
      </c>
      <c r="E972" s="143">
        <v>142000</v>
      </c>
      <c r="F972" s="117">
        <v>1404</v>
      </c>
      <c r="G972" s="360" t="s">
        <v>299</v>
      </c>
      <c r="H972" s="144">
        <f>bargiri[[#This Row],[میزان بارگیری شده]]*bargiri[[#This Row],[فی]]</f>
        <v>935780000</v>
      </c>
      <c r="I972" s="360">
        <f>IF(year=bargiri[[#This Row],[سال]],1,0)</f>
        <v>0</v>
      </c>
      <c r="J972" s="360" t="str">
        <f>VLOOKUP(bargiri[[#This Row],[شماره پیش فاکتور]],invoice[],16,0)</f>
        <v>انجمن</v>
      </c>
      <c r="K972" s="252">
        <f>bargiri[[#This Row],[فی]]*bargiri[[#This Row],[میزان بارگیری شده]]</f>
        <v>935780000</v>
      </c>
      <c r="X972" s="1"/>
      <c r="Y972" s="1"/>
      <c r="Z972" s="1"/>
    </row>
    <row r="973" spans="1:26" ht="18.600000000000001">
      <c r="A973" s="360" t="s">
        <v>889</v>
      </c>
      <c r="B973" s="360" t="s">
        <v>116</v>
      </c>
      <c r="C973" s="355" t="s">
        <v>833</v>
      </c>
      <c r="D973">
        <v>800</v>
      </c>
      <c r="E973" s="143">
        <v>167500</v>
      </c>
      <c r="F973" s="117">
        <v>1404</v>
      </c>
      <c r="G973" s="360" t="s">
        <v>299</v>
      </c>
      <c r="H973" s="144">
        <f>bargiri[[#This Row],[میزان بارگیری شده]]*bargiri[[#This Row],[فی]]</f>
        <v>134000000</v>
      </c>
      <c r="I973" s="360">
        <f>IF(year=bargiri[[#This Row],[سال]],1,0)</f>
        <v>0</v>
      </c>
      <c r="J973" s="360" t="str">
        <f>VLOOKUP(bargiri[[#This Row],[شماره پیش فاکتور]],invoice[],16,0)</f>
        <v>بورس</v>
      </c>
      <c r="K973" s="252">
        <f>bargiri[[#This Row],[فی]]*bargiri[[#This Row],[میزان بارگیری شده]]</f>
        <v>134000000</v>
      </c>
      <c r="X973" s="1"/>
      <c r="Y973" s="1"/>
      <c r="Z973" s="1"/>
    </row>
    <row r="974" spans="1:26" ht="18.600000000000001">
      <c r="A974" s="360" t="s">
        <v>889</v>
      </c>
      <c r="B974" s="360" t="s">
        <v>116</v>
      </c>
      <c r="C974" s="355" t="s">
        <v>796</v>
      </c>
      <c r="D974">
        <v>4625</v>
      </c>
      <c r="E974" s="143">
        <v>167500</v>
      </c>
      <c r="F974" s="117">
        <v>1404</v>
      </c>
      <c r="G974" s="360" t="s">
        <v>299</v>
      </c>
      <c r="H974" s="144">
        <f>bargiri[[#This Row],[میزان بارگیری شده]]*bargiri[[#This Row],[فی]]</f>
        <v>774687500</v>
      </c>
      <c r="I974" s="360">
        <f>IF(year=bargiri[[#This Row],[سال]],1,0)</f>
        <v>0</v>
      </c>
      <c r="J974" s="360" t="str">
        <f>VLOOKUP(bargiri[[#This Row],[شماره پیش فاکتور]],invoice[],16,0)</f>
        <v>بورس</v>
      </c>
      <c r="K974" s="252">
        <f>bargiri[[#This Row],[فی]]*bargiri[[#This Row],[میزان بارگیری شده]]</f>
        <v>774687500</v>
      </c>
      <c r="X974" s="1"/>
      <c r="Y974" s="1"/>
      <c r="Z974" s="1"/>
    </row>
    <row r="975" spans="1:26" ht="18.600000000000001">
      <c r="A975" s="360" t="s">
        <v>889</v>
      </c>
      <c r="B975" s="360" t="s">
        <v>116</v>
      </c>
      <c r="C975" s="355" t="s">
        <v>859</v>
      </c>
      <c r="D975">
        <v>15445</v>
      </c>
      <c r="E975" s="143">
        <v>167500</v>
      </c>
      <c r="F975" s="117">
        <v>1404</v>
      </c>
      <c r="G975" s="360" t="s">
        <v>299</v>
      </c>
      <c r="H975" s="144">
        <f>bargiri[[#This Row],[میزان بارگیری شده]]*bargiri[[#This Row],[فی]]</f>
        <v>2587037500</v>
      </c>
      <c r="I975" s="360">
        <f>IF(year=bargiri[[#This Row],[سال]],1,0)</f>
        <v>0</v>
      </c>
      <c r="J975" s="360" t="str">
        <f>VLOOKUP(bargiri[[#This Row],[شماره پیش فاکتور]],invoice[],16,0)</f>
        <v>بورس</v>
      </c>
      <c r="K975" s="252">
        <f>bargiri[[#This Row],[فی]]*bargiri[[#This Row],[میزان بارگیری شده]]</f>
        <v>2587037500</v>
      </c>
      <c r="X975" s="1"/>
      <c r="Y975" s="1"/>
      <c r="Z975" s="1"/>
    </row>
    <row r="976" spans="1:26" ht="18.600000000000001">
      <c r="A976" s="360" t="s">
        <v>889</v>
      </c>
      <c r="B976" s="360" t="s">
        <v>105</v>
      </c>
      <c r="C976" s="355" t="s">
        <v>553</v>
      </c>
      <c r="D976">
        <v>18765</v>
      </c>
      <c r="E976" s="143">
        <v>142000</v>
      </c>
      <c r="F976" s="117">
        <v>1404</v>
      </c>
      <c r="G976" s="360" t="s">
        <v>299</v>
      </c>
      <c r="H976" s="144">
        <f>bargiri[[#This Row],[میزان بارگیری شده]]*bargiri[[#This Row],[فی]]</f>
        <v>2664630000</v>
      </c>
      <c r="I976" s="360">
        <f>IF(year=bargiri[[#This Row],[سال]],1,0)</f>
        <v>0</v>
      </c>
      <c r="J976" s="360" t="str">
        <f>VLOOKUP(bargiri[[#This Row],[شماره پیش فاکتور]],invoice[],16,0)</f>
        <v>انجمن</v>
      </c>
      <c r="K976" s="252">
        <f>bargiri[[#This Row],[فی]]*bargiri[[#This Row],[میزان بارگیری شده]]</f>
        <v>2664630000</v>
      </c>
      <c r="X976" s="1"/>
      <c r="Y976" s="1"/>
      <c r="Z976" s="1"/>
    </row>
    <row r="977" spans="1:26" ht="18.600000000000001">
      <c r="A977" s="360" t="s">
        <v>888</v>
      </c>
      <c r="B977" s="360" t="s">
        <v>101</v>
      </c>
      <c r="C977" s="355" t="s">
        <v>695</v>
      </c>
      <c r="D977">
        <v>17750</v>
      </c>
      <c r="E977" s="143">
        <v>167500</v>
      </c>
      <c r="F977" s="117">
        <v>1404</v>
      </c>
      <c r="G977" s="360" t="s">
        <v>299</v>
      </c>
      <c r="H977" s="144">
        <f>bargiri[[#This Row],[میزان بارگیری شده]]*bargiri[[#This Row],[فی]]</f>
        <v>2973125000</v>
      </c>
      <c r="I977" s="360">
        <f>IF(year=bargiri[[#This Row],[سال]],1,0)</f>
        <v>0</v>
      </c>
      <c r="J977" s="360" t="str">
        <f>VLOOKUP(bargiri[[#This Row],[شماره پیش فاکتور]],invoice[],16,0)</f>
        <v>بورس</v>
      </c>
      <c r="K977" s="252">
        <f>bargiri[[#This Row],[فی]]*bargiri[[#This Row],[میزان بارگیری شده]]</f>
        <v>2973125000</v>
      </c>
      <c r="X977" s="1"/>
      <c r="Y977" s="1"/>
      <c r="Z977" s="1"/>
    </row>
    <row r="978" spans="1:26" ht="18.600000000000001">
      <c r="A978" s="360" t="s">
        <v>888</v>
      </c>
      <c r="B978" s="360" t="s">
        <v>101</v>
      </c>
      <c r="C978" s="355" t="s">
        <v>777</v>
      </c>
      <c r="D978">
        <v>5180</v>
      </c>
      <c r="E978" s="143">
        <v>196009</v>
      </c>
      <c r="F978" s="117">
        <v>1404</v>
      </c>
      <c r="G978" s="360" t="s">
        <v>299</v>
      </c>
      <c r="H978" s="144">
        <f>bargiri[[#This Row],[میزان بارگیری شده]]*bargiri[[#This Row],[فی]]</f>
        <v>1015326620</v>
      </c>
      <c r="I978" s="360">
        <f>IF(year=bargiri[[#This Row],[سال]],1,0)</f>
        <v>0</v>
      </c>
      <c r="J978" s="360" t="str">
        <f>VLOOKUP(bargiri[[#This Row],[شماره پیش فاکتور]],invoice[],16,0)</f>
        <v>بورس</v>
      </c>
      <c r="K978" s="252">
        <f>bargiri[[#This Row],[فی]]*bargiri[[#This Row],[میزان بارگیری شده]]</f>
        <v>1015326620</v>
      </c>
      <c r="X978" s="1"/>
      <c r="Y978" s="1"/>
      <c r="Z978" s="1"/>
    </row>
    <row r="979" spans="1:26" ht="18.600000000000001">
      <c r="A979" s="360" t="s">
        <v>888</v>
      </c>
      <c r="B979" s="360" t="s">
        <v>104</v>
      </c>
      <c r="C979" s="355" t="s">
        <v>834</v>
      </c>
      <c r="D979">
        <v>4045</v>
      </c>
      <c r="E979" s="143">
        <v>167500</v>
      </c>
      <c r="F979" s="117">
        <v>1404</v>
      </c>
      <c r="G979" s="360" t="s">
        <v>299</v>
      </c>
      <c r="H979" s="144">
        <f>bargiri[[#This Row],[میزان بارگیری شده]]*bargiri[[#This Row],[فی]]</f>
        <v>677537500</v>
      </c>
      <c r="I979" s="360">
        <f>IF(year=bargiri[[#This Row],[سال]],1,0)</f>
        <v>0</v>
      </c>
      <c r="J979" s="360" t="str">
        <f>VLOOKUP(bargiri[[#This Row],[شماره پیش فاکتور]],invoice[],16,0)</f>
        <v>بورس</v>
      </c>
      <c r="K979" s="252">
        <f>bargiri[[#This Row],[فی]]*bargiri[[#This Row],[میزان بارگیری شده]]</f>
        <v>677537500</v>
      </c>
      <c r="X979" s="1"/>
      <c r="Y979" s="1"/>
      <c r="Z979" s="1"/>
    </row>
    <row r="980" spans="1:26" ht="18.600000000000001">
      <c r="A980" s="360" t="s">
        <v>888</v>
      </c>
      <c r="B980" s="360" t="s">
        <v>104</v>
      </c>
      <c r="C980" s="355" t="s">
        <v>640</v>
      </c>
      <c r="D980">
        <v>14260</v>
      </c>
      <c r="E980" s="143">
        <v>79520</v>
      </c>
      <c r="F980" s="117">
        <v>1404</v>
      </c>
      <c r="G980" s="360" t="s">
        <v>299</v>
      </c>
      <c r="H980" s="144">
        <f>bargiri[[#This Row],[میزان بارگیری شده]]*bargiri[[#This Row],[فی]]</f>
        <v>1133955200</v>
      </c>
      <c r="I980" s="360">
        <f>IF(year=bargiri[[#This Row],[سال]],1,0)</f>
        <v>0</v>
      </c>
      <c r="J980" s="360" t="str">
        <f>VLOOKUP(bargiri[[#This Row],[شماره پیش فاکتور]],invoice[],16,0)</f>
        <v>تعادلی</v>
      </c>
      <c r="K980" s="252">
        <f>bargiri[[#This Row],[فی]]*bargiri[[#This Row],[میزان بارگیری شده]]</f>
        <v>1133955200</v>
      </c>
      <c r="X980" s="1"/>
      <c r="Y980" s="1"/>
      <c r="Z980" s="1"/>
    </row>
    <row r="981" spans="1:26" ht="18.600000000000001">
      <c r="A981" s="360" t="s">
        <v>888</v>
      </c>
      <c r="B981" s="360" t="s">
        <v>98</v>
      </c>
      <c r="C981" s="355" t="s">
        <v>873</v>
      </c>
      <c r="D981">
        <v>6700</v>
      </c>
      <c r="E981" s="143">
        <v>167500</v>
      </c>
      <c r="F981" s="117">
        <v>1404</v>
      </c>
      <c r="G981" s="360" t="s">
        <v>299</v>
      </c>
      <c r="H981" s="144">
        <f>bargiri[[#This Row],[میزان بارگیری شده]]*bargiri[[#This Row],[فی]]</f>
        <v>1122250000</v>
      </c>
      <c r="I981" s="360">
        <f>IF(year=bargiri[[#This Row],[سال]],1,0)</f>
        <v>0</v>
      </c>
      <c r="J981" s="360" t="str">
        <f>VLOOKUP(bargiri[[#This Row],[شماره پیش فاکتور]],invoice[],16,0)</f>
        <v>بورس</v>
      </c>
      <c r="K981" s="252">
        <f>bargiri[[#This Row],[فی]]*bargiri[[#This Row],[میزان بارگیری شده]]</f>
        <v>1122250000</v>
      </c>
      <c r="X981" s="1"/>
      <c r="Y981" s="1"/>
      <c r="Z981" s="1"/>
    </row>
    <row r="982" spans="1:26" ht="18.600000000000001">
      <c r="A982" s="360" t="s">
        <v>888</v>
      </c>
      <c r="B982" s="360" t="s">
        <v>98</v>
      </c>
      <c r="C982" s="355" t="s">
        <v>636</v>
      </c>
      <c r="D982">
        <v>16565</v>
      </c>
      <c r="E982" s="143">
        <v>120000</v>
      </c>
      <c r="F982" s="117">
        <v>1404</v>
      </c>
      <c r="G982" s="360" t="s">
        <v>299</v>
      </c>
      <c r="H982" s="144">
        <f>bargiri[[#This Row],[میزان بارگیری شده]]*bargiri[[#This Row],[فی]]</f>
        <v>1987800000</v>
      </c>
      <c r="I982" s="360">
        <f>IF(year=bargiri[[#This Row],[سال]],1,0)</f>
        <v>0</v>
      </c>
      <c r="J982" s="360" t="str">
        <f>VLOOKUP(bargiri[[#This Row],[شماره پیش فاکتور]],invoice[],16,0)</f>
        <v>عادی</v>
      </c>
      <c r="K982" s="252">
        <f>bargiri[[#This Row],[فی]]*bargiri[[#This Row],[میزان بارگیری شده]]</f>
        <v>1987800000</v>
      </c>
      <c r="X982" s="1"/>
      <c r="Y982" s="1"/>
      <c r="Z982" s="1"/>
    </row>
    <row r="983" spans="1:26" ht="18.600000000000001">
      <c r="A983" s="360" t="s">
        <v>888</v>
      </c>
      <c r="B983" s="360" t="s">
        <v>106</v>
      </c>
      <c r="C983" s="355" t="s">
        <v>44</v>
      </c>
      <c r="D983">
        <v>6035</v>
      </c>
      <c r="E983" s="143">
        <v>80000</v>
      </c>
      <c r="F983" s="117">
        <v>1404</v>
      </c>
      <c r="G983" s="360" t="s">
        <v>299</v>
      </c>
      <c r="H983" s="144">
        <f>bargiri[[#This Row],[میزان بارگیری شده]]*bargiri[[#This Row],[فی]]</f>
        <v>482800000</v>
      </c>
      <c r="I983" s="360">
        <f>IF(year=bargiri[[#This Row],[سال]],1,0)</f>
        <v>0</v>
      </c>
      <c r="J983" s="360" t="str">
        <f>VLOOKUP(bargiri[[#This Row],[شماره پیش فاکتور]],invoice[],16,0)</f>
        <v>عادی</v>
      </c>
      <c r="K983" s="252">
        <f>bargiri[[#This Row],[فی]]*bargiri[[#This Row],[میزان بارگیری شده]]</f>
        <v>482800000</v>
      </c>
      <c r="X983" s="1"/>
      <c r="Y983" s="1"/>
      <c r="Z983" s="1"/>
    </row>
    <row r="984" spans="1:26" ht="18.600000000000001">
      <c r="A984" s="360" t="s">
        <v>888</v>
      </c>
      <c r="B984" s="360" t="s">
        <v>106</v>
      </c>
      <c r="C984" s="355" t="s">
        <v>781</v>
      </c>
      <c r="D984">
        <v>14300</v>
      </c>
      <c r="E984" s="143">
        <v>111000</v>
      </c>
      <c r="F984" s="117">
        <v>1404</v>
      </c>
      <c r="G984" s="360" t="s">
        <v>299</v>
      </c>
      <c r="H984" s="144">
        <f>bargiri[[#This Row],[میزان بارگیری شده]]*bargiri[[#This Row],[فی]]</f>
        <v>1587300000</v>
      </c>
      <c r="I984" s="360">
        <f>IF(year=bargiri[[#This Row],[سال]],1,0)</f>
        <v>0</v>
      </c>
      <c r="J984" s="360" t="str">
        <f>VLOOKUP(bargiri[[#This Row],[شماره پیش فاکتور]],invoice[],16,0)</f>
        <v>عادی</v>
      </c>
      <c r="K984" s="252">
        <f>bargiri[[#This Row],[فی]]*bargiri[[#This Row],[میزان بارگیری شده]]</f>
        <v>1587300000</v>
      </c>
      <c r="X984" s="1"/>
      <c r="Y984" s="1"/>
      <c r="Z984" s="1"/>
    </row>
    <row r="985" spans="1:26" ht="18.600000000000001">
      <c r="A985" s="360" t="s">
        <v>887</v>
      </c>
      <c r="B985" s="360" t="s">
        <v>106</v>
      </c>
      <c r="C985" s="355" t="s">
        <v>44</v>
      </c>
      <c r="D985">
        <v>19875</v>
      </c>
      <c r="E985" s="143">
        <v>80000</v>
      </c>
      <c r="F985" s="117">
        <v>1404</v>
      </c>
      <c r="G985" s="360" t="s">
        <v>299</v>
      </c>
      <c r="H985" s="144">
        <f>bargiri[[#This Row],[میزان بارگیری شده]]*bargiri[[#This Row],[فی]]</f>
        <v>1590000000</v>
      </c>
      <c r="I985" s="360">
        <f>IF(year=bargiri[[#This Row],[سال]],1,0)</f>
        <v>0</v>
      </c>
      <c r="J985" s="360" t="str">
        <f>VLOOKUP(bargiri[[#This Row],[شماره پیش فاکتور]],invoice[],16,0)</f>
        <v>عادی</v>
      </c>
      <c r="K985" s="252">
        <f>bargiri[[#This Row],[فی]]*bargiri[[#This Row],[میزان بارگیری شده]]</f>
        <v>1590000000</v>
      </c>
      <c r="X985" s="1"/>
      <c r="Y985" s="1"/>
      <c r="Z985" s="1"/>
    </row>
    <row r="986" spans="1:26" ht="18.600000000000001">
      <c r="A986" s="360" t="s">
        <v>884</v>
      </c>
      <c r="B986" s="360" t="s">
        <v>116</v>
      </c>
      <c r="C986" s="355" t="s">
        <v>538</v>
      </c>
      <c r="D986">
        <v>19060</v>
      </c>
      <c r="E986" s="143">
        <v>80000</v>
      </c>
      <c r="F986" s="117">
        <v>1404</v>
      </c>
      <c r="G986" s="360" t="s">
        <v>299</v>
      </c>
      <c r="H986" s="144">
        <f>bargiri[[#This Row],[میزان بارگیری شده]]*bargiri[[#This Row],[فی]]</f>
        <v>1524800000</v>
      </c>
      <c r="I986" s="360">
        <f>IF(year=bargiri[[#This Row],[سال]],1,0)</f>
        <v>0</v>
      </c>
      <c r="J986" s="360" t="str">
        <f>VLOOKUP(bargiri[[#This Row],[شماره پیش فاکتور]],invoice[],16,0)</f>
        <v>تعادلی</v>
      </c>
      <c r="K986" s="252">
        <f>bargiri[[#This Row],[فی]]*bargiri[[#This Row],[میزان بارگیری شده]]</f>
        <v>1524800000</v>
      </c>
      <c r="X986" s="1"/>
      <c r="Y986" s="1"/>
      <c r="Z986" s="1"/>
    </row>
    <row r="987" spans="1:26" ht="18.600000000000001">
      <c r="A987" s="360" t="s">
        <v>884</v>
      </c>
      <c r="B987" s="360" t="s">
        <v>125</v>
      </c>
      <c r="C987" s="355" t="s">
        <v>870</v>
      </c>
      <c r="D987">
        <v>14540</v>
      </c>
      <c r="E987" s="143">
        <v>135000</v>
      </c>
      <c r="F987" s="117">
        <v>1404</v>
      </c>
      <c r="G987" s="360" t="s">
        <v>299</v>
      </c>
      <c r="H987" s="144">
        <f>bargiri[[#This Row],[میزان بارگیری شده]]*bargiri[[#This Row],[فی]]</f>
        <v>1962900000</v>
      </c>
      <c r="I987" s="360">
        <f>IF(year=bargiri[[#This Row],[سال]],1,0)</f>
        <v>0</v>
      </c>
      <c r="J987" s="360" t="str">
        <f>VLOOKUP(bargiri[[#This Row],[شماره پیش فاکتور]],invoice[],16,0)</f>
        <v>عادی</v>
      </c>
      <c r="K987" s="252">
        <f>bargiri[[#This Row],[فی]]*bargiri[[#This Row],[میزان بارگیری شده]]</f>
        <v>1962900000</v>
      </c>
      <c r="X987" s="1"/>
      <c r="Y987" s="1"/>
      <c r="Z987" s="1"/>
    </row>
    <row r="988" spans="1:26" ht="18.600000000000001">
      <c r="A988" s="360" t="s">
        <v>884</v>
      </c>
      <c r="B988" s="360" t="s">
        <v>103</v>
      </c>
      <c r="C988" s="355" t="s">
        <v>560</v>
      </c>
      <c r="D988">
        <v>7430</v>
      </c>
      <c r="E988" s="143">
        <v>142000</v>
      </c>
      <c r="F988" s="117">
        <v>1404</v>
      </c>
      <c r="G988" s="360" t="s">
        <v>299</v>
      </c>
      <c r="H988" s="144">
        <f>bargiri[[#This Row],[میزان بارگیری شده]]*bargiri[[#This Row],[فی]]</f>
        <v>1055060000</v>
      </c>
      <c r="I988" s="360">
        <f>IF(year=bargiri[[#This Row],[سال]],1,0)</f>
        <v>0</v>
      </c>
      <c r="J988" s="360" t="str">
        <f>VLOOKUP(bargiri[[#This Row],[شماره پیش فاکتور]],invoice[],16,0)</f>
        <v>انجمن</v>
      </c>
      <c r="K988" s="252">
        <f>bargiri[[#This Row],[فی]]*bargiri[[#This Row],[میزان بارگیری شده]]</f>
        <v>1055060000</v>
      </c>
      <c r="X988" s="1"/>
      <c r="Y988" s="1"/>
      <c r="Z988" s="1"/>
    </row>
    <row r="989" spans="1:26" ht="18.600000000000001">
      <c r="A989" s="360" t="s">
        <v>885</v>
      </c>
      <c r="B989" s="360" t="s">
        <v>99</v>
      </c>
      <c r="C989" s="355" t="s">
        <v>12</v>
      </c>
      <c r="D989">
        <v>19160</v>
      </c>
      <c r="E989" s="143">
        <v>86500</v>
      </c>
      <c r="F989" s="117">
        <v>1404</v>
      </c>
      <c r="G989" s="360" t="s">
        <v>299</v>
      </c>
      <c r="H989" s="144">
        <f>bargiri[[#This Row],[میزان بارگیری شده]]*bargiri[[#This Row],[فی]]</f>
        <v>1657340000</v>
      </c>
      <c r="I989" s="360">
        <f>IF(year=bargiri[[#This Row],[سال]],1,0)</f>
        <v>0</v>
      </c>
      <c r="J989" s="360" t="str">
        <f>VLOOKUP(bargiri[[#This Row],[شماره پیش فاکتور]],invoice[],16,0)</f>
        <v>عادی</v>
      </c>
      <c r="K989" s="252">
        <f>bargiri[[#This Row],[فی]]*bargiri[[#This Row],[میزان بارگیری شده]]</f>
        <v>1657340000</v>
      </c>
      <c r="X989" s="1"/>
      <c r="Y989" s="1"/>
      <c r="Z989" s="1"/>
    </row>
    <row r="990" spans="1:26" ht="18.600000000000001">
      <c r="A990" s="360" t="s">
        <v>879</v>
      </c>
      <c r="B990" s="360" t="s">
        <v>106</v>
      </c>
      <c r="C990" s="355" t="s">
        <v>44</v>
      </c>
      <c r="D990">
        <v>16135</v>
      </c>
      <c r="E990" s="143">
        <v>80000</v>
      </c>
      <c r="F990" s="117">
        <v>1404</v>
      </c>
      <c r="G990" s="360" t="s">
        <v>299</v>
      </c>
      <c r="H990" s="144">
        <f>bargiri[[#This Row],[میزان بارگیری شده]]*bargiri[[#This Row],[فی]]</f>
        <v>1290800000</v>
      </c>
      <c r="I990" s="360">
        <f>IF(year=bargiri[[#This Row],[سال]],1,0)</f>
        <v>0</v>
      </c>
      <c r="J990" s="360" t="str">
        <f>VLOOKUP(bargiri[[#This Row],[شماره پیش فاکتور]],invoice[],16,0)</f>
        <v>عادی</v>
      </c>
      <c r="K990" s="252">
        <f>bargiri[[#This Row],[فی]]*bargiri[[#This Row],[میزان بارگیری شده]]</f>
        <v>1290800000</v>
      </c>
      <c r="X990" s="1"/>
      <c r="Y990" s="1"/>
      <c r="Z990" s="1"/>
    </row>
    <row r="991" spans="1:26" ht="18.600000000000001">
      <c r="A991" s="360" t="s">
        <v>879</v>
      </c>
      <c r="B991" s="360" t="s">
        <v>106</v>
      </c>
      <c r="C991" s="355" t="s">
        <v>44</v>
      </c>
      <c r="D991">
        <v>18395</v>
      </c>
      <c r="E991" s="143">
        <v>80000</v>
      </c>
      <c r="F991" s="117">
        <v>1404</v>
      </c>
      <c r="G991" s="360" t="s">
        <v>299</v>
      </c>
      <c r="H991" s="144">
        <f>bargiri[[#This Row],[میزان بارگیری شده]]*bargiri[[#This Row],[فی]]</f>
        <v>1471600000</v>
      </c>
      <c r="I991" s="360">
        <f>IF(year=bargiri[[#This Row],[سال]],1,0)</f>
        <v>0</v>
      </c>
      <c r="J991" s="360" t="str">
        <f>VLOOKUP(bargiri[[#This Row],[شماره پیش فاکتور]],invoice[],16,0)</f>
        <v>عادی</v>
      </c>
      <c r="K991" s="252">
        <f>bargiri[[#This Row],[فی]]*bargiri[[#This Row],[میزان بارگیری شده]]</f>
        <v>1471600000</v>
      </c>
      <c r="X991" s="1"/>
      <c r="Y991" s="1"/>
      <c r="Z991" s="1"/>
    </row>
    <row r="992" spans="1:26" ht="18.600000000000001">
      <c r="A992" s="360" t="s">
        <v>875</v>
      </c>
      <c r="B992" s="360" t="s">
        <v>106</v>
      </c>
      <c r="C992" s="355" t="s">
        <v>44</v>
      </c>
      <c r="D992">
        <v>16235</v>
      </c>
      <c r="E992" s="143">
        <v>80000</v>
      </c>
      <c r="F992" s="117">
        <v>1404</v>
      </c>
      <c r="G992" s="360" t="s">
        <v>299</v>
      </c>
      <c r="H992" s="144">
        <f>bargiri[[#This Row],[میزان بارگیری شده]]*bargiri[[#This Row],[فی]]</f>
        <v>1298800000</v>
      </c>
      <c r="I992" s="360">
        <f>IF(year=bargiri[[#This Row],[سال]],1,0)</f>
        <v>0</v>
      </c>
      <c r="J992" s="360" t="str">
        <f>VLOOKUP(bargiri[[#This Row],[شماره پیش فاکتور]],invoice[],16,0)</f>
        <v>عادی</v>
      </c>
      <c r="K992" s="252">
        <f>bargiri[[#This Row],[فی]]*bargiri[[#This Row],[میزان بارگیری شده]]</f>
        <v>1298800000</v>
      </c>
      <c r="X992" s="1"/>
      <c r="Y992" s="1"/>
      <c r="Z992" s="1"/>
    </row>
    <row r="993" spans="1:26" ht="18.600000000000001">
      <c r="A993" s="360" t="s">
        <v>875</v>
      </c>
      <c r="B993" s="360" t="s">
        <v>116</v>
      </c>
      <c r="C993" s="355" t="s">
        <v>833</v>
      </c>
      <c r="D993">
        <v>19200</v>
      </c>
      <c r="E993" s="143">
        <v>167500</v>
      </c>
      <c r="F993" s="117">
        <v>1404</v>
      </c>
      <c r="G993" s="360" t="s">
        <v>299</v>
      </c>
      <c r="H993" s="144">
        <f>bargiri[[#This Row],[میزان بارگیری شده]]*bargiri[[#This Row],[فی]]</f>
        <v>3216000000</v>
      </c>
      <c r="I993" s="360">
        <f>IF(year=bargiri[[#This Row],[سال]],1,0)</f>
        <v>0</v>
      </c>
      <c r="J993" s="360" t="str">
        <f>VLOOKUP(bargiri[[#This Row],[شماره پیش فاکتور]],invoice[],16,0)</f>
        <v>بورس</v>
      </c>
      <c r="K993" s="252">
        <f>bargiri[[#This Row],[فی]]*bargiri[[#This Row],[میزان بارگیری شده]]</f>
        <v>3216000000</v>
      </c>
      <c r="X993" s="1"/>
      <c r="Y993" s="1"/>
      <c r="Z993" s="1"/>
    </row>
    <row r="994" spans="1:26" ht="18.600000000000001">
      <c r="A994" s="360" t="s">
        <v>875</v>
      </c>
      <c r="B994" s="360" t="s">
        <v>116</v>
      </c>
      <c r="C994" s="355" t="s">
        <v>538</v>
      </c>
      <c r="D994">
        <v>8140</v>
      </c>
      <c r="E994" s="143">
        <v>80000</v>
      </c>
      <c r="F994" s="117">
        <v>1404</v>
      </c>
      <c r="G994" s="360" t="s">
        <v>299</v>
      </c>
      <c r="H994" s="144">
        <f>bargiri[[#This Row],[میزان بارگیری شده]]*bargiri[[#This Row],[فی]]</f>
        <v>651200000</v>
      </c>
      <c r="I994" s="360">
        <f>IF(year=bargiri[[#This Row],[سال]],1,0)</f>
        <v>0</v>
      </c>
      <c r="J994" s="360" t="str">
        <f>VLOOKUP(bargiri[[#This Row],[شماره پیش فاکتور]],invoice[],16,0)</f>
        <v>تعادلی</v>
      </c>
      <c r="K994" s="252">
        <f>bargiri[[#This Row],[فی]]*bargiri[[#This Row],[میزان بارگیری شده]]</f>
        <v>651200000</v>
      </c>
      <c r="X994" s="1"/>
      <c r="Y994" s="1"/>
      <c r="Z994" s="1"/>
    </row>
    <row r="995" spans="1:26" ht="18.600000000000001">
      <c r="A995" s="360" t="s">
        <v>875</v>
      </c>
      <c r="B995" s="360" t="s">
        <v>117</v>
      </c>
      <c r="C995" s="355" t="s">
        <v>712</v>
      </c>
      <c r="D995">
        <v>9280</v>
      </c>
      <c r="E995" s="143">
        <v>116500</v>
      </c>
      <c r="F995" s="117">
        <v>1404</v>
      </c>
      <c r="G995" s="360" t="s">
        <v>299</v>
      </c>
      <c r="H995" s="144">
        <f>bargiri[[#This Row],[میزان بارگیری شده]]*bargiri[[#This Row],[فی]]</f>
        <v>1081120000</v>
      </c>
      <c r="I995" s="360">
        <f>IF(year=bargiri[[#This Row],[سال]],1,0)</f>
        <v>0</v>
      </c>
      <c r="J995" s="360" t="str">
        <f>VLOOKUP(bargiri[[#This Row],[شماره پیش فاکتور]],invoice[],16,0)</f>
        <v>تعادلی</v>
      </c>
      <c r="K995" s="252">
        <f>bargiri[[#This Row],[فی]]*bargiri[[#This Row],[میزان بارگیری شده]]</f>
        <v>1081120000</v>
      </c>
      <c r="X995" s="1"/>
      <c r="Y995" s="1"/>
      <c r="Z995" s="1"/>
    </row>
    <row r="996" spans="1:26" ht="18.600000000000001">
      <c r="A996" s="360" t="s">
        <v>875</v>
      </c>
      <c r="B996" s="360" t="s">
        <v>117</v>
      </c>
      <c r="C996" s="355" t="s">
        <v>634</v>
      </c>
      <c r="D996">
        <v>10970</v>
      </c>
      <c r="E996" s="143">
        <v>120000</v>
      </c>
      <c r="F996" s="117">
        <v>1404</v>
      </c>
      <c r="G996" s="360" t="s">
        <v>299</v>
      </c>
      <c r="H996" s="144">
        <f>bargiri[[#This Row],[میزان بارگیری شده]]*bargiri[[#This Row],[فی]]</f>
        <v>1316400000</v>
      </c>
      <c r="I996" s="360">
        <f>IF(year=bargiri[[#This Row],[سال]],1,0)</f>
        <v>0</v>
      </c>
      <c r="J996" s="360" t="str">
        <f>VLOOKUP(bargiri[[#This Row],[شماره پیش فاکتور]],invoice[],16,0)</f>
        <v>عادی</v>
      </c>
      <c r="K996" s="252">
        <f>bargiri[[#This Row],[فی]]*bargiri[[#This Row],[میزان بارگیری شده]]</f>
        <v>1316400000</v>
      </c>
      <c r="X996" s="1"/>
      <c r="Y996" s="1"/>
      <c r="Z996" s="1"/>
    </row>
    <row r="997" spans="1:26" ht="18.600000000000001">
      <c r="A997" s="360" t="s">
        <v>875</v>
      </c>
      <c r="B997" s="360" t="s">
        <v>98</v>
      </c>
      <c r="C997" s="355" t="s">
        <v>873</v>
      </c>
      <c r="D997">
        <v>23300</v>
      </c>
      <c r="E997" s="143">
        <v>167500</v>
      </c>
      <c r="F997" s="117">
        <v>1404</v>
      </c>
      <c r="G997" s="360" t="s">
        <v>299</v>
      </c>
      <c r="H997" s="144">
        <f>bargiri[[#This Row],[میزان بارگیری شده]]*bargiri[[#This Row],[فی]]</f>
        <v>3902750000</v>
      </c>
      <c r="I997" s="360">
        <f>IF(year=bargiri[[#This Row],[سال]],1,0)</f>
        <v>0</v>
      </c>
      <c r="J997" s="360" t="str">
        <f>VLOOKUP(bargiri[[#This Row],[شماره پیش فاکتور]],invoice[],16,0)</f>
        <v>بورس</v>
      </c>
      <c r="K997" s="252">
        <f>bargiri[[#This Row],[فی]]*bargiri[[#This Row],[میزان بارگیری شده]]</f>
        <v>3902750000</v>
      </c>
      <c r="X997" s="1"/>
      <c r="Y997" s="1"/>
      <c r="Z997" s="1"/>
    </row>
    <row r="998" spans="1:26" ht="18.600000000000001">
      <c r="A998" s="360" t="s">
        <v>875</v>
      </c>
      <c r="B998" s="360" t="s">
        <v>116</v>
      </c>
      <c r="C998" s="355" t="s">
        <v>538</v>
      </c>
      <c r="D998">
        <v>21165</v>
      </c>
      <c r="E998" s="143">
        <v>80000</v>
      </c>
      <c r="F998" s="117">
        <v>1404</v>
      </c>
      <c r="G998" s="360" t="s">
        <v>299</v>
      </c>
      <c r="H998" s="144">
        <f>bargiri[[#This Row],[میزان بارگیری شده]]*bargiri[[#This Row],[فی]]</f>
        <v>1693200000</v>
      </c>
      <c r="I998" s="360">
        <f>IF(year=bargiri[[#This Row],[سال]],1,0)</f>
        <v>0</v>
      </c>
      <c r="J998" s="360" t="str">
        <f>VLOOKUP(bargiri[[#This Row],[شماره پیش فاکتور]],invoice[],16,0)</f>
        <v>تعادلی</v>
      </c>
      <c r="K998" s="252">
        <f>bargiri[[#This Row],[فی]]*bargiri[[#This Row],[میزان بارگیری شده]]</f>
        <v>1693200000</v>
      </c>
      <c r="X998" s="1"/>
      <c r="Y998" s="1"/>
      <c r="Z998" s="1"/>
    </row>
    <row r="999" spans="1:26" ht="18.600000000000001">
      <c r="A999" s="360" t="s">
        <v>874</v>
      </c>
      <c r="B999" s="360" t="s">
        <v>122</v>
      </c>
      <c r="C999" s="355" t="s">
        <v>568</v>
      </c>
      <c r="D999">
        <v>14840</v>
      </c>
      <c r="E999" s="143">
        <v>142000</v>
      </c>
      <c r="F999" s="117">
        <v>1404</v>
      </c>
      <c r="G999" s="360" t="s">
        <v>299</v>
      </c>
      <c r="H999" s="144">
        <f>bargiri[[#This Row],[میزان بارگیری شده]]*bargiri[[#This Row],[فی]]</f>
        <v>2107280000</v>
      </c>
      <c r="I999" s="360">
        <f>IF(year=bargiri[[#This Row],[سال]],1,0)</f>
        <v>0</v>
      </c>
      <c r="J999" s="360" t="str">
        <f>VLOOKUP(bargiri[[#This Row],[شماره پیش فاکتور]],invoice[],16,0)</f>
        <v>انجمن</v>
      </c>
      <c r="K999" s="252">
        <f>bargiri[[#This Row],[فی]]*bargiri[[#This Row],[میزان بارگیری شده]]</f>
        <v>2107280000</v>
      </c>
      <c r="X999" s="1"/>
      <c r="Y999" s="1"/>
      <c r="Z999" s="1"/>
    </row>
    <row r="1000" spans="1:26" ht="18.600000000000001">
      <c r="A1000" s="360" t="s">
        <v>874</v>
      </c>
      <c r="B1000" s="360" t="s">
        <v>116</v>
      </c>
      <c r="C1000" s="355" t="s">
        <v>796</v>
      </c>
      <c r="D1000">
        <v>20785</v>
      </c>
      <c r="E1000" s="143">
        <v>167500</v>
      </c>
      <c r="F1000" s="117">
        <v>1404</v>
      </c>
      <c r="G1000" s="360" t="s">
        <v>299</v>
      </c>
      <c r="H1000" s="144">
        <f>bargiri[[#This Row],[میزان بارگیری شده]]*bargiri[[#This Row],[فی]]</f>
        <v>3481487500</v>
      </c>
      <c r="I1000" s="360">
        <f>IF(year=bargiri[[#This Row],[سال]],1,0)</f>
        <v>0</v>
      </c>
      <c r="J1000" s="360" t="str">
        <f>VLOOKUP(bargiri[[#This Row],[شماره پیش فاکتور]],invoice[],16,0)</f>
        <v>بورس</v>
      </c>
      <c r="K1000" s="252">
        <f>bargiri[[#This Row],[فی]]*bargiri[[#This Row],[میزان بارگیری شده]]</f>
        <v>3481487500</v>
      </c>
      <c r="X1000" s="1"/>
      <c r="Y1000" s="1"/>
      <c r="Z1000" s="1"/>
    </row>
    <row r="1001" spans="1:26" ht="18.600000000000001">
      <c r="A1001" s="360" t="s">
        <v>874</v>
      </c>
      <c r="B1001" s="360" t="s">
        <v>101</v>
      </c>
      <c r="C1001" s="355" t="s">
        <v>544</v>
      </c>
      <c r="D1001">
        <v>22885</v>
      </c>
      <c r="E1001" s="143">
        <v>75000</v>
      </c>
      <c r="F1001" s="117">
        <v>1404</v>
      </c>
      <c r="G1001" s="360" t="s">
        <v>299</v>
      </c>
      <c r="H1001" s="144">
        <f>bargiri[[#This Row],[میزان بارگیری شده]]*bargiri[[#This Row],[فی]]</f>
        <v>1716375000</v>
      </c>
      <c r="I1001" s="360">
        <f>IF(year=bargiri[[#This Row],[سال]],1,0)</f>
        <v>0</v>
      </c>
      <c r="J1001" s="360" t="str">
        <f>VLOOKUP(bargiri[[#This Row],[شماره پیش فاکتور]],invoice[],16,0)</f>
        <v>تعادلی</v>
      </c>
      <c r="K1001" s="252">
        <f>bargiri[[#This Row],[فی]]*bargiri[[#This Row],[میزان بارگیری شده]]</f>
        <v>1716375000</v>
      </c>
      <c r="X1001" s="1"/>
      <c r="Y1001" s="1"/>
      <c r="Z1001" s="1"/>
    </row>
    <row r="1002" spans="1:26" ht="18.600000000000001">
      <c r="A1002" s="360" t="s">
        <v>874</v>
      </c>
      <c r="B1002" s="360" t="s">
        <v>105</v>
      </c>
      <c r="C1002" s="355" t="s">
        <v>553</v>
      </c>
      <c r="D1002">
        <v>19725</v>
      </c>
      <c r="E1002" s="143">
        <v>142000</v>
      </c>
      <c r="F1002" s="117">
        <v>1404</v>
      </c>
      <c r="G1002" s="360" t="s">
        <v>299</v>
      </c>
      <c r="H1002" s="144">
        <f>bargiri[[#This Row],[میزان بارگیری شده]]*bargiri[[#This Row],[فی]]</f>
        <v>2800950000</v>
      </c>
      <c r="I1002" s="360">
        <f>IF(year=bargiri[[#This Row],[سال]],1,0)</f>
        <v>0</v>
      </c>
      <c r="J1002" s="360" t="str">
        <f>VLOOKUP(bargiri[[#This Row],[شماره پیش فاکتور]],invoice[],16,0)</f>
        <v>انجمن</v>
      </c>
      <c r="K1002" s="252">
        <f>bargiri[[#This Row],[فی]]*bargiri[[#This Row],[میزان بارگیری شده]]</f>
        <v>2800950000</v>
      </c>
      <c r="X1002" s="1"/>
      <c r="Y1002" s="1"/>
      <c r="Z1002" s="1"/>
    </row>
    <row r="1003" spans="1:26" ht="18.600000000000001">
      <c r="A1003" s="360" t="s">
        <v>874</v>
      </c>
      <c r="B1003" s="360" t="s">
        <v>106</v>
      </c>
      <c r="C1003" s="355" t="s">
        <v>44</v>
      </c>
      <c r="D1003">
        <v>20235</v>
      </c>
      <c r="E1003" s="143">
        <v>80000</v>
      </c>
      <c r="F1003" s="117">
        <v>1404</v>
      </c>
      <c r="G1003" s="360" t="s">
        <v>299</v>
      </c>
      <c r="H1003" s="144">
        <f>bargiri[[#This Row],[میزان بارگیری شده]]*bargiri[[#This Row],[فی]]</f>
        <v>1618800000</v>
      </c>
      <c r="I1003" s="360">
        <f>IF(year=bargiri[[#This Row],[سال]],1,0)</f>
        <v>0</v>
      </c>
      <c r="J1003" s="360" t="str">
        <f>VLOOKUP(bargiri[[#This Row],[شماره پیش فاکتور]],invoice[],16,0)</f>
        <v>عادی</v>
      </c>
      <c r="K1003" s="252">
        <f>bargiri[[#This Row],[فی]]*bargiri[[#This Row],[میزان بارگیری شده]]</f>
        <v>1618800000</v>
      </c>
      <c r="X1003" s="1"/>
      <c r="Y1003" s="1"/>
      <c r="Z1003" s="1"/>
    </row>
    <row r="1004" spans="1:26" ht="18.600000000000001">
      <c r="A1004" s="360" t="s">
        <v>874</v>
      </c>
      <c r="B1004" s="360" t="s">
        <v>104</v>
      </c>
      <c r="C1004" s="355" t="s">
        <v>640</v>
      </c>
      <c r="D1004">
        <v>19810</v>
      </c>
      <c r="E1004" s="143">
        <v>79520</v>
      </c>
      <c r="F1004" s="117">
        <v>1404</v>
      </c>
      <c r="G1004" s="360" t="s">
        <v>299</v>
      </c>
      <c r="H1004" s="144">
        <f>bargiri[[#This Row],[میزان بارگیری شده]]*bargiri[[#This Row],[فی]]</f>
        <v>1575291200</v>
      </c>
      <c r="I1004" s="360">
        <f>IF(year=bargiri[[#This Row],[سال]],1,0)</f>
        <v>0</v>
      </c>
      <c r="J1004" s="360" t="str">
        <f>VLOOKUP(bargiri[[#This Row],[شماره پیش فاکتور]],invoice[],16,0)</f>
        <v>تعادلی</v>
      </c>
      <c r="K1004" s="252">
        <f>bargiri[[#This Row],[فی]]*bargiri[[#This Row],[میزان بارگیری شده]]</f>
        <v>1575291200</v>
      </c>
      <c r="X1004" s="1"/>
      <c r="Y1004" s="1"/>
      <c r="Z1004" s="1"/>
    </row>
    <row r="1005" spans="1:26" ht="18.600000000000001">
      <c r="A1005" s="360" t="s">
        <v>869</v>
      </c>
      <c r="B1005" s="360" t="s">
        <v>100</v>
      </c>
      <c r="C1005" s="355" t="s">
        <v>555</v>
      </c>
      <c r="D1005">
        <v>6745</v>
      </c>
      <c r="E1005" s="143">
        <v>142000</v>
      </c>
      <c r="F1005" s="117">
        <v>1404</v>
      </c>
      <c r="G1005" s="360" t="s">
        <v>299</v>
      </c>
      <c r="H1005" s="144">
        <f>bargiri[[#This Row],[میزان بارگیری شده]]*bargiri[[#This Row],[فی]]</f>
        <v>957790000</v>
      </c>
      <c r="I1005" s="360">
        <f>IF(year=bargiri[[#This Row],[سال]],1,0)</f>
        <v>0</v>
      </c>
      <c r="J1005" s="360" t="str">
        <f>VLOOKUP(bargiri[[#This Row],[شماره پیش فاکتور]],invoice[],16,0)</f>
        <v>انجمن</v>
      </c>
      <c r="K1005" s="252">
        <f>bargiri[[#This Row],[فی]]*bargiri[[#This Row],[میزان بارگیری شده]]</f>
        <v>957790000</v>
      </c>
      <c r="X1005" s="1"/>
      <c r="Y1005" s="1"/>
      <c r="Z1005" s="1"/>
    </row>
    <row r="1006" spans="1:26" ht="18.600000000000001">
      <c r="A1006" s="360" t="s">
        <v>869</v>
      </c>
      <c r="B1006" s="360" t="s">
        <v>116</v>
      </c>
      <c r="C1006" s="355" t="s">
        <v>775</v>
      </c>
      <c r="D1006">
        <v>18555</v>
      </c>
      <c r="E1006" s="143">
        <v>74000</v>
      </c>
      <c r="F1006" s="117">
        <v>1404</v>
      </c>
      <c r="G1006" s="360" t="s">
        <v>299</v>
      </c>
      <c r="H1006" s="144">
        <f>bargiri[[#This Row],[میزان بارگیری شده]]*bargiri[[#This Row],[فی]]</f>
        <v>1373070000</v>
      </c>
      <c r="I1006" s="360">
        <f>IF(year=bargiri[[#This Row],[سال]],1,0)</f>
        <v>0</v>
      </c>
      <c r="J1006" s="360" t="str">
        <f>VLOOKUP(bargiri[[#This Row],[شماره پیش فاکتور]],invoice[],16,0)</f>
        <v>تعادلی</v>
      </c>
      <c r="K1006" s="252">
        <f>bargiri[[#This Row],[فی]]*bargiri[[#This Row],[میزان بارگیری شده]]</f>
        <v>1373070000</v>
      </c>
      <c r="X1006" s="1"/>
      <c r="Y1006" s="1"/>
      <c r="Z1006" s="1"/>
    </row>
    <row r="1007" spans="1:26" ht="18.600000000000001">
      <c r="A1007" s="360" t="s">
        <v>869</v>
      </c>
      <c r="B1007" s="360" t="s">
        <v>116</v>
      </c>
      <c r="C1007" s="355" t="s">
        <v>538</v>
      </c>
      <c r="D1007">
        <v>2530</v>
      </c>
      <c r="E1007" s="143">
        <v>80000</v>
      </c>
      <c r="F1007" s="117">
        <v>1404</v>
      </c>
      <c r="G1007" s="360" t="s">
        <v>299</v>
      </c>
      <c r="H1007" s="144">
        <f>bargiri[[#This Row],[میزان بارگیری شده]]*bargiri[[#This Row],[فی]]</f>
        <v>202400000</v>
      </c>
      <c r="I1007" s="360">
        <f>IF(year=bargiri[[#This Row],[سال]],1,0)</f>
        <v>0</v>
      </c>
      <c r="J1007" s="360" t="str">
        <f>VLOOKUP(bargiri[[#This Row],[شماره پیش فاکتور]],invoice[],16,0)</f>
        <v>تعادلی</v>
      </c>
      <c r="K1007" s="252">
        <f>bargiri[[#This Row],[فی]]*bargiri[[#This Row],[میزان بارگیری شده]]</f>
        <v>202400000</v>
      </c>
      <c r="X1007" s="1"/>
      <c r="Y1007" s="1"/>
      <c r="Z1007" s="1"/>
    </row>
    <row r="1008" spans="1:26" ht="18.600000000000001">
      <c r="A1008" s="360" t="s">
        <v>869</v>
      </c>
      <c r="B1008" s="360" t="s">
        <v>125</v>
      </c>
      <c r="C1008" s="355" t="s">
        <v>870</v>
      </c>
      <c r="D1008">
        <v>14310</v>
      </c>
      <c r="E1008" s="143">
        <v>135000</v>
      </c>
      <c r="F1008" s="117">
        <v>1404</v>
      </c>
      <c r="G1008" s="360" t="s">
        <v>299</v>
      </c>
      <c r="H1008" s="144">
        <f>bargiri[[#This Row],[میزان بارگیری شده]]*bargiri[[#This Row],[فی]]</f>
        <v>1931850000</v>
      </c>
      <c r="I1008" s="360">
        <f>IF(year=bargiri[[#This Row],[سال]],1,0)</f>
        <v>0</v>
      </c>
      <c r="J1008" s="360" t="str">
        <f>VLOOKUP(bargiri[[#This Row],[شماره پیش فاکتور]],invoice[],16,0)</f>
        <v>عادی</v>
      </c>
      <c r="K1008" s="252">
        <f>bargiri[[#This Row],[فی]]*bargiri[[#This Row],[میزان بارگیری شده]]</f>
        <v>1931850000</v>
      </c>
      <c r="X1008" s="1"/>
      <c r="Y1008" s="1"/>
      <c r="Z1008" s="1"/>
    </row>
    <row r="1009" spans="1:26" ht="18.600000000000001">
      <c r="A1009" s="360" t="s">
        <v>869</v>
      </c>
      <c r="B1009" s="360" t="s">
        <v>125</v>
      </c>
      <c r="C1009" s="355" t="s">
        <v>570</v>
      </c>
      <c r="D1009">
        <v>13650</v>
      </c>
      <c r="E1009" s="143">
        <v>142000</v>
      </c>
      <c r="F1009" s="117">
        <v>1404</v>
      </c>
      <c r="G1009" s="360" t="s">
        <v>299</v>
      </c>
      <c r="H1009" s="144">
        <f>bargiri[[#This Row],[میزان بارگیری شده]]*bargiri[[#This Row],[فی]]</f>
        <v>1938300000</v>
      </c>
      <c r="I1009" s="360">
        <f>IF(year=bargiri[[#This Row],[سال]],1,0)</f>
        <v>0</v>
      </c>
      <c r="J1009" s="360" t="str">
        <f>VLOOKUP(bargiri[[#This Row],[شماره پیش فاکتور]],invoice[],16,0)</f>
        <v>انجمن</v>
      </c>
      <c r="K1009" s="252">
        <f>bargiri[[#This Row],[فی]]*bargiri[[#This Row],[میزان بارگیری شده]]</f>
        <v>1938300000</v>
      </c>
      <c r="X1009" s="1"/>
      <c r="Y1009" s="1"/>
      <c r="Z1009" s="1"/>
    </row>
    <row r="1010" spans="1:26" ht="18.600000000000001">
      <c r="A1010" s="360" t="s">
        <v>869</v>
      </c>
      <c r="B1010" s="360" t="s">
        <v>125</v>
      </c>
      <c r="C1010" s="355" t="s">
        <v>870</v>
      </c>
      <c r="D1010">
        <v>775</v>
      </c>
      <c r="E1010" s="143">
        <v>135000</v>
      </c>
      <c r="F1010" s="117">
        <v>1404</v>
      </c>
      <c r="G1010" s="360" t="s">
        <v>299</v>
      </c>
      <c r="H1010" s="144">
        <f>bargiri[[#This Row],[میزان بارگیری شده]]*bargiri[[#This Row],[فی]]</f>
        <v>104625000</v>
      </c>
      <c r="I1010" s="360">
        <f>IF(year=bargiri[[#This Row],[سال]],1,0)</f>
        <v>0</v>
      </c>
      <c r="J1010" s="360" t="str">
        <f>VLOOKUP(bargiri[[#This Row],[شماره پیش فاکتور]],invoice[],16,0)</f>
        <v>عادی</v>
      </c>
      <c r="K1010" s="252">
        <f>bargiri[[#This Row],[فی]]*bargiri[[#This Row],[میزان بارگیری شده]]</f>
        <v>104625000</v>
      </c>
      <c r="X1010" s="1"/>
      <c r="Y1010" s="1"/>
      <c r="Z1010" s="1"/>
    </row>
    <row r="1011" spans="1:26" ht="18.600000000000001">
      <c r="A1011" s="360" t="s">
        <v>869</v>
      </c>
      <c r="B1011" s="360" t="s">
        <v>106</v>
      </c>
      <c r="C1011" s="355" t="s">
        <v>44</v>
      </c>
      <c r="D1011">
        <v>22180</v>
      </c>
      <c r="E1011" s="143">
        <v>80000</v>
      </c>
      <c r="F1011" s="117">
        <v>1404</v>
      </c>
      <c r="G1011" s="360" t="s">
        <v>299</v>
      </c>
      <c r="H1011" s="144">
        <f>bargiri[[#This Row],[میزان بارگیری شده]]*bargiri[[#This Row],[فی]]</f>
        <v>1774400000</v>
      </c>
      <c r="I1011" s="360">
        <f>IF(year=bargiri[[#This Row],[سال]],1,0)</f>
        <v>0</v>
      </c>
      <c r="J1011" s="360" t="str">
        <f>VLOOKUP(bargiri[[#This Row],[شماره پیش فاکتور]],invoice[],16,0)</f>
        <v>عادی</v>
      </c>
      <c r="K1011" s="252">
        <f>bargiri[[#This Row],[فی]]*bargiri[[#This Row],[میزان بارگیری شده]]</f>
        <v>1774400000</v>
      </c>
      <c r="X1011" s="1"/>
      <c r="Y1011" s="1"/>
      <c r="Z1011" s="1"/>
    </row>
    <row r="1012" spans="1:26" ht="18.600000000000001">
      <c r="A1012" s="360" t="s">
        <v>869</v>
      </c>
      <c r="B1012" s="360" t="s">
        <v>101</v>
      </c>
      <c r="C1012" s="355" t="s">
        <v>617</v>
      </c>
      <c r="D1012">
        <v>20000</v>
      </c>
      <c r="E1012" s="143">
        <v>167500</v>
      </c>
      <c r="F1012" s="117">
        <v>1404</v>
      </c>
      <c r="G1012" s="360" t="s">
        <v>299</v>
      </c>
      <c r="H1012" s="144">
        <f>bargiri[[#This Row],[میزان بارگیری شده]]*bargiri[[#This Row],[فی]]</f>
        <v>3350000000</v>
      </c>
      <c r="I1012" s="360">
        <f>IF(year=bargiri[[#This Row],[سال]],1,0)</f>
        <v>0</v>
      </c>
      <c r="J1012" s="360" t="str">
        <f>VLOOKUP(bargiri[[#This Row],[شماره پیش فاکتور]],invoice[],16,0)</f>
        <v>بورس</v>
      </c>
      <c r="K1012" s="252">
        <f>bargiri[[#This Row],[فی]]*bargiri[[#This Row],[میزان بارگیری شده]]</f>
        <v>3350000000</v>
      </c>
      <c r="X1012" s="1"/>
      <c r="Y1012" s="1"/>
      <c r="Z1012" s="1"/>
    </row>
    <row r="1013" spans="1:26" ht="18.600000000000001">
      <c r="A1013" s="360" t="s">
        <v>869</v>
      </c>
      <c r="B1013" s="360" t="s">
        <v>101</v>
      </c>
      <c r="C1013" s="355" t="s">
        <v>695</v>
      </c>
      <c r="D1013">
        <v>2250</v>
      </c>
      <c r="E1013" s="143">
        <v>167500</v>
      </c>
      <c r="F1013" s="117">
        <v>1404</v>
      </c>
      <c r="G1013" s="360" t="s">
        <v>299</v>
      </c>
      <c r="H1013" s="144">
        <f>bargiri[[#This Row],[میزان بارگیری شده]]*bargiri[[#This Row],[فی]]</f>
        <v>376875000</v>
      </c>
      <c r="I1013" s="360">
        <f>IF(year=bargiri[[#This Row],[سال]],1,0)</f>
        <v>0</v>
      </c>
      <c r="J1013" s="360" t="str">
        <f>VLOOKUP(bargiri[[#This Row],[شماره پیش فاکتور]],invoice[],16,0)</f>
        <v>بورس</v>
      </c>
      <c r="K1013" s="252">
        <f>bargiri[[#This Row],[فی]]*bargiri[[#This Row],[میزان بارگیری شده]]</f>
        <v>376875000</v>
      </c>
      <c r="X1013" s="1"/>
      <c r="Y1013" s="1"/>
      <c r="Z1013" s="1"/>
    </row>
    <row r="1014" spans="1:26" ht="18.600000000000001">
      <c r="A1014" s="360" t="s">
        <v>871</v>
      </c>
      <c r="B1014" s="360" t="s">
        <v>114</v>
      </c>
      <c r="C1014" s="355" t="s">
        <v>62</v>
      </c>
      <c r="D1014">
        <v>20035</v>
      </c>
      <c r="E1014" s="143">
        <v>75000</v>
      </c>
      <c r="F1014" s="117">
        <v>1404</v>
      </c>
      <c r="G1014" s="360" t="s">
        <v>299</v>
      </c>
      <c r="H1014" s="144">
        <f>bargiri[[#This Row],[میزان بارگیری شده]]*bargiri[[#This Row],[فی]]</f>
        <v>1502625000</v>
      </c>
      <c r="I1014" s="360">
        <f>IF(year=bargiri[[#This Row],[سال]],1,0)</f>
        <v>0</v>
      </c>
      <c r="J1014" s="360" t="str">
        <f>VLOOKUP(bargiri[[#This Row],[شماره پیش فاکتور]],invoice[],16,0)</f>
        <v>عادی</v>
      </c>
      <c r="K1014" s="252">
        <f>bargiri[[#This Row],[فی]]*bargiri[[#This Row],[میزان بارگیری شده]]</f>
        <v>1502625000</v>
      </c>
      <c r="X1014" s="1"/>
      <c r="Y1014" s="1"/>
      <c r="Z1014" s="1"/>
    </row>
    <row r="1015" spans="1:26" ht="18.600000000000001">
      <c r="A1015" s="360" t="s">
        <v>871</v>
      </c>
      <c r="B1015" s="360" t="s">
        <v>116</v>
      </c>
      <c r="C1015" s="355" t="s">
        <v>796</v>
      </c>
      <c r="D1015">
        <v>21150</v>
      </c>
      <c r="E1015" s="143">
        <v>167500</v>
      </c>
      <c r="F1015" s="117">
        <v>1404</v>
      </c>
      <c r="G1015" s="360" t="s">
        <v>299</v>
      </c>
      <c r="H1015" s="144">
        <f>bargiri[[#This Row],[میزان بارگیری شده]]*bargiri[[#This Row],[فی]]</f>
        <v>3542625000</v>
      </c>
      <c r="I1015" s="360">
        <f>IF(year=bargiri[[#This Row],[سال]],1,0)</f>
        <v>0</v>
      </c>
      <c r="J1015" s="360" t="str">
        <f>VLOOKUP(bargiri[[#This Row],[شماره پیش فاکتور]],invoice[],16,0)</f>
        <v>بورس</v>
      </c>
      <c r="K1015" s="252">
        <f>bargiri[[#This Row],[فی]]*bargiri[[#This Row],[میزان بارگیری شده]]</f>
        <v>3542625000</v>
      </c>
      <c r="X1015" s="1"/>
      <c r="Y1015" s="1"/>
      <c r="Z1015" s="1"/>
    </row>
    <row r="1016" spans="1:26" ht="18.600000000000001">
      <c r="A1016" s="360" t="s">
        <v>871</v>
      </c>
      <c r="B1016" s="360" t="s">
        <v>102</v>
      </c>
      <c r="C1016" s="355" t="s">
        <v>22</v>
      </c>
      <c r="D1016">
        <v>11505</v>
      </c>
      <c r="E1016" s="143">
        <v>89000</v>
      </c>
      <c r="F1016" s="117">
        <v>1404</v>
      </c>
      <c r="G1016" s="360" t="s">
        <v>299</v>
      </c>
      <c r="H1016" s="144">
        <f>bargiri[[#This Row],[میزان بارگیری شده]]*bargiri[[#This Row],[فی]]</f>
        <v>1023945000</v>
      </c>
      <c r="I1016" s="360">
        <f>IF(year=bargiri[[#This Row],[سال]],1,0)</f>
        <v>0</v>
      </c>
      <c r="J1016" s="360" t="str">
        <f>VLOOKUP(bargiri[[#This Row],[شماره پیش فاکتور]],invoice[],16,0)</f>
        <v>عادی</v>
      </c>
      <c r="K1016" s="252">
        <f>bargiri[[#This Row],[فی]]*bargiri[[#This Row],[میزان بارگیری شده]]</f>
        <v>1023945000</v>
      </c>
      <c r="X1016" s="1"/>
      <c r="Y1016" s="1"/>
      <c r="Z1016" s="1"/>
    </row>
    <row r="1017" spans="1:26" ht="18.600000000000001">
      <c r="A1017" s="360" t="s">
        <v>871</v>
      </c>
      <c r="B1017" s="360" t="s">
        <v>116</v>
      </c>
      <c r="C1017" s="355" t="s">
        <v>775</v>
      </c>
      <c r="D1017">
        <v>21130</v>
      </c>
      <c r="E1017" s="143">
        <v>74000</v>
      </c>
      <c r="F1017" s="117">
        <v>1404</v>
      </c>
      <c r="G1017" s="360" t="s">
        <v>299</v>
      </c>
      <c r="H1017" s="144">
        <f>bargiri[[#This Row],[میزان بارگیری شده]]*bargiri[[#This Row],[فی]]</f>
        <v>1563620000</v>
      </c>
      <c r="I1017" s="360">
        <f>IF(year=bargiri[[#This Row],[سال]],1,0)</f>
        <v>0</v>
      </c>
      <c r="J1017" s="360" t="str">
        <f>VLOOKUP(bargiri[[#This Row],[شماره پیش فاکتور]],invoice[],16,0)</f>
        <v>تعادلی</v>
      </c>
      <c r="K1017" s="252">
        <f>bargiri[[#This Row],[فی]]*bargiri[[#This Row],[میزان بارگیری شده]]</f>
        <v>1563620000</v>
      </c>
      <c r="X1017" s="1"/>
      <c r="Y1017" s="1"/>
      <c r="Z1017" s="1"/>
    </row>
    <row r="1018" spans="1:26" ht="18.600000000000001">
      <c r="A1018" s="360" t="s">
        <v>868</v>
      </c>
      <c r="B1018" s="360" t="s">
        <v>109</v>
      </c>
      <c r="C1018" s="355" t="s">
        <v>563</v>
      </c>
      <c r="D1018">
        <v>7260</v>
      </c>
      <c r="E1018" s="143">
        <v>142000</v>
      </c>
      <c r="F1018" s="117">
        <v>1404</v>
      </c>
      <c r="G1018" s="360" t="s">
        <v>299</v>
      </c>
      <c r="H1018" s="144">
        <f>bargiri[[#This Row],[میزان بارگیری شده]]*bargiri[[#This Row],[فی]]</f>
        <v>1030920000</v>
      </c>
      <c r="I1018" s="360">
        <f>IF(year=bargiri[[#This Row],[سال]],1,0)</f>
        <v>0</v>
      </c>
      <c r="J1018" s="360" t="str">
        <f>VLOOKUP(bargiri[[#This Row],[شماره پیش فاکتور]],invoice[],16,0)</f>
        <v>انجمن</v>
      </c>
      <c r="K1018" s="252">
        <f>bargiri[[#This Row],[فی]]*bargiri[[#This Row],[میزان بارگیری شده]]</f>
        <v>1030920000</v>
      </c>
      <c r="X1018" s="1"/>
      <c r="Y1018" s="1"/>
      <c r="Z1018" s="1"/>
    </row>
    <row r="1019" spans="1:26" ht="18.600000000000001">
      <c r="A1019" s="360" t="s">
        <v>868</v>
      </c>
      <c r="B1019" s="360" t="s">
        <v>100</v>
      </c>
      <c r="C1019" s="355" t="s">
        <v>555</v>
      </c>
      <c r="D1019">
        <v>6860</v>
      </c>
      <c r="E1019" s="143">
        <v>142000</v>
      </c>
      <c r="F1019" s="117">
        <v>1404</v>
      </c>
      <c r="G1019" s="360" t="s">
        <v>299</v>
      </c>
      <c r="H1019" s="144">
        <f>bargiri[[#This Row],[میزان بارگیری شده]]*bargiri[[#This Row],[فی]]</f>
        <v>974120000</v>
      </c>
      <c r="I1019" s="360">
        <f>IF(year=bargiri[[#This Row],[سال]],1,0)</f>
        <v>0</v>
      </c>
      <c r="J1019" s="360" t="str">
        <f>VLOOKUP(bargiri[[#This Row],[شماره پیش فاکتور]],invoice[],16,0)</f>
        <v>انجمن</v>
      </c>
      <c r="K1019" s="252">
        <f>bargiri[[#This Row],[فی]]*bargiri[[#This Row],[میزان بارگیری شده]]</f>
        <v>974120000</v>
      </c>
      <c r="X1019" s="1"/>
      <c r="Y1019" s="1"/>
      <c r="Z1019" s="1"/>
    </row>
    <row r="1020" spans="1:26" ht="18.600000000000001">
      <c r="A1020" s="360" t="s">
        <v>868</v>
      </c>
      <c r="B1020" s="360" t="s">
        <v>109</v>
      </c>
      <c r="C1020" s="355" t="s">
        <v>563</v>
      </c>
      <c r="D1020">
        <v>7345</v>
      </c>
      <c r="E1020" s="143">
        <v>142000</v>
      </c>
      <c r="F1020" s="117">
        <v>1404</v>
      </c>
      <c r="G1020" s="360" t="s">
        <v>299</v>
      </c>
      <c r="H1020" s="144">
        <f>bargiri[[#This Row],[میزان بارگیری شده]]*bargiri[[#This Row],[فی]]</f>
        <v>1042990000</v>
      </c>
      <c r="I1020" s="360">
        <f>IF(year=bargiri[[#This Row],[سال]],1,0)</f>
        <v>0</v>
      </c>
      <c r="J1020" s="360" t="str">
        <f>VLOOKUP(bargiri[[#This Row],[شماره پیش فاکتور]],invoice[],16,0)</f>
        <v>انجمن</v>
      </c>
      <c r="K1020" s="252">
        <f>bargiri[[#This Row],[فی]]*bargiri[[#This Row],[میزان بارگیری شده]]</f>
        <v>1042990000</v>
      </c>
      <c r="X1020" s="1"/>
      <c r="Y1020" s="1"/>
      <c r="Z1020" s="1"/>
    </row>
    <row r="1021" spans="1:26" ht="18.600000000000001">
      <c r="A1021" s="360" t="s">
        <v>868</v>
      </c>
      <c r="B1021" s="360" t="s">
        <v>116</v>
      </c>
      <c r="C1021" s="355" t="s">
        <v>796</v>
      </c>
      <c r="D1021">
        <v>20280</v>
      </c>
      <c r="E1021" s="143">
        <v>167500</v>
      </c>
      <c r="F1021" s="117">
        <v>1404</v>
      </c>
      <c r="G1021" s="360" t="s">
        <v>299</v>
      </c>
      <c r="H1021" s="144">
        <f>bargiri[[#This Row],[میزان بارگیری شده]]*bargiri[[#This Row],[فی]]</f>
        <v>3396900000</v>
      </c>
      <c r="I1021" s="360">
        <f>IF(year=bargiri[[#This Row],[سال]],1,0)</f>
        <v>0</v>
      </c>
      <c r="J1021" s="360" t="str">
        <f>VLOOKUP(bargiri[[#This Row],[شماره پیش فاکتور]],invoice[],16,0)</f>
        <v>بورس</v>
      </c>
      <c r="K1021" s="252">
        <f>bargiri[[#This Row],[فی]]*bargiri[[#This Row],[میزان بارگیری شده]]</f>
        <v>3396900000</v>
      </c>
      <c r="X1021" s="1"/>
      <c r="Y1021" s="1"/>
      <c r="Z1021" s="1"/>
    </row>
    <row r="1022" spans="1:26" ht="18.600000000000001">
      <c r="A1022" s="360" t="s">
        <v>868</v>
      </c>
      <c r="B1022" s="360" t="s">
        <v>114</v>
      </c>
      <c r="C1022" s="355" t="s">
        <v>62</v>
      </c>
      <c r="D1022">
        <v>22975</v>
      </c>
      <c r="E1022" s="143">
        <v>75000</v>
      </c>
      <c r="F1022" s="117">
        <v>1404</v>
      </c>
      <c r="G1022" s="360" t="s">
        <v>299</v>
      </c>
      <c r="H1022" s="144">
        <f>bargiri[[#This Row],[میزان بارگیری شده]]*bargiri[[#This Row],[فی]]</f>
        <v>1723125000</v>
      </c>
      <c r="I1022" s="360">
        <f>IF(year=bargiri[[#This Row],[سال]],1,0)</f>
        <v>0</v>
      </c>
      <c r="J1022" s="360" t="str">
        <f>VLOOKUP(bargiri[[#This Row],[شماره پیش فاکتور]],invoice[],16,0)</f>
        <v>عادی</v>
      </c>
      <c r="K1022" s="252">
        <f>bargiri[[#This Row],[فی]]*bargiri[[#This Row],[میزان بارگیری شده]]</f>
        <v>1723125000</v>
      </c>
      <c r="X1022" s="1"/>
      <c r="Y1022" s="1"/>
      <c r="Z1022" s="1"/>
    </row>
    <row r="1023" spans="1:26" ht="18.600000000000001">
      <c r="A1023" s="360" t="s">
        <v>868</v>
      </c>
      <c r="B1023" s="360" t="s">
        <v>98</v>
      </c>
      <c r="C1023" s="355" t="s">
        <v>856</v>
      </c>
      <c r="D1023">
        <v>15335</v>
      </c>
      <c r="E1023" s="143">
        <v>116500</v>
      </c>
      <c r="F1023" s="117">
        <v>1404</v>
      </c>
      <c r="G1023" s="360" t="s">
        <v>299</v>
      </c>
      <c r="H1023" s="144">
        <f>bargiri[[#This Row],[میزان بارگیری شده]]*bargiri[[#This Row],[فی]]</f>
        <v>1786527500</v>
      </c>
      <c r="I1023" s="360">
        <f>IF(year=bargiri[[#This Row],[سال]],1,0)</f>
        <v>0</v>
      </c>
      <c r="J1023" s="360" t="str">
        <f>VLOOKUP(bargiri[[#This Row],[شماره پیش فاکتور]],invoice[],16,0)</f>
        <v>تعادلی</v>
      </c>
      <c r="K1023" s="252">
        <f>bargiri[[#This Row],[فی]]*bargiri[[#This Row],[میزان بارگیری شده]]</f>
        <v>1786527500</v>
      </c>
      <c r="X1023" s="1"/>
      <c r="Y1023" s="1"/>
      <c r="Z1023" s="1"/>
    </row>
    <row r="1024" spans="1:26" ht="18.600000000000001">
      <c r="A1024" s="360" t="s">
        <v>868</v>
      </c>
      <c r="B1024" s="360" t="s">
        <v>98</v>
      </c>
      <c r="C1024" s="355" t="s">
        <v>636</v>
      </c>
      <c r="D1024">
        <v>7855</v>
      </c>
      <c r="E1024" s="143">
        <v>120000</v>
      </c>
      <c r="F1024" s="117">
        <v>1404</v>
      </c>
      <c r="G1024" s="360" t="s">
        <v>299</v>
      </c>
      <c r="H1024" s="144">
        <f>bargiri[[#This Row],[میزان بارگیری شده]]*bargiri[[#This Row],[فی]]</f>
        <v>942600000</v>
      </c>
      <c r="I1024" s="360">
        <f>IF(year=bargiri[[#This Row],[سال]],1,0)</f>
        <v>0</v>
      </c>
      <c r="J1024" s="360" t="str">
        <f>VLOOKUP(bargiri[[#This Row],[شماره پیش فاکتور]],invoice[],16,0)</f>
        <v>عادی</v>
      </c>
      <c r="K1024" s="252">
        <f>bargiri[[#This Row],[فی]]*bargiri[[#This Row],[میزان بارگیری شده]]</f>
        <v>942600000</v>
      </c>
      <c r="X1024" s="1"/>
      <c r="Y1024" s="1"/>
      <c r="Z1024" s="1"/>
    </row>
    <row r="1025" spans="1:26" ht="18.600000000000001">
      <c r="A1025" s="360" t="s">
        <v>863</v>
      </c>
      <c r="B1025" s="360" t="s">
        <v>106</v>
      </c>
      <c r="C1025" s="355" t="s">
        <v>44</v>
      </c>
      <c r="D1025">
        <v>22275</v>
      </c>
      <c r="E1025" s="143">
        <v>80000</v>
      </c>
      <c r="F1025" s="117">
        <v>1404</v>
      </c>
      <c r="G1025" s="360" t="s">
        <v>299</v>
      </c>
      <c r="H1025" s="144">
        <f>bargiri[[#This Row],[میزان بارگیری شده]]*bargiri[[#This Row],[فی]]</f>
        <v>1782000000</v>
      </c>
      <c r="I1025" s="360">
        <f>IF(year=bargiri[[#This Row],[سال]],1,0)</f>
        <v>0</v>
      </c>
      <c r="J1025" s="360" t="str">
        <f>VLOOKUP(bargiri[[#This Row],[شماره پیش فاکتور]],invoice[],16,0)</f>
        <v>عادی</v>
      </c>
      <c r="K1025" s="252">
        <f>bargiri[[#This Row],[فی]]*bargiri[[#This Row],[میزان بارگیری شده]]</f>
        <v>1782000000</v>
      </c>
      <c r="X1025" s="1"/>
      <c r="Y1025" s="1"/>
      <c r="Z1025" s="1"/>
    </row>
    <row r="1026" spans="1:26" ht="18.600000000000001">
      <c r="A1026" s="360" t="s">
        <v>863</v>
      </c>
      <c r="B1026" s="360" t="s">
        <v>103</v>
      </c>
      <c r="C1026" s="355" t="s">
        <v>560</v>
      </c>
      <c r="D1026">
        <v>7285</v>
      </c>
      <c r="E1026" s="143">
        <v>142000</v>
      </c>
      <c r="F1026" s="117">
        <v>1404</v>
      </c>
      <c r="G1026" s="360" t="s">
        <v>299</v>
      </c>
      <c r="H1026" s="144">
        <f>bargiri[[#This Row],[میزان بارگیری شده]]*bargiri[[#This Row],[فی]]</f>
        <v>1034470000</v>
      </c>
      <c r="I1026" s="360">
        <f>IF(year=bargiri[[#This Row],[سال]],1,0)</f>
        <v>0</v>
      </c>
      <c r="J1026" s="360" t="str">
        <f>VLOOKUP(bargiri[[#This Row],[شماره پیش فاکتور]],invoice[],16,0)</f>
        <v>انجمن</v>
      </c>
      <c r="K1026" s="252">
        <f>bargiri[[#This Row],[فی]]*bargiri[[#This Row],[میزان بارگیری شده]]</f>
        <v>1034470000</v>
      </c>
      <c r="X1026" s="1"/>
      <c r="Y1026" s="1"/>
      <c r="Z1026" s="1"/>
    </row>
    <row r="1027" spans="1:26" ht="18.600000000000001">
      <c r="A1027" s="360" t="s">
        <v>864</v>
      </c>
      <c r="B1027" s="360" t="s">
        <v>122</v>
      </c>
      <c r="C1027" s="355" t="s">
        <v>568</v>
      </c>
      <c r="D1027">
        <v>23145</v>
      </c>
      <c r="E1027" s="143">
        <v>142000</v>
      </c>
      <c r="F1027" s="117">
        <v>1404</v>
      </c>
      <c r="G1027" s="360" t="s">
        <v>299</v>
      </c>
      <c r="H1027" s="144">
        <f>bargiri[[#This Row],[میزان بارگیری شده]]*bargiri[[#This Row],[فی]]</f>
        <v>3286590000</v>
      </c>
      <c r="I1027" s="360">
        <f>IF(year=bargiri[[#This Row],[سال]],1,0)</f>
        <v>0</v>
      </c>
      <c r="J1027" s="360" t="str">
        <f>VLOOKUP(bargiri[[#This Row],[شماره پیش فاکتور]],invoice[],16,0)</f>
        <v>انجمن</v>
      </c>
      <c r="K1027" s="252">
        <f>bargiri[[#This Row],[فی]]*bargiri[[#This Row],[میزان بارگیری شده]]</f>
        <v>3286590000</v>
      </c>
      <c r="X1027" s="1"/>
      <c r="Y1027" s="1"/>
      <c r="Z1027" s="1"/>
    </row>
    <row r="1028" spans="1:26" ht="18.600000000000001">
      <c r="A1028" s="360" t="s">
        <v>864</v>
      </c>
      <c r="B1028" s="360" t="s">
        <v>125</v>
      </c>
      <c r="C1028" s="355" t="s">
        <v>570</v>
      </c>
      <c r="D1028">
        <v>14485</v>
      </c>
      <c r="E1028" s="143">
        <v>142000</v>
      </c>
      <c r="F1028" s="117">
        <v>1404</v>
      </c>
      <c r="G1028" s="360" t="s">
        <v>299</v>
      </c>
      <c r="H1028" s="144">
        <f>bargiri[[#This Row],[میزان بارگیری شده]]*bargiri[[#This Row],[فی]]</f>
        <v>2056870000</v>
      </c>
      <c r="I1028" s="360">
        <f>IF(year=bargiri[[#This Row],[سال]],1,0)</f>
        <v>0</v>
      </c>
      <c r="J1028" s="360" t="str">
        <f>VLOOKUP(bargiri[[#This Row],[شماره پیش فاکتور]],invoice[],16,0)</f>
        <v>انجمن</v>
      </c>
      <c r="K1028" s="252">
        <f>bargiri[[#This Row],[فی]]*bargiri[[#This Row],[میزان بارگیری شده]]</f>
        <v>2056870000</v>
      </c>
      <c r="X1028" s="1"/>
      <c r="Y1028" s="1"/>
      <c r="Z1028" s="1"/>
    </row>
    <row r="1029" spans="1:26" ht="18.600000000000001">
      <c r="A1029" s="360" t="s">
        <v>864</v>
      </c>
      <c r="B1029" s="360" t="s">
        <v>123</v>
      </c>
      <c r="C1029" s="355" t="s">
        <v>569</v>
      </c>
      <c r="D1029">
        <v>7765</v>
      </c>
      <c r="E1029" s="143">
        <v>142000</v>
      </c>
      <c r="F1029" s="117">
        <v>1404</v>
      </c>
      <c r="G1029" s="360" t="s">
        <v>299</v>
      </c>
      <c r="H1029" s="144">
        <f>bargiri[[#This Row],[میزان بارگیری شده]]*bargiri[[#This Row],[فی]]</f>
        <v>1102630000</v>
      </c>
      <c r="I1029" s="360">
        <f>IF(year=bargiri[[#This Row],[سال]],1,0)</f>
        <v>0</v>
      </c>
      <c r="J1029" s="360" t="str">
        <f>VLOOKUP(bargiri[[#This Row],[شماره پیش فاکتور]],invoice[],16,0)</f>
        <v>انجمن</v>
      </c>
      <c r="K1029" s="252">
        <f>bargiri[[#This Row],[فی]]*bargiri[[#This Row],[میزان بارگیری شده]]</f>
        <v>1102630000</v>
      </c>
      <c r="X1029" s="1"/>
      <c r="Y1029" s="1"/>
      <c r="Z1029" s="1"/>
    </row>
    <row r="1030" spans="1:26" ht="18.600000000000001">
      <c r="A1030" s="360" t="s">
        <v>865</v>
      </c>
      <c r="B1030" s="360" t="s">
        <v>106</v>
      </c>
      <c r="C1030" s="355" t="s">
        <v>44</v>
      </c>
      <c r="D1030">
        <v>20255</v>
      </c>
      <c r="E1030" s="143">
        <v>80000</v>
      </c>
      <c r="F1030" s="117">
        <v>1404</v>
      </c>
      <c r="G1030" s="360" t="s">
        <v>299</v>
      </c>
      <c r="H1030" s="144">
        <f>bargiri[[#This Row],[میزان بارگیری شده]]*bargiri[[#This Row],[فی]]</f>
        <v>1620400000</v>
      </c>
      <c r="I1030" s="360">
        <f>IF(year=bargiri[[#This Row],[سال]],1,0)</f>
        <v>0</v>
      </c>
      <c r="J1030" s="360" t="str">
        <f>VLOOKUP(bargiri[[#This Row],[شماره پیش فاکتور]],invoice[],16,0)</f>
        <v>عادی</v>
      </c>
      <c r="K1030" s="252">
        <f>bargiri[[#This Row],[فی]]*bargiri[[#This Row],[میزان بارگیری شده]]</f>
        <v>1620400000</v>
      </c>
      <c r="X1030" s="1"/>
      <c r="Y1030" s="1"/>
      <c r="Z1030" s="1"/>
    </row>
    <row r="1031" spans="1:26" ht="18.600000000000001">
      <c r="A1031" s="360" t="s">
        <v>865</v>
      </c>
      <c r="B1031" s="360" t="s">
        <v>102</v>
      </c>
      <c r="C1031" s="355" t="s">
        <v>559</v>
      </c>
      <c r="D1031">
        <v>11400</v>
      </c>
      <c r="E1031" s="143">
        <v>142000</v>
      </c>
      <c r="F1031" s="117">
        <v>1404</v>
      </c>
      <c r="G1031" s="360" t="s">
        <v>299</v>
      </c>
      <c r="H1031" s="144">
        <f>bargiri[[#This Row],[میزان بارگیری شده]]*bargiri[[#This Row],[فی]]</f>
        <v>1618800000</v>
      </c>
      <c r="I1031" s="360">
        <f>IF(year=bargiri[[#This Row],[سال]],1,0)</f>
        <v>0</v>
      </c>
      <c r="J1031" s="360" t="str">
        <f>VLOOKUP(bargiri[[#This Row],[شماره پیش فاکتور]],invoice[],16,0)</f>
        <v>انجمن</v>
      </c>
      <c r="K1031" s="252">
        <f>bargiri[[#This Row],[فی]]*bargiri[[#This Row],[میزان بارگیری شده]]</f>
        <v>1618800000</v>
      </c>
      <c r="X1031" s="1"/>
      <c r="Y1031" s="1"/>
      <c r="Z1031" s="1"/>
    </row>
    <row r="1032" spans="1:26" ht="18.600000000000001">
      <c r="A1032" s="360" t="s">
        <v>865</v>
      </c>
      <c r="B1032" s="360" t="s">
        <v>103</v>
      </c>
      <c r="C1032" s="355" t="s">
        <v>560</v>
      </c>
      <c r="D1032">
        <v>20150</v>
      </c>
      <c r="E1032" s="143">
        <v>142000</v>
      </c>
      <c r="F1032" s="117">
        <v>1404</v>
      </c>
      <c r="G1032" s="360" t="s">
        <v>299</v>
      </c>
      <c r="H1032" s="144">
        <f>bargiri[[#This Row],[میزان بارگیری شده]]*bargiri[[#This Row],[فی]]</f>
        <v>2861300000</v>
      </c>
      <c r="I1032" s="360">
        <f>IF(year=bargiri[[#This Row],[سال]],1,0)</f>
        <v>0</v>
      </c>
      <c r="J1032" s="360" t="str">
        <f>VLOOKUP(bargiri[[#This Row],[شماره پیش فاکتور]],invoice[],16,0)</f>
        <v>انجمن</v>
      </c>
      <c r="K1032" s="252">
        <f>bargiri[[#This Row],[فی]]*bargiri[[#This Row],[میزان بارگیری شده]]</f>
        <v>2861300000</v>
      </c>
      <c r="X1032" s="1"/>
      <c r="Y1032" s="1"/>
      <c r="Z1032" s="1"/>
    </row>
    <row r="1033" spans="1:26" ht="18.600000000000001">
      <c r="A1033" s="360" t="s">
        <v>865</v>
      </c>
      <c r="B1033" s="360" t="s">
        <v>106</v>
      </c>
      <c r="C1033" s="355" t="s">
        <v>44</v>
      </c>
      <c r="D1033">
        <v>17195</v>
      </c>
      <c r="E1033" s="143">
        <v>80000</v>
      </c>
      <c r="F1033" s="117">
        <v>1404</v>
      </c>
      <c r="G1033" s="360" t="s">
        <v>299</v>
      </c>
      <c r="H1033" s="144">
        <f>bargiri[[#This Row],[میزان بارگیری شده]]*bargiri[[#This Row],[فی]]</f>
        <v>1375600000</v>
      </c>
      <c r="I1033" s="360">
        <f>IF(year=bargiri[[#This Row],[سال]],1,0)</f>
        <v>0</v>
      </c>
      <c r="J1033" s="360" t="str">
        <f>VLOOKUP(bargiri[[#This Row],[شماره پیش فاکتور]],invoice[],16,0)</f>
        <v>عادی</v>
      </c>
      <c r="K1033" s="252">
        <f>bargiri[[#This Row],[فی]]*bargiri[[#This Row],[میزان بارگیری شده]]</f>
        <v>1375600000</v>
      </c>
      <c r="X1033" s="1"/>
      <c r="Y1033" s="1"/>
      <c r="Z1033" s="1"/>
    </row>
    <row r="1034" spans="1:26" ht="18.600000000000001">
      <c r="A1034" s="360" t="s">
        <v>865</v>
      </c>
      <c r="B1034" s="360" t="s">
        <v>104</v>
      </c>
      <c r="C1034" s="355" t="s">
        <v>834</v>
      </c>
      <c r="D1034">
        <v>20015</v>
      </c>
      <c r="E1034" s="143">
        <v>167500</v>
      </c>
      <c r="F1034" s="117">
        <v>1404</v>
      </c>
      <c r="G1034" s="360" t="s">
        <v>299</v>
      </c>
      <c r="H1034" s="144">
        <f>bargiri[[#This Row],[میزان بارگیری شده]]*bargiri[[#This Row],[فی]]</f>
        <v>3352512500</v>
      </c>
      <c r="I1034" s="360">
        <f>IF(year=bargiri[[#This Row],[سال]],1,0)</f>
        <v>0</v>
      </c>
      <c r="J1034" s="360" t="str">
        <f>VLOOKUP(bargiri[[#This Row],[شماره پیش فاکتور]],invoice[],16,0)</f>
        <v>بورس</v>
      </c>
      <c r="K1034" s="252">
        <f>bargiri[[#This Row],[فی]]*bargiri[[#This Row],[میزان بارگیری شده]]</f>
        <v>3352512500</v>
      </c>
      <c r="X1034" s="1"/>
      <c r="Y1034" s="1"/>
      <c r="Z1034" s="1"/>
    </row>
    <row r="1035" spans="1:26" ht="18.600000000000001">
      <c r="A1035" s="360" t="s">
        <v>865</v>
      </c>
      <c r="B1035" s="360" t="s">
        <v>116</v>
      </c>
      <c r="C1035" s="355" t="s">
        <v>775</v>
      </c>
      <c r="D1035">
        <v>20315</v>
      </c>
      <c r="E1035" s="143">
        <v>74000</v>
      </c>
      <c r="F1035" s="117">
        <v>1404</v>
      </c>
      <c r="G1035" s="360" t="s">
        <v>299</v>
      </c>
      <c r="H1035" s="144">
        <f>bargiri[[#This Row],[میزان بارگیری شده]]*bargiri[[#This Row],[فی]]</f>
        <v>1503310000</v>
      </c>
      <c r="I1035" s="360">
        <f>IF(year=bargiri[[#This Row],[سال]],1,0)</f>
        <v>0</v>
      </c>
      <c r="J1035" s="360" t="str">
        <f>VLOOKUP(bargiri[[#This Row],[شماره پیش فاکتور]],invoice[],16,0)</f>
        <v>تعادلی</v>
      </c>
      <c r="K1035" s="252">
        <f>bargiri[[#This Row],[فی]]*bargiri[[#This Row],[میزان بارگیری شده]]</f>
        <v>1503310000</v>
      </c>
      <c r="X1035" s="1"/>
      <c r="Y1035" s="1"/>
      <c r="Z1035" s="1"/>
    </row>
    <row r="1036" spans="1:26" ht="18.600000000000001">
      <c r="A1036" s="360" t="s">
        <v>866</v>
      </c>
      <c r="B1036" s="360" t="s">
        <v>98</v>
      </c>
      <c r="C1036" s="355" t="s">
        <v>836</v>
      </c>
      <c r="D1036">
        <v>8395</v>
      </c>
      <c r="E1036" s="143">
        <v>167500</v>
      </c>
      <c r="F1036" s="117">
        <v>1404</v>
      </c>
      <c r="G1036" s="360" t="s">
        <v>299</v>
      </c>
      <c r="H1036" s="144">
        <f>bargiri[[#This Row],[میزان بارگیری شده]]*bargiri[[#This Row],[فی]]</f>
        <v>1406162500</v>
      </c>
      <c r="I1036" s="360">
        <f>IF(year=bargiri[[#This Row],[سال]],1,0)</f>
        <v>0</v>
      </c>
      <c r="J1036" s="360" t="str">
        <f>VLOOKUP(bargiri[[#This Row],[شماره پیش فاکتور]],invoice[],16,0)</f>
        <v>بورس</v>
      </c>
      <c r="K1036" s="252">
        <f>bargiri[[#This Row],[فی]]*bargiri[[#This Row],[میزان بارگیری شده]]</f>
        <v>1406162500</v>
      </c>
      <c r="X1036" s="1"/>
      <c r="Y1036" s="1"/>
      <c r="Z1036" s="1"/>
    </row>
    <row r="1037" spans="1:26" ht="18.600000000000001">
      <c r="A1037" s="360" t="s">
        <v>866</v>
      </c>
      <c r="B1037" s="360" t="s">
        <v>98</v>
      </c>
      <c r="C1037" s="355" t="s">
        <v>856</v>
      </c>
      <c r="D1037">
        <v>14665</v>
      </c>
      <c r="E1037" s="143">
        <v>116500</v>
      </c>
      <c r="F1037" s="117">
        <v>1404</v>
      </c>
      <c r="G1037" s="360" t="s">
        <v>299</v>
      </c>
      <c r="H1037" s="144">
        <f>bargiri[[#This Row],[میزان بارگیری شده]]*bargiri[[#This Row],[فی]]</f>
        <v>1708472500</v>
      </c>
      <c r="I1037" s="360">
        <f>IF(year=bargiri[[#This Row],[سال]],1,0)</f>
        <v>0</v>
      </c>
      <c r="J1037" s="360" t="str">
        <f>VLOOKUP(bargiri[[#This Row],[شماره پیش فاکتور]],invoice[],16,0)</f>
        <v>تعادلی</v>
      </c>
      <c r="K1037" s="252">
        <f>bargiri[[#This Row],[فی]]*bargiri[[#This Row],[میزان بارگیری شده]]</f>
        <v>1708472500</v>
      </c>
      <c r="X1037" s="1"/>
      <c r="Y1037" s="1"/>
      <c r="Z1037" s="1"/>
    </row>
    <row r="1038" spans="1:26" ht="18.600000000000001">
      <c r="A1038" s="360" t="s">
        <v>866</v>
      </c>
      <c r="B1038" s="360" t="s">
        <v>116</v>
      </c>
      <c r="C1038" s="355" t="s">
        <v>796</v>
      </c>
      <c r="D1038">
        <v>20120</v>
      </c>
      <c r="E1038" s="143">
        <v>167500</v>
      </c>
      <c r="F1038" s="117">
        <v>1404</v>
      </c>
      <c r="G1038" s="360" t="s">
        <v>299</v>
      </c>
      <c r="H1038" s="144">
        <f>bargiri[[#This Row],[میزان بارگیری شده]]*bargiri[[#This Row],[فی]]</f>
        <v>3370100000</v>
      </c>
      <c r="I1038" s="360">
        <f>IF(year=bargiri[[#This Row],[سال]],1,0)</f>
        <v>0</v>
      </c>
      <c r="J1038" s="360" t="str">
        <f>VLOOKUP(bargiri[[#This Row],[شماره پیش فاکتور]],invoice[],16,0)</f>
        <v>بورس</v>
      </c>
      <c r="K1038" s="252">
        <f>bargiri[[#This Row],[فی]]*bargiri[[#This Row],[میزان بارگیری شده]]</f>
        <v>3370100000</v>
      </c>
      <c r="X1038" s="1"/>
      <c r="Y1038" s="1"/>
      <c r="Z1038" s="1"/>
    </row>
    <row r="1039" spans="1:26" ht="18.600000000000001">
      <c r="A1039" s="360" t="s">
        <v>866</v>
      </c>
      <c r="B1039" s="360" t="s">
        <v>117</v>
      </c>
      <c r="C1039" s="355" t="s">
        <v>712</v>
      </c>
      <c r="D1039">
        <v>20275</v>
      </c>
      <c r="E1039" s="143">
        <v>116500</v>
      </c>
      <c r="F1039" s="117">
        <v>1404</v>
      </c>
      <c r="G1039" s="360" t="s">
        <v>299</v>
      </c>
      <c r="H1039" s="144">
        <f>bargiri[[#This Row],[میزان بارگیری شده]]*bargiri[[#This Row],[فی]]</f>
        <v>2362037500</v>
      </c>
      <c r="I1039" s="360">
        <f>IF(year=bargiri[[#This Row],[سال]],1,0)</f>
        <v>0</v>
      </c>
      <c r="J1039" s="360" t="str">
        <f>VLOOKUP(bargiri[[#This Row],[شماره پیش فاکتور]],invoice[],16,0)</f>
        <v>تعادلی</v>
      </c>
      <c r="K1039" s="252">
        <f>bargiri[[#This Row],[فی]]*bargiri[[#This Row],[میزان بارگیری شده]]</f>
        <v>2362037500</v>
      </c>
      <c r="X1039" s="1"/>
      <c r="Y1039" s="1"/>
      <c r="Z1039" s="1"/>
    </row>
    <row r="1040" spans="1:26" ht="18.600000000000001">
      <c r="A1040" s="360" t="s">
        <v>866</v>
      </c>
      <c r="B1040" s="360" t="s">
        <v>116</v>
      </c>
      <c r="C1040" s="355" t="s">
        <v>608</v>
      </c>
      <c r="D1040">
        <v>12365</v>
      </c>
      <c r="E1040" s="143">
        <v>95000</v>
      </c>
      <c r="F1040" s="117">
        <v>1404</v>
      </c>
      <c r="G1040" s="360" t="s">
        <v>299</v>
      </c>
      <c r="H1040" s="144">
        <f>bargiri[[#This Row],[میزان بارگیری شده]]*bargiri[[#This Row],[فی]]</f>
        <v>1174675000</v>
      </c>
      <c r="I1040" s="360">
        <f>IF(year=bargiri[[#This Row],[سال]],1,0)</f>
        <v>0</v>
      </c>
      <c r="J1040" s="360" t="str">
        <f>VLOOKUP(bargiri[[#This Row],[شماره پیش فاکتور]],invoice[],16,0)</f>
        <v>عادی</v>
      </c>
      <c r="K1040" s="252">
        <f>bargiri[[#This Row],[فی]]*bargiri[[#This Row],[میزان بارگیری شده]]</f>
        <v>1174675000</v>
      </c>
      <c r="X1040" s="1"/>
      <c r="Y1040" s="1"/>
      <c r="Z1040" s="1"/>
    </row>
    <row r="1041" spans="1:26" ht="18.600000000000001">
      <c r="A1041" s="360" t="s">
        <v>867</v>
      </c>
      <c r="B1041" s="360" t="s">
        <v>106</v>
      </c>
      <c r="C1041" s="355" t="s">
        <v>44</v>
      </c>
      <c r="D1041">
        <v>14290</v>
      </c>
      <c r="E1041" s="143">
        <v>80000</v>
      </c>
      <c r="F1041" s="117">
        <v>1404</v>
      </c>
      <c r="G1041" s="360" t="s">
        <v>299</v>
      </c>
      <c r="H1041" s="144">
        <f>bargiri[[#This Row],[میزان بارگیری شده]]*bargiri[[#This Row],[فی]]</f>
        <v>1143200000</v>
      </c>
      <c r="I1041" s="360">
        <f>IF(year=bargiri[[#This Row],[سال]],1,0)</f>
        <v>0</v>
      </c>
      <c r="J1041" s="360" t="str">
        <f>VLOOKUP(bargiri[[#This Row],[شماره پیش فاکتور]],invoice[],16,0)</f>
        <v>عادی</v>
      </c>
      <c r="K1041" s="252">
        <f>bargiri[[#This Row],[فی]]*bargiri[[#This Row],[میزان بارگیری شده]]</f>
        <v>1143200000</v>
      </c>
      <c r="X1041" s="1"/>
      <c r="Y1041" s="1"/>
      <c r="Z1041" s="1"/>
    </row>
    <row r="1042" spans="1:26" ht="18.600000000000001">
      <c r="A1042" s="360" t="s">
        <v>867</v>
      </c>
      <c r="B1042" s="360" t="s">
        <v>101</v>
      </c>
      <c r="C1042" s="355" t="s">
        <v>544</v>
      </c>
      <c r="D1042">
        <v>20360</v>
      </c>
      <c r="E1042" s="143">
        <v>75000</v>
      </c>
      <c r="F1042" s="117">
        <v>1404</v>
      </c>
      <c r="G1042" s="360" t="s">
        <v>299</v>
      </c>
      <c r="H1042" s="144">
        <f>bargiri[[#This Row],[میزان بارگیری شده]]*bargiri[[#This Row],[فی]]</f>
        <v>1527000000</v>
      </c>
      <c r="I1042" s="360">
        <f>IF(year=bargiri[[#This Row],[سال]],1,0)</f>
        <v>0</v>
      </c>
      <c r="J1042" s="360" t="str">
        <f>VLOOKUP(bargiri[[#This Row],[شماره پیش فاکتور]],invoice[],16,0)</f>
        <v>تعادلی</v>
      </c>
      <c r="K1042" s="252">
        <f>bargiri[[#This Row],[فی]]*bargiri[[#This Row],[میزان بارگیری شده]]</f>
        <v>1527000000</v>
      </c>
      <c r="X1042" s="1"/>
      <c r="Y1042" s="1"/>
      <c r="Z1042" s="1"/>
    </row>
    <row r="1043" spans="1:26" ht="18.600000000000001">
      <c r="A1043" s="360" t="s">
        <v>867</v>
      </c>
      <c r="B1043" s="360" t="s">
        <v>102</v>
      </c>
      <c r="C1043" s="355" t="s">
        <v>22</v>
      </c>
      <c r="D1043">
        <v>11070</v>
      </c>
      <c r="E1043" s="143">
        <v>89000</v>
      </c>
      <c r="F1043" s="117">
        <v>1404</v>
      </c>
      <c r="G1043" s="360" t="s">
        <v>299</v>
      </c>
      <c r="H1043" s="144">
        <f>bargiri[[#This Row],[میزان بارگیری شده]]*bargiri[[#This Row],[فی]]</f>
        <v>985230000</v>
      </c>
      <c r="I1043" s="360">
        <f>IF(year=bargiri[[#This Row],[سال]],1,0)</f>
        <v>0</v>
      </c>
      <c r="J1043" s="360" t="str">
        <f>VLOOKUP(bargiri[[#This Row],[شماره پیش فاکتور]],invoice[],16,0)</f>
        <v>عادی</v>
      </c>
      <c r="K1043" s="252">
        <f>bargiri[[#This Row],[فی]]*bargiri[[#This Row],[میزان بارگیری شده]]</f>
        <v>985230000</v>
      </c>
      <c r="X1043" s="1"/>
      <c r="Y1043" s="1"/>
      <c r="Z1043" s="1"/>
    </row>
    <row r="1044" spans="1:26" ht="18.600000000000001">
      <c r="A1044" s="360" t="s">
        <v>852</v>
      </c>
      <c r="B1044" s="360" t="s">
        <v>103</v>
      </c>
      <c r="C1044" s="355" t="s">
        <v>560</v>
      </c>
      <c r="D1044">
        <v>20045</v>
      </c>
      <c r="E1044" s="143">
        <v>142000</v>
      </c>
      <c r="F1044" s="117">
        <v>1404</v>
      </c>
      <c r="G1044" s="360" t="s">
        <v>300</v>
      </c>
      <c r="H1044" s="144">
        <f>bargiri[[#This Row],[میزان بارگیری شده]]*bargiri[[#This Row],[فی]]</f>
        <v>2846390000</v>
      </c>
      <c r="I1044" s="360">
        <f>IF(year=bargiri[[#This Row],[سال]],1,0)</f>
        <v>0</v>
      </c>
      <c r="J1044" s="360" t="str">
        <f>VLOOKUP(bargiri[[#This Row],[شماره پیش فاکتور]],invoice[],16,0)</f>
        <v>انجمن</v>
      </c>
      <c r="K1044" s="252">
        <f>bargiri[[#This Row],[فی]]*bargiri[[#This Row],[میزان بارگیری شده]]</f>
        <v>2846390000</v>
      </c>
      <c r="X1044" s="1"/>
      <c r="Y1044" s="1"/>
      <c r="Z1044" s="1"/>
    </row>
    <row r="1045" spans="1:26" ht="18.600000000000001">
      <c r="A1045" s="360" t="s">
        <v>852</v>
      </c>
      <c r="B1045" s="360" t="s">
        <v>106</v>
      </c>
      <c r="C1045" s="355" t="s">
        <v>44</v>
      </c>
      <c r="D1045">
        <v>22280</v>
      </c>
      <c r="E1045" s="143">
        <v>80000</v>
      </c>
      <c r="F1045" s="117">
        <v>1404</v>
      </c>
      <c r="G1045" s="360" t="s">
        <v>300</v>
      </c>
      <c r="H1045" s="144">
        <f>bargiri[[#This Row],[میزان بارگیری شده]]*bargiri[[#This Row],[فی]]</f>
        <v>1782400000</v>
      </c>
      <c r="I1045" s="360">
        <f>IF(year=bargiri[[#This Row],[سال]],1,0)</f>
        <v>0</v>
      </c>
      <c r="J1045" s="360" t="str">
        <f>VLOOKUP(bargiri[[#This Row],[شماره پیش فاکتور]],invoice[],16,0)</f>
        <v>عادی</v>
      </c>
      <c r="K1045" s="252">
        <f>bargiri[[#This Row],[فی]]*bargiri[[#This Row],[میزان بارگیری شده]]</f>
        <v>1782400000</v>
      </c>
      <c r="X1045" s="1"/>
      <c r="Y1045" s="1"/>
      <c r="Z1045" s="1"/>
    </row>
    <row r="1046" spans="1:26" ht="18.600000000000001">
      <c r="A1046" s="360" t="s">
        <v>847</v>
      </c>
      <c r="B1046" s="360" t="s">
        <v>106</v>
      </c>
      <c r="C1046" s="355" t="s">
        <v>44</v>
      </c>
      <c r="D1046">
        <v>22245</v>
      </c>
      <c r="E1046" s="143">
        <v>80000</v>
      </c>
      <c r="F1046" s="117">
        <v>1404</v>
      </c>
      <c r="G1046" s="360" t="s">
        <v>300</v>
      </c>
      <c r="H1046" s="144">
        <f>bargiri[[#This Row],[میزان بارگیری شده]]*bargiri[[#This Row],[فی]]</f>
        <v>1779600000</v>
      </c>
      <c r="I1046" s="360">
        <f>IF(year=bargiri[[#This Row],[سال]],1,0)</f>
        <v>0</v>
      </c>
      <c r="J1046" s="360" t="str">
        <f>VLOOKUP(bargiri[[#This Row],[شماره پیش فاکتور]],invoice[],16,0)</f>
        <v>عادی</v>
      </c>
      <c r="K1046" s="252">
        <f>bargiri[[#This Row],[فی]]*bargiri[[#This Row],[میزان بارگیری شده]]</f>
        <v>1779600000</v>
      </c>
      <c r="X1046" s="1"/>
      <c r="Y1046" s="1"/>
      <c r="Z1046" s="1"/>
    </row>
    <row r="1047" spans="1:26" ht="18.600000000000001">
      <c r="A1047" s="360" t="s">
        <v>847</v>
      </c>
      <c r="B1047" s="360" t="s">
        <v>123</v>
      </c>
      <c r="C1047" s="355" t="s">
        <v>569</v>
      </c>
      <c r="D1047">
        <v>7785</v>
      </c>
      <c r="E1047" s="143">
        <v>142000</v>
      </c>
      <c r="F1047" s="117">
        <v>1404</v>
      </c>
      <c r="G1047" s="360" t="s">
        <v>300</v>
      </c>
      <c r="H1047" s="144">
        <f>bargiri[[#This Row],[میزان بارگیری شده]]*bargiri[[#This Row],[فی]]</f>
        <v>1105470000</v>
      </c>
      <c r="I1047" s="360">
        <f>IF(year=bargiri[[#This Row],[سال]],1,0)</f>
        <v>0</v>
      </c>
      <c r="J1047" s="360" t="str">
        <f>VLOOKUP(bargiri[[#This Row],[شماره پیش فاکتور]],invoice[],16,0)</f>
        <v>انجمن</v>
      </c>
      <c r="K1047" s="252">
        <f>bargiri[[#This Row],[فی]]*bargiri[[#This Row],[میزان بارگیری شده]]</f>
        <v>1105470000</v>
      </c>
      <c r="X1047" s="1"/>
      <c r="Y1047" s="1"/>
      <c r="Z1047" s="1"/>
    </row>
    <row r="1048" spans="1:26" ht="18.600000000000001">
      <c r="A1048" s="360" t="s">
        <v>849</v>
      </c>
      <c r="B1048" s="360" t="s">
        <v>103</v>
      </c>
      <c r="C1048" s="355" t="s">
        <v>560</v>
      </c>
      <c r="D1048">
        <v>19980</v>
      </c>
      <c r="E1048" s="143">
        <v>142000</v>
      </c>
      <c r="F1048" s="117">
        <v>1404</v>
      </c>
      <c r="G1048" s="360" t="s">
        <v>300</v>
      </c>
      <c r="H1048" s="144">
        <f>bargiri[[#This Row],[میزان بارگیری شده]]*bargiri[[#This Row],[فی]]</f>
        <v>2837160000</v>
      </c>
      <c r="I1048" s="360">
        <f>IF(year=bargiri[[#This Row],[سال]],1,0)</f>
        <v>0</v>
      </c>
      <c r="J1048" s="360" t="str">
        <f>VLOOKUP(bargiri[[#This Row],[شماره پیش فاکتور]],invoice[],16,0)</f>
        <v>انجمن</v>
      </c>
      <c r="K1048" s="252">
        <f>bargiri[[#This Row],[فی]]*bargiri[[#This Row],[میزان بارگیری شده]]</f>
        <v>2837160000</v>
      </c>
      <c r="X1048" s="1"/>
      <c r="Y1048" s="1"/>
      <c r="Z1048" s="1"/>
    </row>
    <row r="1049" spans="1:26" ht="18.600000000000001">
      <c r="A1049" s="360" t="s">
        <v>849</v>
      </c>
      <c r="B1049" s="360" t="s">
        <v>125</v>
      </c>
      <c r="C1049" s="355" t="s">
        <v>570</v>
      </c>
      <c r="D1049">
        <v>14465</v>
      </c>
      <c r="E1049" s="143">
        <v>142000</v>
      </c>
      <c r="F1049" s="117">
        <v>1404</v>
      </c>
      <c r="G1049" s="360" t="s">
        <v>300</v>
      </c>
      <c r="H1049" s="144">
        <f>bargiri[[#This Row],[میزان بارگیری شده]]*bargiri[[#This Row],[فی]]</f>
        <v>2054030000</v>
      </c>
      <c r="I1049" s="360">
        <f>IF(year=bargiri[[#This Row],[سال]],1,0)</f>
        <v>0</v>
      </c>
      <c r="J1049" s="360" t="str">
        <f>VLOOKUP(bargiri[[#This Row],[شماره پیش فاکتور]],invoice[],16,0)</f>
        <v>انجمن</v>
      </c>
      <c r="K1049" s="252">
        <f>bargiri[[#This Row],[فی]]*bargiri[[#This Row],[میزان بارگیری شده]]</f>
        <v>2054030000</v>
      </c>
      <c r="X1049" s="1"/>
      <c r="Y1049" s="1"/>
      <c r="Z1049" s="1"/>
    </row>
    <row r="1050" spans="1:26" ht="18.600000000000001">
      <c r="A1050" s="360" t="s">
        <v>848</v>
      </c>
      <c r="B1050" s="360" t="s">
        <v>109</v>
      </c>
      <c r="C1050" s="355" t="s">
        <v>563</v>
      </c>
      <c r="D1050">
        <v>7275</v>
      </c>
      <c r="E1050" s="143">
        <v>142000</v>
      </c>
      <c r="F1050" s="117">
        <v>1404</v>
      </c>
      <c r="G1050" s="360" t="s">
        <v>300</v>
      </c>
      <c r="H1050" s="144">
        <f>bargiri[[#This Row],[میزان بارگیری شده]]*bargiri[[#This Row],[فی]]</f>
        <v>1033050000</v>
      </c>
      <c r="I1050" s="360">
        <f>IF(year=bargiri[[#This Row],[سال]],1,0)</f>
        <v>0</v>
      </c>
      <c r="J1050" s="360" t="str">
        <f>VLOOKUP(bargiri[[#This Row],[شماره پیش فاکتور]],invoice[],16,0)</f>
        <v>انجمن</v>
      </c>
      <c r="K1050" s="252">
        <f>bargiri[[#This Row],[فی]]*bargiri[[#This Row],[میزان بارگیری شده]]</f>
        <v>1033050000</v>
      </c>
      <c r="X1050" s="1"/>
      <c r="Y1050" s="1"/>
      <c r="Z1050" s="1"/>
    </row>
    <row r="1051" spans="1:26" ht="18.600000000000001">
      <c r="A1051" s="360" t="s">
        <v>848</v>
      </c>
      <c r="B1051" s="360" t="s">
        <v>104</v>
      </c>
      <c r="C1051" s="355" t="s">
        <v>562</v>
      </c>
      <c r="D1051">
        <v>17410</v>
      </c>
      <c r="E1051" s="143">
        <v>142000</v>
      </c>
      <c r="F1051" s="117">
        <v>1404</v>
      </c>
      <c r="G1051" s="360" t="s">
        <v>300</v>
      </c>
      <c r="H1051" s="144">
        <f>bargiri[[#This Row],[میزان بارگیری شده]]*bargiri[[#This Row],[فی]]</f>
        <v>2472220000</v>
      </c>
      <c r="I1051" s="360">
        <f>IF(year=bargiri[[#This Row],[سال]],1,0)</f>
        <v>0</v>
      </c>
      <c r="J1051" s="360" t="str">
        <f>VLOOKUP(bargiri[[#This Row],[شماره پیش فاکتور]],invoice[],16,0)</f>
        <v>انجمن</v>
      </c>
      <c r="K1051" s="252">
        <f>bargiri[[#This Row],[فی]]*bargiri[[#This Row],[میزان بارگیری شده]]</f>
        <v>2472220000</v>
      </c>
      <c r="X1051" s="1"/>
      <c r="Y1051" s="1"/>
      <c r="Z1051" s="1"/>
    </row>
    <row r="1052" spans="1:26" ht="18.600000000000001">
      <c r="A1052" s="360" t="s">
        <v>848</v>
      </c>
      <c r="B1052" s="360" t="s">
        <v>104</v>
      </c>
      <c r="C1052" s="355" t="s">
        <v>834</v>
      </c>
      <c r="D1052">
        <v>2615</v>
      </c>
      <c r="E1052" s="143">
        <v>167500</v>
      </c>
      <c r="F1052" s="117">
        <v>1404</v>
      </c>
      <c r="G1052" s="360" t="s">
        <v>300</v>
      </c>
      <c r="H1052" s="144">
        <f>bargiri[[#This Row],[میزان بارگیری شده]]*bargiri[[#This Row],[فی]]</f>
        <v>438012500</v>
      </c>
      <c r="I1052" s="360">
        <f>IF(year=bargiri[[#This Row],[سال]],1,0)</f>
        <v>0</v>
      </c>
      <c r="J1052" s="360" t="str">
        <f>VLOOKUP(bargiri[[#This Row],[شماره پیش فاکتور]],invoice[],16,0)</f>
        <v>بورس</v>
      </c>
      <c r="K1052" s="252">
        <f>bargiri[[#This Row],[فی]]*bargiri[[#This Row],[میزان بارگیری شده]]</f>
        <v>438012500</v>
      </c>
      <c r="X1052" s="1"/>
      <c r="Y1052" s="1"/>
      <c r="Z1052" s="1"/>
    </row>
    <row r="1053" spans="1:26" ht="18.600000000000001">
      <c r="A1053" s="360" t="s">
        <v>850</v>
      </c>
      <c r="B1053" s="360" t="s">
        <v>102</v>
      </c>
      <c r="C1053" s="355" t="s">
        <v>559</v>
      </c>
      <c r="D1053">
        <v>11990</v>
      </c>
      <c r="E1053" s="143">
        <v>142000</v>
      </c>
      <c r="F1053" s="117">
        <v>1404</v>
      </c>
      <c r="G1053" s="360" t="s">
        <v>300</v>
      </c>
      <c r="H1053" s="144">
        <f>bargiri[[#This Row],[میزان بارگیری شده]]*bargiri[[#This Row],[فی]]</f>
        <v>1702580000</v>
      </c>
      <c r="I1053" s="360">
        <f>IF(year=bargiri[[#This Row],[سال]],1,0)</f>
        <v>0</v>
      </c>
      <c r="J1053" s="360" t="str">
        <f>VLOOKUP(bargiri[[#This Row],[شماره پیش فاکتور]],invoice[],16,0)</f>
        <v>انجمن</v>
      </c>
      <c r="K1053" s="252">
        <f>bargiri[[#This Row],[فی]]*bargiri[[#This Row],[میزان بارگیری شده]]</f>
        <v>1702580000</v>
      </c>
      <c r="X1053" s="1"/>
      <c r="Y1053" s="1"/>
      <c r="Z1053" s="1"/>
    </row>
    <row r="1054" spans="1:26" ht="18.600000000000001">
      <c r="A1054" s="360" t="s">
        <v>850</v>
      </c>
      <c r="B1054" s="360" t="s">
        <v>117</v>
      </c>
      <c r="C1054" s="355" t="s">
        <v>687</v>
      </c>
      <c r="D1054">
        <v>9625</v>
      </c>
      <c r="E1054" s="143">
        <v>116500</v>
      </c>
      <c r="F1054" s="117">
        <v>1404</v>
      </c>
      <c r="G1054" s="360" t="s">
        <v>300</v>
      </c>
      <c r="H1054" s="144">
        <f>bargiri[[#This Row],[میزان بارگیری شده]]*bargiri[[#This Row],[فی]]</f>
        <v>1121312500</v>
      </c>
      <c r="I1054" s="360">
        <f>IF(year=bargiri[[#This Row],[سال]],1,0)</f>
        <v>0</v>
      </c>
      <c r="J1054" s="360" t="str">
        <f>VLOOKUP(bargiri[[#This Row],[شماره پیش فاکتور]],invoice[],16,0)</f>
        <v>تعادلی</v>
      </c>
      <c r="K1054" s="252">
        <f>bargiri[[#This Row],[فی]]*bargiri[[#This Row],[میزان بارگیری شده]]</f>
        <v>1121312500</v>
      </c>
      <c r="X1054" s="1"/>
      <c r="Y1054" s="1"/>
      <c r="Z1054" s="1"/>
    </row>
    <row r="1055" spans="1:26" ht="18.600000000000001">
      <c r="A1055" s="360" t="s">
        <v>850</v>
      </c>
      <c r="B1055" s="360" t="s">
        <v>117</v>
      </c>
      <c r="C1055" s="355" t="s">
        <v>712</v>
      </c>
      <c r="D1055">
        <v>10445</v>
      </c>
      <c r="E1055" s="143">
        <v>116500</v>
      </c>
      <c r="F1055" s="117">
        <v>1404</v>
      </c>
      <c r="G1055" s="360" t="s">
        <v>300</v>
      </c>
      <c r="H1055" s="144">
        <f>bargiri[[#This Row],[میزان بارگیری شده]]*bargiri[[#This Row],[فی]]</f>
        <v>1216842500</v>
      </c>
      <c r="I1055" s="360">
        <f>IF(year=bargiri[[#This Row],[سال]],1,0)</f>
        <v>0</v>
      </c>
      <c r="J1055" s="360" t="str">
        <f>VLOOKUP(bargiri[[#This Row],[شماره پیش فاکتور]],invoice[],16,0)</f>
        <v>تعادلی</v>
      </c>
      <c r="K1055" s="252">
        <f>bargiri[[#This Row],[فی]]*bargiri[[#This Row],[میزان بارگیری شده]]</f>
        <v>1216842500</v>
      </c>
      <c r="X1055" s="1"/>
      <c r="Y1055" s="1"/>
      <c r="Z1055" s="1"/>
    </row>
    <row r="1056" spans="1:26" ht="18.600000000000001">
      <c r="A1056" s="360" t="s">
        <v>850</v>
      </c>
      <c r="B1056" s="360" t="s">
        <v>106</v>
      </c>
      <c r="C1056" s="355" t="s">
        <v>44</v>
      </c>
      <c r="D1056">
        <v>22240</v>
      </c>
      <c r="E1056" s="143">
        <v>80000</v>
      </c>
      <c r="F1056" s="117">
        <v>1404</v>
      </c>
      <c r="G1056" s="360" t="s">
        <v>300</v>
      </c>
      <c r="H1056" s="144">
        <f>bargiri[[#This Row],[میزان بارگیری شده]]*bargiri[[#This Row],[فی]]</f>
        <v>1779200000</v>
      </c>
      <c r="I1056" s="360">
        <f>IF(year=bargiri[[#This Row],[سال]],1,0)</f>
        <v>0</v>
      </c>
      <c r="J1056" s="360" t="str">
        <f>VLOOKUP(bargiri[[#This Row],[شماره پیش فاکتور]],invoice[],16,0)</f>
        <v>عادی</v>
      </c>
      <c r="K1056" s="252">
        <f>bargiri[[#This Row],[فی]]*bargiri[[#This Row],[میزان بارگیری شده]]</f>
        <v>1779200000</v>
      </c>
      <c r="X1056" s="1"/>
      <c r="Y1056" s="1"/>
      <c r="Z1056" s="1"/>
    </row>
    <row r="1057" spans="1:26" ht="18.600000000000001">
      <c r="A1057" s="360" t="s">
        <v>851</v>
      </c>
      <c r="B1057" s="360" t="s">
        <v>101</v>
      </c>
      <c r="C1057" s="355" t="s">
        <v>19</v>
      </c>
      <c r="D1057">
        <v>4430</v>
      </c>
      <c r="E1057" s="143">
        <v>75000</v>
      </c>
      <c r="F1057" s="117">
        <v>1404</v>
      </c>
      <c r="G1057" s="360" t="s">
        <v>300</v>
      </c>
      <c r="H1057" s="144">
        <f>bargiri[[#This Row],[میزان بارگیری شده]]*bargiri[[#This Row],[فی]]</f>
        <v>332250000</v>
      </c>
      <c r="I1057" s="360">
        <f>IF(year=bargiri[[#This Row],[سال]],1,0)</f>
        <v>0</v>
      </c>
      <c r="J1057" s="360" t="str">
        <f>VLOOKUP(bargiri[[#This Row],[شماره پیش فاکتور]],invoice[],16,0)</f>
        <v>عادی</v>
      </c>
      <c r="K1057" s="252">
        <f>bargiri[[#This Row],[فی]]*bargiri[[#This Row],[میزان بارگیری شده]]</f>
        <v>332250000</v>
      </c>
      <c r="X1057" s="1"/>
      <c r="Y1057" s="1"/>
      <c r="Z1057" s="1"/>
    </row>
    <row r="1058" spans="1:26" ht="18.600000000000001">
      <c r="A1058" s="360" t="s">
        <v>851</v>
      </c>
      <c r="B1058" s="360" t="s">
        <v>101</v>
      </c>
      <c r="C1058" s="355" t="s">
        <v>558</v>
      </c>
      <c r="D1058">
        <v>17725</v>
      </c>
      <c r="E1058" s="143">
        <v>142000</v>
      </c>
      <c r="F1058" s="117">
        <v>1404</v>
      </c>
      <c r="G1058" s="360" t="s">
        <v>300</v>
      </c>
      <c r="H1058" s="144">
        <f>bargiri[[#This Row],[میزان بارگیری شده]]*bargiri[[#This Row],[فی]]</f>
        <v>2516950000</v>
      </c>
      <c r="I1058" s="360">
        <f>IF(year=bargiri[[#This Row],[سال]],1,0)</f>
        <v>0</v>
      </c>
      <c r="J1058" s="360" t="str">
        <f>VLOOKUP(bargiri[[#This Row],[شماره پیش فاکتور]],invoice[],16,0)</f>
        <v>انجمن</v>
      </c>
      <c r="K1058" s="252">
        <f>bargiri[[#This Row],[فی]]*bargiri[[#This Row],[میزان بارگیری شده]]</f>
        <v>2516950000</v>
      </c>
      <c r="X1058" s="1"/>
      <c r="Y1058" s="1"/>
      <c r="Z1058" s="1"/>
    </row>
    <row r="1059" spans="1:26" ht="18.600000000000001">
      <c r="A1059" s="360" t="s">
        <v>851</v>
      </c>
      <c r="B1059" s="360" t="s">
        <v>98</v>
      </c>
      <c r="C1059" s="355" t="s">
        <v>721</v>
      </c>
      <c r="D1059">
        <v>540</v>
      </c>
      <c r="E1059" s="143">
        <v>167500</v>
      </c>
      <c r="F1059" s="117">
        <v>1404</v>
      </c>
      <c r="G1059" s="360" t="s">
        <v>300</v>
      </c>
      <c r="H1059" s="144">
        <f>bargiri[[#This Row],[میزان بارگیری شده]]*bargiri[[#This Row],[فی]]</f>
        <v>90450000</v>
      </c>
      <c r="I1059" s="360">
        <f>IF(year=bargiri[[#This Row],[سال]],1,0)</f>
        <v>0</v>
      </c>
      <c r="J1059" s="360" t="str">
        <f>VLOOKUP(bargiri[[#This Row],[شماره پیش فاکتور]],invoice[],16,0)</f>
        <v>بورس</v>
      </c>
      <c r="K1059" s="252">
        <f>bargiri[[#This Row],[فی]]*bargiri[[#This Row],[میزان بارگیری شده]]</f>
        <v>90450000</v>
      </c>
      <c r="X1059" s="1"/>
      <c r="Y1059" s="1"/>
      <c r="Z1059" s="1"/>
    </row>
    <row r="1060" spans="1:26" ht="18.600000000000001">
      <c r="A1060" s="360" t="s">
        <v>851</v>
      </c>
      <c r="B1060" s="360" t="s">
        <v>98</v>
      </c>
      <c r="C1060" s="355" t="s">
        <v>836</v>
      </c>
      <c r="D1060">
        <v>21605</v>
      </c>
      <c r="E1060" s="143">
        <v>167500</v>
      </c>
      <c r="F1060" s="117">
        <v>1404</v>
      </c>
      <c r="G1060" s="360" t="s">
        <v>300</v>
      </c>
      <c r="H1060" s="144">
        <f>bargiri[[#This Row],[میزان بارگیری شده]]*bargiri[[#This Row],[فی]]</f>
        <v>3618837500</v>
      </c>
      <c r="I1060" s="360">
        <f>IF(year=bargiri[[#This Row],[سال]],1,0)</f>
        <v>0</v>
      </c>
      <c r="J1060" s="360" t="str">
        <f>VLOOKUP(bargiri[[#This Row],[شماره پیش فاکتور]],invoice[],16,0)</f>
        <v>بورس</v>
      </c>
      <c r="K1060" s="252">
        <f>bargiri[[#This Row],[فی]]*bargiri[[#This Row],[میزان بارگیری شده]]</f>
        <v>3618837500</v>
      </c>
      <c r="X1060" s="1"/>
      <c r="Y1060" s="1"/>
      <c r="Z1060" s="1"/>
    </row>
    <row r="1061" spans="1:26" ht="18.600000000000001">
      <c r="A1061" s="360" t="s">
        <v>845</v>
      </c>
      <c r="B1061" s="360" t="s">
        <v>122</v>
      </c>
      <c r="C1061" s="355" t="s">
        <v>568</v>
      </c>
      <c r="D1061">
        <v>15170</v>
      </c>
      <c r="E1061" s="143">
        <v>142000</v>
      </c>
      <c r="F1061" s="117">
        <v>1404</v>
      </c>
      <c r="G1061" s="360" t="s">
        <v>300</v>
      </c>
      <c r="H1061" s="144">
        <f>bargiri[[#This Row],[میزان بارگیری شده]]*bargiri[[#This Row],[فی]]</f>
        <v>2154140000</v>
      </c>
      <c r="I1061" s="360">
        <f>IF(year=bargiri[[#This Row],[سال]],1,0)</f>
        <v>0</v>
      </c>
      <c r="J1061" s="360" t="str">
        <f>VLOOKUP(bargiri[[#This Row],[شماره پیش فاکتور]],invoice[],16,0)</f>
        <v>انجمن</v>
      </c>
      <c r="K1061" s="252">
        <f>bargiri[[#This Row],[فی]]*bargiri[[#This Row],[میزان بارگیری شده]]</f>
        <v>2154140000</v>
      </c>
      <c r="X1061" s="1"/>
      <c r="Y1061" s="1"/>
      <c r="Z1061" s="1"/>
    </row>
    <row r="1062" spans="1:26" ht="18.600000000000001">
      <c r="A1062" s="360" t="s">
        <v>845</v>
      </c>
      <c r="B1062" s="360" t="s">
        <v>118</v>
      </c>
      <c r="C1062" s="355" t="s">
        <v>84</v>
      </c>
      <c r="D1062">
        <v>20735</v>
      </c>
      <c r="E1062" s="143">
        <v>57273</v>
      </c>
      <c r="F1062" s="117">
        <v>1404</v>
      </c>
      <c r="G1062" s="360" t="s">
        <v>300</v>
      </c>
      <c r="H1062" s="144">
        <f>bargiri[[#This Row],[میزان بارگیری شده]]*bargiri[[#This Row],[فی]]</f>
        <v>1187555655</v>
      </c>
      <c r="I1062" s="360">
        <f>IF(year=bargiri[[#This Row],[سال]],1,0)</f>
        <v>0</v>
      </c>
      <c r="J1062" s="360" t="str">
        <f>VLOOKUP(bargiri[[#This Row],[شماره پیش فاکتور]],invoice[],16,0)</f>
        <v>عادی</v>
      </c>
      <c r="K1062" s="252">
        <f>bargiri[[#This Row],[فی]]*bargiri[[#This Row],[میزان بارگیری شده]]</f>
        <v>1187555655</v>
      </c>
      <c r="X1062" s="1"/>
      <c r="Y1062" s="1"/>
      <c r="Z1062" s="1"/>
    </row>
    <row r="1063" spans="1:26" ht="18.600000000000001">
      <c r="A1063" s="360" t="s">
        <v>845</v>
      </c>
      <c r="B1063" s="360" t="s">
        <v>118</v>
      </c>
      <c r="C1063" s="355" t="s">
        <v>84</v>
      </c>
      <c r="D1063">
        <v>21420</v>
      </c>
      <c r="E1063" s="143">
        <v>57273</v>
      </c>
      <c r="F1063" s="117">
        <v>1404</v>
      </c>
      <c r="G1063" s="360" t="s">
        <v>300</v>
      </c>
      <c r="H1063" s="144">
        <f>bargiri[[#This Row],[میزان بارگیری شده]]*bargiri[[#This Row],[فی]]</f>
        <v>1226787660</v>
      </c>
      <c r="I1063" s="360">
        <f>IF(year=bargiri[[#This Row],[سال]],1,0)</f>
        <v>0</v>
      </c>
      <c r="J1063" s="360" t="str">
        <f>VLOOKUP(bargiri[[#This Row],[شماره پیش فاکتور]],invoice[],16,0)</f>
        <v>عادی</v>
      </c>
      <c r="K1063" s="252">
        <f>bargiri[[#This Row],[فی]]*bargiri[[#This Row],[میزان بارگیری شده]]</f>
        <v>1226787660</v>
      </c>
      <c r="X1063" s="1"/>
      <c r="Y1063" s="1"/>
      <c r="Z1063" s="1"/>
    </row>
    <row r="1064" spans="1:26" ht="18.600000000000001">
      <c r="A1064" s="360" t="s">
        <v>845</v>
      </c>
      <c r="B1064" s="360" t="s">
        <v>118</v>
      </c>
      <c r="C1064" s="355" t="s">
        <v>84</v>
      </c>
      <c r="D1064">
        <v>20930</v>
      </c>
      <c r="E1064" s="143">
        <v>57273</v>
      </c>
      <c r="F1064" s="117">
        <v>1404</v>
      </c>
      <c r="G1064" s="360" t="s">
        <v>300</v>
      </c>
      <c r="H1064" s="144">
        <f>bargiri[[#This Row],[میزان بارگیری شده]]*bargiri[[#This Row],[فی]]</f>
        <v>1198723890</v>
      </c>
      <c r="I1064" s="360">
        <f>IF(year=bargiri[[#This Row],[سال]],1,0)</f>
        <v>0</v>
      </c>
      <c r="J1064" s="360" t="str">
        <f>VLOOKUP(bargiri[[#This Row],[شماره پیش فاکتور]],invoice[],16,0)</f>
        <v>عادی</v>
      </c>
      <c r="K1064" s="252">
        <f>bargiri[[#This Row],[فی]]*bargiri[[#This Row],[میزان بارگیری شده]]</f>
        <v>1198723890</v>
      </c>
      <c r="X1064" s="1"/>
      <c r="Y1064" s="1"/>
      <c r="Z1064" s="1"/>
    </row>
    <row r="1065" spans="1:26" ht="18.600000000000001">
      <c r="A1065" s="360" t="s">
        <v>846</v>
      </c>
      <c r="B1065" s="360" t="s">
        <v>102</v>
      </c>
      <c r="C1065" s="355" t="s">
        <v>22</v>
      </c>
      <c r="D1065">
        <v>11495</v>
      </c>
      <c r="E1065" s="143">
        <v>89000</v>
      </c>
      <c r="F1065" s="117">
        <v>1404</v>
      </c>
      <c r="G1065" s="360" t="s">
        <v>300</v>
      </c>
      <c r="H1065" s="144">
        <f>bargiri[[#This Row],[میزان بارگیری شده]]*bargiri[[#This Row],[فی]]</f>
        <v>1023055000</v>
      </c>
      <c r="I1065" s="360">
        <f>IF(year=bargiri[[#This Row],[سال]],1,0)</f>
        <v>0</v>
      </c>
      <c r="J1065" s="360" t="str">
        <f>VLOOKUP(bargiri[[#This Row],[شماره پیش فاکتور]],invoice[],16,0)</f>
        <v>عادی</v>
      </c>
      <c r="K1065" s="252">
        <f>bargiri[[#This Row],[فی]]*bargiri[[#This Row],[میزان بارگیری شده]]</f>
        <v>1023055000</v>
      </c>
      <c r="X1065" s="1"/>
      <c r="Y1065" s="1"/>
      <c r="Z1065" s="1"/>
    </row>
    <row r="1066" spans="1:26" ht="18.600000000000001">
      <c r="A1066" s="360" t="s">
        <v>846</v>
      </c>
      <c r="B1066" s="360" t="s">
        <v>100</v>
      </c>
      <c r="C1066" s="355" t="s">
        <v>555</v>
      </c>
      <c r="D1066">
        <v>6825</v>
      </c>
      <c r="E1066" s="143">
        <v>142000</v>
      </c>
      <c r="F1066" s="117">
        <v>1404</v>
      </c>
      <c r="G1066" s="360" t="s">
        <v>300</v>
      </c>
      <c r="H1066" s="144">
        <f>bargiri[[#This Row],[میزان بارگیری شده]]*bargiri[[#This Row],[فی]]</f>
        <v>969150000</v>
      </c>
      <c r="I1066" s="360">
        <f>IF(year=bargiri[[#This Row],[سال]],1,0)</f>
        <v>0</v>
      </c>
      <c r="J1066" s="360" t="str">
        <f>VLOOKUP(bargiri[[#This Row],[شماره پیش فاکتور]],invoice[],16,0)</f>
        <v>انجمن</v>
      </c>
      <c r="K1066" s="252">
        <f>bargiri[[#This Row],[فی]]*bargiri[[#This Row],[میزان بارگیری شده]]</f>
        <v>969150000</v>
      </c>
      <c r="X1066" s="1"/>
      <c r="Y1066" s="1"/>
      <c r="Z1066" s="1"/>
    </row>
    <row r="1067" spans="1:26" ht="18.600000000000001">
      <c r="A1067" s="360" t="s">
        <v>846</v>
      </c>
      <c r="B1067" s="360" t="s">
        <v>121</v>
      </c>
      <c r="C1067" s="355" t="s">
        <v>567</v>
      </c>
      <c r="D1067">
        <v>21095</v>
      </c>
      <c r="E1067" s="143">
        <v>142000</v>
      </c>
      <c r="F1067" s="117">
        <v>1404</v>
      </c>
      <c r="G1067" s="360" t="s">
        <v>300</v>
      </c>
      <c r="H1067" s="144">
        <f>bargiri[[#This Row],[میزان بارگیری شده]]*bargiri[[#This Row],[فی]]</f>
        <v>2995490000</v>
      </c>
      <c r="I1067" s="360">
        <f>IF(year=bargiri[[#This Row],[سال]],1,0)</f>
        <v>0</v>
      </c>
      <c r="J1067" s="360" t="str">
        <f>VLOOKUP(bargiri[[#This Row],[شماره پیش فاکتور]],invoice[],16,0)</f>
        <v>انجمن</v>
      </c>
      <c r="K1067" s="252">
        <f>bargiri[[#This Row],[فی]]*bargiri[[#This Row],[میزان بارگیری شده]]</f>
        <v>2995490000</v>
      </c>
      <c r="X1067" s="1"/>
      <c r="Y1067" s="1"/>
      <c r="Z1067" s="1"/>
    </row>
    <row r="1068" spans="1:26" ht="18.600000000000001">
      <c r="A1068" s="360" t="s">
        <v>844</v>
      </c>
      <c r="B1068" s="360" t="s">
        <v>106</v>
      </c>
      <c r="C1068" s="355" t="s">
        <v>44</v>
      </c>
      <c r="D1068">
        <v>22625</v>
      </c>
      <c r="E1068" s="143">
        <v>80000</v>
      </c>
      <c r="F1068" s="117">
        <v>1404</v>
      </c>
      <c r="G1068" s="360" t="s">
        <v>300</v>
      </c>
      <c r="H1068" s="144">
        <f>bargiri[[#This Row],[میزان بارگیری شده]]*bargiri[[#This Row],[فی]]</f>
        <v>1810000000</v>
      </c>
      <c r="I1068" s="360">
        <f>IF(year=bargiri[[#This Row],[سال]],1,0)</f>
        <v>0</v>
      </c>
      <c r="J1068" s="360" t="str">
        <f>VLOOKUP(bargiri[[#This Row],[شماره پیش فاکتور]],invoice[],16,0)</f>
        <v>عادی</v>
      </c>
      <c r="K1068" s="252">
        <f>bargiri[[#This Row],[فی]]*bargiri[[#This Row],[میزان بارگیری شده]]</f>
        <v>1810000000</v>
      </c>
      <c r="X1068" s="1"/>
      <c r="Y1068" s="1"/>
      <c r="Z1068" s="1"/>
    </row>
    <row r="1069" spans="1:26" ht="18.600000000000001">
      <c r="A1069" s="360" t="s">
        <v>843</v>
      </c>
      <c r="B1069" s="360" t="s">
        <v>116</v>
      </c>
      <c r="C1069" s="355" t="s">
        <v>608</v>
      </c>
      <c r="D1069">
        <v>12100</v>
      </c>
      <c r="E1069" s="143">
        <v>95000</v>
      </c>
      <c r="F1069" s="117">
        <v>1404</v>
      </c>
      <c r="G1069" s="360" t="s">
        <v>300</v>
      </c>
      <c r="H1069" s="144">
        <f>bargiri[[#This Row],[میزان بارگیری شده]]*bargiri[[#This Row],[فی]]</f>
        <v>1149500000</v>
      </c>
      <c r="I1069" s="360">
        <f>IF(year=bargiri[[#This Row],[سال]],1,0)</f>
        <v>0</v>
      </c>
      <c r="J1069" s="360" t="str">
        <f>VLOOKUP(bargiri[[#This Row],[شماره پیش فاکتور]],invoice[],16,0)</f>
        <v>عادی</v>
      </c>
      <c r="K1069" s="252">
        <f>bargiri[[#This Row],[فی]]*bargiri[[#This Row],[میزان بارگیری شده]]</f>
        <v>1149500000</v>
      </c>
      <c r="X1069" s="1"/>
      <c r="Y1069" s="1"/>
      <c r="Z1069" s="1"/>
    </row>
    <row r="1070" spans="1:26" ht="18.600000000000001">
      <c r="A1070" s="360" t="s">
        <v>843</v>
      </c>
      <c r="B1070" s="360" t="s">
        <v>116</v>
      </c>
      <c r="C1070" s="355" t="s">
        <v>796</v>
      </c>
      <c r="D1070">
        <v>8070</v>
      </c>
      <c r="E1070" s="143">
        <v>167500</v>
      </c>
      <c r="F1070" s="117">
        <v>1404</v>
      </c>
      <c r="G1070" s="360" t="s">
        <v>300</v>
      </c>
      <c r="H1070" s="144">
        <f>bargiri[[#This Row],[میزان بارگیری شده]]*bargiri[[#This Row],[فی]]</f>
        <v>1351725000</v>
      </c>
      <c r="I1070" s="360">
        <f>IF(year=bargiri[[#This Row],[سال]],1,0)</f>
        <v>0</v>
      </c>
      <c r="J1070" s="360" t="str">
        <f>VLOOKUP(bargiri[[#This Row],[شماره پیش فاکتور]],invoice[],16,0)</f>
        <v>بورس</v>
      </c>
      <c r="K1070" s="252">
        <f>bargiri[[#This Row],[فی]]*bargiri[[#This Row],[میزان بارگیری شده]]</f>
        <v>1351725000</v>
      </c>
      <c r="X1070" s="1"/>
      <c r="Y1070" s="1"/>
      <c r="Z1070" s="1"/>
    </row>
    <row r="1071" spans="1:26" ht="18.600000000000001">
      <c r="A1071" s="360" t="s">
        <v>843</v>
      </c>
      <c r="B1071" s="360" t="s">
        <v>125</v>
      </c>
      <c r="C1071" s="355" t="s">
        <v>570</v>
      </c>
      <c r="D1071">
        <v>14600</v>
      </c>
      <c r="E1071" s="143">
        <v>142000</v>
      </c>
      <c r="F1071" s="117">
        <v>1404</v>
      </c>
      <c r="G1071" s="360" t="s">
        <v>300</v>
      </c>
      <c r="H1071" s="144">
        <f>bargiri[[#This Row],[میزان بارگیری شده]]*bargiri[[#This Row],[فی]]</f>
        <v>2073200000</v>
      </c>
      <c r="I1071" s="360">
        <f>IF(year=bargiri[[#This Row],[سال]],1,0)</f>
        <v>0</v>
      </c>
      <c r="J1071" s="360" t="str">
        <f>VLOOKUP(bargiri[[#This Row],[شماره پیش فاکتور]],invoice[],16,0)</f>
        <v>انجمن</v>
      </c>
      <c r="K1071" s="252">
        <f>bargiri[[#This Row],[فی]]*bargiri[[#This Row],[میزان بارگیری شده]]</f>
        <v>2073200000</v>
      </c>
      <c r="X1071" s="1"/>
      <c r="Y1071" s="1"/>
      <c r="Z1071" s="1"/>
    </row>
    <row r="1072" spans="1:26" ht="18.600000000000001">
      <c r="A1072" s="360" t="s">
        <v>842</v>
      </c>
      <c r="B1072" s="360" t="s">
        <v>106</v>
      </c>
      <c r="C1072" s="355" t="s">
        <v>44</v>
      </c>
      <c r="D1072">
        <v>5445</v>
      </c>
      <c r="E1072" s="143">
        <v>80000</v>
      </c>
      <c r="F1072" s="117">
        <v>1404</v>
      </c>
      <c r="G1072" s="360" t="s">
        <v>300</v>
      </c>
      <c r="H1072" s="144">
        <f>bargiri[[#This Row],[میزان بارگیری شده]]*bargiri[[#This Row],[فی]]</f>
        <v>435600000</v>
      </c>
      <c r="I1072" s="360">
        <f>IF(year=bargiri[[#This Row],[سال]],1,0)</f>
        <v>0</v>
      </c>
      <c r="J1072" s="360" t="str">
        <f>VLOOKUP(bargiri[[#This Row],[شماره پیش فاکتور]],invoice[],16,0)</f>
        <v>عادی</v>
      </c>
      <c r="K1072" s="252">
        <f>bargiri[[#This Row],[فی]]*bargiri[[#This Row],[میزان بارگیری شده]]</f>
        <v>435600000</v>
      </c>
      <c r="X1072" s="1"/>
      <c r="Y1072" s="1"/>
      <c r="Z1072" s="1"/>
    </row>
    <row r="1073" spans="1:26" ht="18.600000000000001">
      <c r="A1073" s="360" t="s">
        <v>842</v>
      </c>
      <c r="B1073" s="360" t="s">
        <v>100</v>
      </c>
      <c r="C1073" s="355" t="s">
        <v>555</v>
      </c>
      <c r="D1073">
        <v>6600</v>
      </c>
      <c r="E1073" s="143">
        <v>142000</v>
      </c>
      <c r="F1073" s="117">
        <v>1404</v>
      </c>
      <c r="G1073" s="360" t="s">
        <v>300</v>
      </c>
      <c r="H1073" s="144">
        <f>bargiri[[#This Row],[میزان بارگیری شده]]*bargiri[[#This Row],[فی]]</f>
        <v>937200000</v>
      </c>
      <c r="I1073" s="360">
        <f>IF(year=bargiri[[#This Row],[سال]],1,0)</f>
        <v>0</v>
      </c>
      <c r="J1073" s="360" t="str">
        <f>VLOOKUP(bargiri[[#This Row],[شماره پیش فاکتور]],invoice[],16,0)</f>
        <v>انجمن</v>
      </c>
      <c r="K1073" s="252">
        <f>bargiri[[#This Row],[فی]]*bargiri[[#This Row],[میزان بارگیری شده]]</f>
        <v>937200000</v>
      </c>
      <c r="X1073" s="1"/>
      <c r="Y1073" s="1"/>
      <c r="Z1073" s="1"/>
    </row>
    <row r="1074" spans="1:26" ht="18.600000000000001">
      <c r="A1074" s="360" t="s">
        <v>841</v>
      </c>
      <c r="B1074" s="360" t="s">
        <v>103</v>
      </c>
      <c r="C1074" s="355" t="s">
        <v>560</v>
      </c>
      <c r="D1074">
        <v>20360</v>
      </c>
      <c r="E1074" s="143">
        <v>142000</v>
      </c>
      <c r="F1074" s="117">
        <v>1404</v>
      </c>
      <c r="G1074" s="360" t="s">
        <v>300</v>
      </c>
      <c r="H1074" s="144">
        <f>bargiri[[#This Row],[میزان بارگیری شده]]*bargiri[[#This Row],[فی]]</f>
        <v>2891120000</v>
      </c>
      <c r="I1074" s="360">
        <f>IF(year=bargiri[[#This Row],[سال]],1,0)</f>
        <v>0</v>
      </c>
      <c r="J1074" s="360" t="str">
        <f>VLOOKUP(bargiri[[#This Row],[شماره پیش فاکتور]],invoice[],16,0)</f>
        <v>انجمن</v>
      </c>
      <c r="K1074" s="252">
        <f>bargiri[[#This Row],[فی]]*bargiri[[#This Row],[میزان بارگیری شده]]</f>
        <v>2891120000</v>
      </c>
      <c r="X1074" s="1"/>
      <c r="Y1074" s="1"/>
      <c r="Z1074" s="1"/>
    </row>
    <row r="1075" spans="1:26" ht="18.600000000000001">
      <c r="A1075" s="360" t="s">
        <v>841</v>
      </c>
      <c r="B1075" s="360" t="s">
        <v>98</v>
      </c>
      <c r="C1075" s="355" t="s">
        <v>721</v>
      </c>
      <c r="D1075">
        <v>22210</v>
      </c>
      <c r="E1075" s="143">
        <v>167500</v>
      </c>
      <c r="F1075" s="117">
        <v>1404</v>
      </c>
      <c r="G1075" s="360" t="s">
        <v>300</v>
      </c>
      <c r="H1075" s="144">
        <f>bargiri[[#This Row],[میزان بارگیری شده]]*bargiri[[#This Row],[فی]]</f>
        <v>3720175000</v>
      </c>
      <c r="I1075" s="360">
        <f>IF(year=bargiri[[#This Row],[سال]],1,0)</f>
        <v>0</v>
      </c>
      <c r="J1075" s="360" t="str">
        <f>VLOOKUP(bargiri[[#This Row],[شماره پیش فاکتور]],invoice[],16,0)</f>
        <v>بورس</v>
      </c>
      <c r="K1075" s="252">
        <f>bargiri[[#This Row],[فی]]*bargiri[[#This Row],[میزان بارگیری شده]]</f>
        <v>3720175000</v>
      </c>
      <c r="X1075" s="1"/>
      <c r="Y1075" s="1"/>
      <c r="Z1075" s="1"/>
    </row>
    <row r="1076" spans="1:26" ht="18.600000000000001">
      <c r="A1076" s="360" t="s">
        <v>841</v>
      </c>
      <c r="B1076" s="360" t="s">
        <v>116</v>
      </c>
      <c r="C1076" s="355" t="s">
        <v>782</v>
      </c>
      <c r="D1076">
        <v>3510</v>
      </c>
      <c r="E1076" s="143">
        <v>167500</v>
      </c>
      <c r="F1076" s="117">
        <v>1404</v>
      </c>
      <c r="G1076" s="360" t="s">
        <v>300</v>
      </c>
      <c r="H1076" s="144">
        <f>bargiri[[#This Row],[میزان بارگیری شده]]*bargiri[[#This Row],[فی]]</f>
        <v>587925000</v>
      </c>
      <c r="I1076" s="360">
        <f>IF(year=bargiri[[#This Row],[سال]],1,0)</f>
        <v>0</v>
      </c>
      <c r="J1076" s="360" t="str">
        <f>VLOOKUP(bargiri[[#This Row],[شماره پیش فاکتور]],invoice[],16,0)</f>
        <v>بورس</v>
      </c>
      <c r="K1076" s="252">
        <f>bargiri[[#This Row],[فی]]*bargiri[[#This Row],[میزان بارگیری شده]]</f>
        <v>587925000</v>
      </c>
      <c r="X1076" s="1"/>
      <c r="Y1076" s="1"/>
      <c r="Z1076" s="1"/>
    </row>
    <row r="1077" spans="1:26" ht="18.600000000000001">
      <c r="A1077" s="360" t="s">
        <v>841</v>
      </c>
      <c r="B1077" s="360" t="s">
        <v>116</v>
      </c>
      <c r="C1077" s="355" t="s">
        <v>796</v>
      </c>
      <c r="D1077">
        <v>4970</v>
      </c>
      <c r="E1077" s="143">
        <v>167500</v>
      </c>
      <c r="F1077" s="117">
        <v>1404</v>
      </c>
      <c r="G1077" s="360" t="s">
        <v>300</v>
      </c>
      <c r="H1077" s="144">
        <f>bargiri[[#This Row],[میزان بارگیری شده]]*bargiri[[#This Row],[فی]]</f>
        <v>832475000</v>
      </c>
      <c r="I1077" s="360">
        <f>IF(year=bargiri[[#This Row],[سال]],1,0)</f>
        <v>0</v>
      </c>
      <c r="J1077" s="360" t="str">
        <f>VLOOKUP(bargiri[[#This Row],[شماره پیش فاکتور]],invoice[],16,0)</f>
        <v>بورس</v>
      </c>
      <c r="K1077" s="252">
        <f>bargiri[[#This Row],[فی]]*bargiri[[#This Row],[میزان بارگیری شده]]</f>
        <v>832475000</v>
      </c>
      <c r="X1077" s="1"/>
      <c r="Y1077" s="1"/>
      <c r="Z1077" s="1"/>
    </row>
    <row r="1078" spans="1:26" ht="18.600000000000001">
      <c r="A1078" s="360" t="s">
        <v>841</v>
      </c>
      <c r="B1078" s="360" t="s">
        <v>106</v>
      </c>
      <c r="C1078" s="355" t="s">
        <v>44</v>
      </c>
      <c r="D1078">
        <v>13005</v>
      </c>
      <c r="E1078" s="143">
        <v>80000</v>
      </c>
      <c r="F1078" s="117">
        <v>1404</v>
      </c>
      <c r="G1078" s="360" t="s">
        <v>300</v>
      </c>
      <c r="H1078" s="144">
        <f>bargiri[[#This Row],[میزان بارگیری شده]]*bargiri[[#This Row],[فی]]</f>
        <v>1040400000</v>
      </c>
      <c r="I1078" s="360">
        <f>IF(year=bargiri[[#This Row],[سال]],1,0)</f>
        <v>0</v>
      </c>
      <c r="J1078" s="360" t="str">
        <f>VLOOKUP(bargiri[[#This Row],[شماره پیش فاکتور]],invoice[],16,0)</f>
        <v>عادی</v>
      </c>
      <c r="K1078" s="252">
        <f>bargiri[[#This Row],[فی]]*bargiri[[#This Row],[میزان بارگیری شده]]</f>
        <v>1040400000</v>
      </c>
      <c r="X1078" s="1"/>
      <c r="Y1078" s="1"/>
      <c r="Z1078" s="1"/>
    </row>
    <row r="1079" spans="1:26" ht="18.600000000000001">
      <c r="A1079" s="360" t="s">
        <v>841</v>
      </c>
      <c r="B1079" s="360" t="s">
        <v>114</v>
      </c>
      <c r="C1079" s="355" t="s">
        <v>62</v>
      </c>
      <c r="D1079">
        <v>23270</v>
      </c>
      <c r="E1079" s="143">
        <v>75000</v>
      </c>
      <c r="F1079" s="117">
        <v>1404</v>
      </c>
      <c r="G1079" s="360" t="s">
        <v>300</v>
      </c>
      <c r="H1079" s="144">
        <f>bargiri[[#This Row],[میزان بارگیری شده]]*bargiri[[#This Row],[فی]]</f>
        <v>1745250000</v>
      </c>
      <c r="I1079" s="360">
        <f>IF(year=bargiri[[#This Row],[سال]],1,0)</f>
        <v>0</v>
      </c>
      <c r="J1079" s="360" t="str">
        <f>VLOOKUP(bargiri[[#This Row],[شماره پیش فاکتور]],invoice[],16,0)</f>
        <v>عادی</v>
      </c>
      <c r="K1079" s="252">
        <f>bargiri[[#This Row],[فی]]*bargiri[[#This Row],[میزان بارگیری شده]]</f>
        <v>1745250000</v>
      </c>
      <c r="X1079" s="1"/>
      <c r="Y1079" s="1"/>
      <c r="Z1079" s="1"/>
    </row>
    <row r="1080" spans="1:26" ht="18.600000000000001">
      <c r="A1080" s="360" t="s">
        <v>841</v>
      </c>
      <c r="B1080" s="360" t="s">
        <v>116</v>
      </c>
      <c r="C1080" s="355" t="s">
        <v>565</v>
      </c>
      <c r="D1080">
        <v>20965</v>
      </c>
      <c r="E1080" s="143">
        <v>142000</v>
      </c>
      <c r="F1080" s="117">
        <v>1404</v>
      </c>
      <c r="G1080" s="360" t="s">
        <v>300</v>
      </c>
      <c r="H1080" s="144">
        <f>bargiri[[#This Row],[میزان بارگیری شده]]*bargiri[[#This Row],[فی]]</f>
        <v>2977030000</v>
      </c>
      <c r="I1080" s="360">
        <f>IF(year=bargiri[[#This Row],[سال]],1,0)</f>
        <v>0</v>
      </c>
      <c r="J1080" s="360" t="str">
        <f>VLOOKUP(bargiri[[#This Row],[شماره پیش فاکتور]],invoice[],16,0)</f>
        <v>انجمن</v>
      </c>
      <c r="K1080" s="252">
        <f>bargiri[[#This Row],[فی]]*bargiri[[#This Row],[میزان بارگیری شده]]</f>
        <v>2977030000</v>
      </c>
      <c r="X1080" s="1"/>
      <c r="Y1080" s="1"/>
      <c r="Z1080" s="1"/>
    </row>
    <row r="1081" spans="1:26" ht="18.600000000000001">
      <c r="A1081" s="360" t="s">
        <v>841</v>
      </c>
      <c r="B1081" s="360" t="s">
        <v>106</v>
      </c>
      <c r="C1081" s="355" t="s">
        <v>44</v>
      </c>
      <c r="D1081">
        <v>5505</v>
      </c>
      <c r="E1081" s="143">
        <v>80000</v>
      </c>
      <c r="F1081" s="117">
        <v>1404</v>
      </c>
      <c r="G1081" s="360" t="s">
        <v>300</v>
      </c>
      <c r="H1081" s="144">
        <f>bargiri[[#This Row],[میزان بارگیری شده]]*bargiri[[#This Row],[فی]]</f>
        <v>440400000</v>
      </c>
      <c r="I1081" s="360">
        <f>IF(year=bargiri[[#This Row],[سال]],1,0)</f>
        <v>0</v>
      </c>
      <c r="J1081" s="360" t="str">
        <f>VLOOKUP(bargiri[[#This Row],[شماره پیش فاکتور]],invoice[],16,0)</f>
        <v>عادی</v>
      </c>
      <c r="K1081" s="252">
        <f>bargiri[[#This Row],[فی]]*bargiri[[#This Row],[میزان بارگیری شده]]</f>
        <v>440400000</v>
      </c>
      <c r="X1081" s="1"/>
      <c r="Y1081" s="1"/>
      <c r="Z1081" s="1"/>
    </row>
    <row r="1082" spans="1:26" ht="18.600000000000001">
      <c r="A1082" s="360" t="s">
        <v>840</v>
      </c>
      <c r="B1082" s="360" t="s">
        <v>116</v>
      </c>
      <c r="C1082" s="355" t="s">
        <v>608</v>
      </c>
      <c r="D1082">
        <v>21145</v>
      </c>
      <c r="E1082" s="143">
        <v>95000</v>
      </c>
      <c r="F1082" s="117">
        <v>1404</v>
      </c>
      <c r="G1082" s="360" t="s">
        <v>300</v>
      </c>
      <c r="H1082" s="144">
        <f>bargiri[[#This Row],[میزان بارگیری شده]]*bargiri[[#This Row],[فی]]</f>
        <v>2008775000</v>
      </c>
      <c r="I1082" s="360">
        <f>IF(year=bargiri[[#This Row],[سال]],1,0)</f>
        <v>0</v>
      </c>
      <c r="J1082" s="360" t="str">
        <f>VLOOKUP(bargiri[[#This Row],[شماره پیش فاکتور]],invoice[],16,0)</f>
        <v>عادی</v>
      </c>
      <c r="K1082" s="252">
        <f>bargiri[[#This Row],[فی]]*bargiri[[#This Row],[میزان بارگیری شده]]</f>
        <v>2008775000</v>
      </c>
      <c r="X1082" s="1"/>
      <c r="Y1082" s="1"/>
      <c r="Z1082" s="1"/>
    </row>
    <row r="1083" spans="1:26" ht="18.600000000000001">
      <c r="A1083" s="360" t="s">
        <v>840</v>
      </c>
      <c r="B1083" s="360" t="s">
        <v>106</v>
      </c>
      <c r="C1083" s="355" t="s">
        <v>44</v>
      </c>
      <c r="D1083">
        <v>20200</v>
      </c>
      <c r="E1083" s="143">
        <v>80000</v>
      </c>
      <c r="F1083" s="117">
        <v>1404</v>
      </c>
      <c r="G1083" s="360" t="s">
        <v>300</v>
      </c>
      <c r="H1083" s="144">
        <f>bargiri[[#This Row],[میزان بارگیری شده]]*bargiri[[#This Row],[فی]]</f>
        <v>1616000000</v>
      </c>
      <c r="I1083" s="360">
        <f>IF(year=bargiri[[#This Row],[سال]],1,0)</f>
        <v>0</v>
      </c>
      <c r="J1083" s="360" t="str">
        <f>VLOOKUP(bargiri[[#This Row],[شماره پیش فاکتور]],invoice[],16,0)</f>
        <v>عادی</v>
      </c>
      <c r="K1083" s="252">
        <f>bargiri[[#This Row],[فی]]*bargiri[[#This Row],[میزان بارگیری شده]]</f>
        <v>1616000000</v>
      </c>
      <c r="X1083" s="1"/>
      <c r="Y1083" s="1"/>
      <c r="Z1083" s="1"/>
    </row>
    <row r="1084" spans="1:26" ht="18.600000000000001">
      <c r="A1084" s="360" t="s">
        <v>840</v>
      </c>
      <c r="B1084" s="360" t="s">
        <v>116</v>
      </c>
      <c r="C1084" s="355" t="s">
        <v>782</v>
      </c>
      <c r="D1084">
        <v>12085</v>
      </c>
      <c r="E1084" s="143">
        <v>167500</v>
      </c>
      <c r="F1084" s="117">
        <v>1404</v>
      </c>
      <c r="G1084" s="360" t="s">
        <v>300</v>
      </c>
      <c r="H1084" s="144">
        <f>bargiri[[#This Row],[میزان بارگیری شده]]*bargiri[[#This Row],[فی]]</f>
        <v>2024237500</v>
      </c>
      <c r="I1084" s="360">
        <f>IF(year=bargiri[[#This Row],[سال]],1,0)</f>
        <v>0</v>
      </c>
      <c r="J1084" s="360" t="str">
        <f>VLOOKUP(bargiri[[#This Row],[شماره پیش فاکتور]],invoice[],16,0)</f>
        <v>بورس</v>
      </c>
      <c r="K1084" s="252">
        <f>bargiri[[#This Row],[فی]]*bargiri[[#This Row],[میزان بارگیری شده]]</f>
        <v>2024237500</v>
      </c>
      <c r="X1084" s="1"/>
      <c r="Y1084" s="1"/>
      <c r="Z1084" s="1"/>
    </row>
    <row r="1085" spans="1:26" ht="18.600000000000001">
      <c r="A1085" s="360" t="s">
        <v>840</v>
      </c>
      <c r="B1085" s="360" t="s">
        <v>116</v>
      </c>
      <c r="C1085" s="355" t="s">
        <v>782</v>
      </c>
      <c r="D1085">
        <v>18735</v>
      </c>
      <c r="E1085" s="143">
        <v>167500</v>
      </c>
      <c r="F1085" s="117">
        <v>1404</v>
      </c>
      <c r="G1085" s="360" t="s">
        <v>300</v>
      </c>
      <c r="H1085" s="144">
        <f>bargiri[[#This Row],[میزان بارگیری شده]]*bargiri[[#This Row],[فی]]</f>
        <v>3138112500</v>
      </c>
      <c r="I1085" s="360">
        <f>IF(year=bargiri[[#This Row],[سال]],1,0)</f>
        <v>0</v>
      </c>
      <c r="J1085" s="360" t="str">
        <f>VLOOKUP(bargiri[[#This Row],[شماره پیش فاکتور]],invoice[],16,0)</f>
        <v>بورس</v>
      </c>
      <c r="K1085" s="252">
        <f>bargiri[[#This Row],[فی]]*bargiri[[#This Row],[میزان بارگیری شده]]</f>
        <v>3138112500</v>
      </c>
      <c r="X1085" s="1"/>
      <c r="Y1085" s="1"/>
      <c r="Z1085" s="1"/>
    </row>
    <row r="1086" spans="1:26" ht="18.600000000000001">
      <c r="A1086" s="360" t="s">
        <v>840</v>
      </c>
      <c r="B1086" s="360" t="s">
        <v>106</v>
      </c>
      <c r="C1086" s="355" t="s">
        <v>44</v>
      </c>
      <c r="D1086">
        <v>22310</v>
      </c>
      <c r="E1086" s="143">
        <v>80000</v>
      </c>
      <c r="F1086" s="117">
        <v>1404</v>
      </c>
      <c r="G1086" s="360" t="s">
        <v>300</v>
      </c>
      <c r="H1086" s="144">
        <f>bargiri[[#This Row],[میزان بارگیری شده]]*bargiri[[#This Row],[فی]]</f>
        <v>1784800000</v>
      </c>
      <c r="I1086" s="360">
        <f>IF(year=bargiri[[#This Row],[سال]],1,0)</f>
        <v>0</v>
      </c>
      <c r="J1086" s="360" t="str">
        <f>VLOOKUP(bargiri[[#This Row],[شماره پیش فاکتور]],invoice[],16,0)</f>
        <v>عادی</v>
      </c>
      <c r="K1086" s="252">
        <f>bargiri[[#This Row],[فی]]*bargiri[[#This Row],[میزان بارگیری شده]]</f>
        <v>1784800000</v>
      </c>
      <c r="X1086" s="1"/>
      <c r="Y1086" s="1"/>
      <c r="Z1086" s="1"/>
    </row>
    <row r="1087" spans="1:26" ht="18.600000000000001">
      <c r="A1087" s="360" t="s">
        <v>840</v>
      </c>
      <c r="B1087" s="360" t="s">
        <v>102</v>
      </c>
      <c r="C1087" s="355" t="s">
        <v>559</v>
      </c>
      <c r="D1087">
        <v>11460</v>
      </c>
      <c r="E1087" s="143">
        <v>142000</v>
      </c>
      <c r="F1087" s="117">
        <v>1404</v>
      </c>
      <c r="G1087" s="360" t="s">
        <v>300</v>
      </c>
      <c r="H1087" s="144">
        <f>bargiri[[#This Row],[میزان بارگیری شده]]*bargiri[[#This Row],[فی]]</f>
        <v>1627320000</v>
      </c>
      <c r="I1087" s="360">
        <f>IF(year=bargiri[[#This Row],[سال]],1,0)</f>
        <v>0</v>
      </c>
      <c r="J1087" s="360" t="str">
        <f>VLOOKUP(bargiri[[#This Row],[شماره پیش فاکتور]],invoice[],16,0)</f>
        <v>انجمن</v>
      </c>
      <c r="K1087" s="252">
        <f>bargiri[[#This Row],[فی]]*bargiri[[#This Row],[میزان بارگیری شده]]</f>
        <v>1627320000</v>
      </c>
      <c r="X1087" s="1"/>
      <c r="Y1087" s="1"/>
      <c r="Z1087" s="1"/>
    </row>
    <row r="1088" spans="1:26" ht="18.600000000000001">
      <c r="A1088" s="360" t="s">
        <v>840</v>
      </c>
      <c r="B1088" s="360" t="s">
        <v>117</v>
      </c>
      <c r="C1088" s="355" t="s">
        <v>687</v>
      </c>
      <c r="D1088">
        <v>20150</v>
      </c>
      <c r="E1088" s="143">
        <v>116500</v>
      </c>
      <c r="F1088" s="117">
        <v>1404</v>
      </c>
      <c r="G1088" s="360" t="s">
        <v>300</v>
      </c>
      <c r="H1088" s="144">
        <f>bargiri[[#This Row],[میزان بارگیری شده]]*bargiri[[#This Row],[فی]]</f>
        <v>2347475000</v>
      </c>
      <c r="I1088" s="360">
        <f>IF(year=bargiri[[#This Row],[سال]],1,0)</f>
        <v>0</v>
      </c>
      <c r="J1088" s="360" t="str">
        <f>VLOOKUP(bargiri[[#This Row],[شماره پیش فاکتور]],invoice[],16,0)</f>
        <v>تعادلی</v>
      </c>
      <c r="K1088" s="252">
        <f>bargiri[[#This Row],[فی]]*bargiri[[#This Row],[میزان بارگیری شده]]</f>
        <v>2347475000</v>
      </c>
      <c r="X1088" s="1"/>
      <c r="Y1088" s="1"/>
      <c r="Z1088" s="1"/>
    </row>
    <row r="1089" spans="1:26" ht="18.600000000000001">
      <c r="A1089" s="360" t="s">
        <v>839</v>
      </c>
      <c r="B1089" s="360" t="s">
        <v>99</v>
      </c>
      <c r="C1089" s="355" t="s">
        <v>12</v>
      </c>
      <c r="D1089">
        <v>19200</v>
      </c>
      <c r="E1089" s="143">
        <v>86500</v>
      </c>
      <c r="F1089" s="117">
        <v>1404</v>
      </c>
      <c r="G1089" s="360" t="s">
        <v>300</v>
      </c>
      <c r="H1089" s="144">
        <f>bargiri[[#This Row],[میزان بارگیری شده]]*bargiri[[#This Row],[فی]]</f>
        <v>1660800000</v>
      </c>
      <c r="I1089" s="360">
        <f>IF(year=bargiri[[#This Row],[سال]],1,0)</f>
        <v>0</v>
      </c>
      <c r="J1089" s="360" t="str">
        <f>VLOOKUP(bargiri[[#This Row],[شماره پیش فاکتور]],invoice[],16,0)</f>
        <v>عادی</v>
      </c>
      <c r="K1089" s="252">
        <f>bargiri[[#This Row],[فی]]*bargiri[[#This Row],[میزان بارگیری شده]]</f>
        <v>1660800000</v>
      </c>
      <c r="X1089" s="1"/>
      <c r="Y1089" s="1"/>
      <c r="Z1089" s="1"/>
    </row>
    <row r="1090" spans="1:26" ht="18.600000000000001">
      <c r="A1090" s="360" t="s">
        <v>839</v>
      </c>
      <c r="B1090" s="360" t="s">
        <v>116</v>
      </c>
      <c r="C1090" s="355" t="s">
        <v>565</v>
      </c>
      <c r="D1090">
        <v>21055</v>
      </c>
      <c r="E1090" s="143">
        <v>142000</v>
      </c>
      <c r="F1090" s="117">
        <v>1404</v>
      </c>
      <c r="G1090" s="360" t="s">
        <v>300</v>
      </c>
      <c r="H1090" s="144">
        <f>bargiri[[#This Row],[میزان بارگیری شده]]*bargiri[[#This Row],[فی]]</f>
        <v>2989810000</v>
      </c>
      <c r="I1090" s="360">
        <f>IF(year=bargiri[[#This Row],[سال]],1,0)</f>
        <v>0</v>
      </c>
      <c r="J1090" s="360" t="str">
        <f>VLOOKUP(bargiri[[#This Row],[شماره پیش فاکتور]],invoice[],16,0)</f>
        <v>انجمن</v>
      </c>
      <c r="K1090" s="252">
        <f>bargiri[[#This Row],[فی]]*bargiri[[#This Row],[میزان بارگیری شده]]</f>
        <v>2989810000</v>
      </c>
      <c r="X1090" s="1"/>
      <c r="Y1090" s="1"/>
      <c r="Z1090" s="1"/>
    </row>
    <row r="1091" spans="1:26" ht="18.600000000000001">
      <c r="A1091" s="360" t="s">
        <v>839</v>
      </c>
      <c r="B1091" s="360" t="s">
        <v>118</v>
      </c>
      <c r="C1091" s="355" t="s">
        <v>84</v>
      </c>
      <c r="D1091">
        <v>20710</v>
      </c>
      <c r="E1091" s="143">
        <v>57273</v>
      </c>
      <c r="F1091" s="117">
        <v>1404</v>
      </c>
      <c r="G1091" s="360" t="s">
        <v>300</v>
      </c>
      <c r="H1091" s="144">
        <f>bargiri[[#This Row],[میزان بارگیری شده]]*bargiri[[#This Row],[فی]]</f>
        <v>1186123830</v>
      </c>
      <c r="I1091" s="360">
        <f>IF(year=bargiri[[#This Row],[سال]],1,0)</f>
        <v>0</v>
      </c>
      <c r="J1091" s="360" t="str">
        <f>VLOOKUP(bargiri[[#This Row],[شماره پیش فاکتور]],invoice[],16,0)</f>
        <v>عادی</v>
      </c>
      <c r="K1091" s="252">
        <f>bargiri[[#This Row],[فی]]*bargiri[[#This Row],[میزان بارگیری شده]]</f>
        <v>1186123830</v>
      </c>
      <c r="X1091" s="1"/>
      <c r="Y1091" s="1"/>
      <c r="Z1091" s="1"/>
    </row>
    <row r="1092" spans="1:26" ht="18.600000000000001">
      <c r="A1092" s="360" t="s">
        <v>839</v>
      </c>
      <c r="B1092" s="360" t="s">
        <v>118</v>
      </c>
      <c r="C1092" s="355" t="s">
        <v>84</v>
      </c>
      <c r="D1092">
        <v>20545</v>
      </c>
      <c r="E1092" s="143">
        <v>57273</v>
      </c>
      <c r="F1092" s="117">
        <v>1404</v>
      </c>
      <c r="G1092" s="360" t="s">
        <v>300</v>
      </c>
      <c r="H1092" s="144">
        <f>bargiri[[#This Row],[میزان بارگیری شده]]*bargiri[[#This Row],[فی]]</f>
        <v>1176673785</v>
      </c>
      <c r="I1092" s="360">
        <f>IF(year=bargiri[[#This Row],[سال]],1,0)</f>
        <v>0</v>
      </c>
      <c r="J1092" s="360" t="str">
        <f>VLOOKUP(bargiri[[#This Row],[شماره پیش فاکتور]],invoice[],16,0)</f>
        <v>عادی</v>
      </c>
      <c r="K1092" s="252">
        <f>bargiri[[#This Row],[فی]]*bargiri[[#This Row],[میزان بارگیری شده]]</f>
        <v>1176673785</v>
      </c>
      <c r="X1092" s="1"/>
      <c r="Y1092" s="1"/>
      <c r="Z1092" s="1"/>
    </row>
    <row r="1093" spans="1:26" ht="18.600000000000001">
      <c r="A1093" s="360" t="s">
        <v>839</v>
      </c>
      <c r="B1093" s="360" t="s">
        <v>123</v>
      </c>
      <c r="C1093" s="355" t="s">
        <v>569</v>
      </c>
      <c r="D1093">
        <v>7855</v>
      </c>
      <c r="E1093" s="143">
        <v>142000</v>
      </c>
      <c r="F1093" s="117">
        <v>1404</v>
      </c>
      <c r="G1093" s="360" t="s">
        <v>300</v>
      </c>
      <c r="H1093" s="144">
        <f>bargiri[[#This Row],[میزان بارگیری شده]]*bargiri[[#This Row],[فی]]</f>
        <v>1115410000</v>
      </c>
      <c r="I1093" s="360">
        <f>IF(year=bargiri[[#This Row],[سال]],1,0)</f>
        <v>0</v>
      </c>
      <c r="J1093" s="360" t="str">
        <f>VLOOKUP(bargiri[[#This Row],[شماره پیش فاکتور]],invoice[],16,0)</f>
        <v>انجمن</v>
      </c>
      <c r="K1093" s="252">
        <f>bargiri[[#This Row],[فی]]*bargiri[[#This Row],[میزان بارگیری شده]]</f>
        <v>1115410000</v>
      </c>
      <c r="X1093" s="1"/>
      <c r="Y1093" s="1"/>
      <c r="Z1093" s="1"/>
    </row>
    <row r="1094" spans="1:26" ht="18.600000000000001">
      <c r="A1094" s="360" t="s">
        <v>837</v>
      </c>
      <c r="B1094" s="360" t="s">
        <v>98</v>
      </c>
      <c r="C1094" s="355" t="s">
        <v>721</v>
      </c>
      <c r="D1094">
        <v>7250</v>
      </c>
      <c r="E1094" s="143">
        <v>167500</v>
      </c>
      <c r="F1094" s="117">
        <v>1404</v>
      </c>
      <c r="G1094" s="360" t="s">
        <v>300</v>
      </c>
      <c r="H1094" s="144">
        <f>bargiri[[#This Row],[میزان بارگیری شده]]*bargiri[[#This Row],[فی]]</f>
        <v>1214375000</v>
      </c>
      <c r="I1094" s="360">
        <f>IF(year=bargiri[[#This Row],[سال]],1,0)</f>
        <v>0</v>
      </c>
      <c r="J1094" s="360" t="str">
        <f>VLOOKUP(bargiri[[#This Row],[شماره پیش فاکتور]],invoice[],16,0)</f>
        <v>بورس</v>
      </c>
      <c r="K1094" s="252">
        <f>bargiri[[#This Row],[فی]]*bargiri[[#This Row],[میزان بارگیری شده]]</f>
        <v>1214375000</v>
      </c>
      <c r="X1094" s="1"/>
      <c r="Y1094" s="1"/>
      <c r="Z1094" s="1"/>
    </row>
    <row r="1095" spans="1:26" ht="18.600000000000001">
      <c r="A1095" s="360" t="s">
        <v>837</v>
      </c>
      <c r="B1095" s="360" t="s">
        <v>98</v>
      </c>
      <c r="C1095" s="355" t="s">
        <v>726</v>
      </c>
      <c r="D1095">
        <v>16035</v>
      </c>
      <c r="E1095" s="143">
        <v>116500</v>
      </c>
      <c r="F1095" s="117">
        <v>1404</v>
      </c>
      <c r="G1095" s="360" t="s">
        <v>300</v>
      </c>
      <c r="H1095" s="144">
        <f>bargiri[[#This Row],[میزان بارگیری شده]]*bargiri[[#This Row],[فی]]</f>
        <v>1868077500</v>
      </c>
      <c r="I1095" s="360">
        <f>IF(year=bargiri[[#This Row],[سال]],1,0)</f>
        <v>0</v>
      </c>
      <c r="J1095" s="360" t="str">
        <f>VLOOKUP(bargiri[[#This Row],[شماره پیش فاکتور]],invoice[],16,0)</f>
        <v>تعادلی</v>
      </c>
      <c r="K1095" s="252">
        <f>bargiri[[#This Row],[فی]]*bargiri[[#This Row],[میزان بارگیری شده]]</f>
        <v>1868077500</v>
      </c>
      <c r="X1095" s="1"/>
      <c r="Y1095" s="1"/>
      <c r="Z1095" s="1"/>
    </row>
    <row r="1096" spans="1:26" ht="18.600000000000001">
      <c r="A1096" s="360" t="s">
        <v>838</v>
      </c>
      <c r="B1096" s="360" t="s">
        <v>118</v>
      </c>
      <c r="C1096" s="355" t="s">
        <v>84</v>
      </c>
      <c r="D1096">
        <v>20265</v>
      </c>
      <c r="E1096" s="143">
        <v>57273</v>
      </c>
      <c r="F1096" s="117">
        <v>1404</v>
      </c>
      <c r="G1096" s="360" t="s">
        <v>300</v>
      </c>
      <c r="H1096" s="144">
        <f>bargiri[[#This Row],[میزان بارگیری شده]]*bargiri[[#This Row],[فی]]</f>
        <v>1160637345</v>
      </c>
      <c r="I1096" s="360">
        <f>IF(year=bargiri[[#This Row],[سال]],1,0)</f>
        <v>0</v>
      </c>
      <c r="J1096" s="360" t="str">
        <f>VLOOKUP(bargiri[[#This Row],[شماره پیش فاکتور]],invoice[],16,0)</f>
        <v>عادی</v>
      </c>
      <c r="K1096" s="252">
        <f>bargiri[[#This Row],[فی]]*bargiri[[#This Row],[میزان بارگیری شده]]</f>
        <v>1160637345</v>
      </c>
      <c r="X1096" s="1"/>
      <c r="Y1096" s="1"/>
      <c r="Z1096" s="1"/>
    </row>
    <row r="1097" spans="1:26" ht="18.600000000000001">
      <c r="A1097" s="360" t="s">
        <v>838</v>
      </c>
      <c r="B1097" s="360" t="s">
        <v>118</v>
      </c>
      <c r="C1097" s="355" t="s">
        <v>84</v>
      </c>
      <c r="D1097">
        <v>20450</v>
      </c>
      <c r="E1097" s="143">
        <v>57273</v>
      </c>
      <c r="F1097" s="117">
        <v>1404</v>
      </c>
      <c r="G1097" s="360" t="s">
        <v>300</v>
      </c>
      <c r="H1097" s="144">
        <f>bargiri[[#This Row],[میزان بارگیری شده]]*bargiri[[#This Row],[فی]]</f>
        <v>1171232850</v>
      </c>
      <c r="I1097" s="360">
        <f>IF(year=bargiri[[#This Row],[سال]],1,0)</f>
        <v>0</v>
      </c>
      <c r="J1097" s="360" t="str">
        <f>VLOOKUP(bargiri[[#This Row],[شماره پیش فاکتور]],invoice[],16,0)</f>
        <v>عادی</v>
      </c>
      <c r="K1097" s="252">
        <f>bargiri[[#This Row],[فی]]*bargiri[[#This Row],[میزان بارگیری شده]]</f>
        <v>1171232850</v>
      </c>
      <c r="X1097" s="1"/>
      <c r="Y1097" s="1"/>
      <c r="Z1097" s="1"/>
    </row>
    <row r="1098" spans="1:26" ht="18.600000000000001">
      <c r="A1098" s="360" t="s">
        <v>838</v>
      </c>
      <c r="B1098" s="360" t="s">
        <v>102</v>
      </c>
      <c r="C1098" s="355" t="s">
        <v>22</v>
      </c>
      <c r="D1098">
        <v>11375</v>
      </c>
      <c r="E1098" s="143">
        <v>89000</v>
      </c>
      <c r="F1098" s="117">
        <v>1404</v>
      </c>
      <c r="G1098" s="360" t="s">
        <v>300</v>
      </c>
      <c r="H1098" s="144">
        <f>bargiri[[#This Row],[میزان بارگیری شده]]*bargiri[[#This Row],[فی]]</f>
        <v>1012375000</v>
      </c>
      <c r="I1098" s="360">
        <f>IF(year=bargiri[[#This Row],[سال]],1,0)</f>
        <v>0</v>
      </c>
      <c r="J1098" s="360" t="str">
        <f>VLOOKUP(bargiri[[#This Row],[شماره پیش فاکتور]],invoice[],16,0)</f>
        <v>عادی</v>
      </c>
      <c r="K1098" s="252">
        <f>bargiri[[#This Row],[فی]]*bargiri[[#This Row],[میزان بارگیری شده]]</f>
        <v>1012375000</v>
      </c>
      <c r="X1098" s="1"/>
      <c r="Y1098" s="1"/>
      <c r="Z1098" s="1"/>
    </row>
    <row r="1099" spans="1:26" ht="18.600000000000001">
      <c r="A1099" s="360" t="s">
        <v>838</v>
      </c>
      <c r="B1099" s="360" t="s">
        <v>106</v>
      </c>
      <c r="C1099" s="355" t="s">
        <v>44</v>
      </c>
      <c r="D1099">
        <v>22245</v>
      </c>
      <c r="E1099" s="143">
        <v>80000</v>
      </c>
      <c r="F1099" s="117">
        <v>1404</v>
      </c>
      <c r="G1099" s="360" t="s">
        <v>300</v>
      </c>
      <c r="H1099" s="144">
        <f>bargiri[[#This Row],[میزان بارگیری شده]]*bargiri[[#This Row],[فی]]</f>
        <v>1779600000</v>
      </c>
      <c r="I1099" s="360">
        <f>IF(year=bargiri[[#This Row],[سال]],1,0)</f>
        <v>0</v>
      </c>
      <c r="J1099" s="360" t="str">
        <f>VLOOKUP(bargiri[[#This Row],[شماره پیش فاکتور]],invoice[],16,0)</f>
        <v>عادی</v>
      </c>
      <c r="K1099" s="252">
        <f>bargiri[[#This Row],[فی]]*bargiri[[#This Row],[میزان بارگیری شده]]</f>
        <v>1779600000</v>
      </c>
      <c r="X1099" s="1"/>
      <c r="Y1099" s="1"/>
      <c r="Z1099" s="1"/>
    </row>
    <row r="1100" spans="1:26" ht="18.600000000000001">
      <c r="A1100" s="360" t="s">
        <v>837</v>
      </c>
      <c r="B1100" s="360" t="s">
        <v>106</v>
      </c>
      <c r="C1100" s="355" t="s">
        <v>44</v>
      </c>
      <c r="D1100">
        <v>22205</v>
      </c>
      <c r="E1100" s="143">
        <v>80000</v>
      </c>
      <c r="F1100" s="117">
        <v>1404</v>
      </c>
      <c r="G1100" s="360" t="s">
        <v>300</v>
      </c>
      <c r="H1100" s="144">
        <f>bargiri[[#This Row],[میزان بارگیری شده]]*bargiri[[#This Row],[فی]]</f>
        <v>1776400000</v>
      </c>
      <c r="I1100" s="360">
        <f>IF(year=bargiri[[#This Row],[سال]],1,0)</f>
        <v>0</v>
      </c>
      <c r="J1100" s="360" t="str">
        <f>VLOOKUP(bargiri[[#This Row],[شماره پیش فاکتور]],invoice[],16,0)</f>
        <v>عادی</v>
      </c>
      <c r="K1100" s="252">
        <f>bargiri[[#This Row],[فی]]*bargiri[[#This Row],[میزان بارگیری شده]]</f>
        <v>1776400000</v>
      </c>
      <c r="X1100" s="1"/>
      <c r="Y1100" s="1"/>
      <c r="Z1100" s="1"/>
    </row>
    <row r="1101" spans="1:26" ht="18.600000000000001">
      <c r="A1101" s="360" t="s">
        <v>837</v>
      </c>
      <c r="B1101" s="360" t="s">
        <v>116</v>
      </c>
      <c r="C1101" s="355" t="s">
        <v>608</v>
      </c>
      <c r="D1101">
        <v>20870</v>
      </c>
      <c r="E1101" s="143">
        <v>95000</v>
      </c>
      <c r="F1101" s="117">
        <v>1404</v>
      </c>
      <c r="G1101" s="360" t="s">
        <v>300</v>
      </c>
      <c r="H1101" s="144">
        <f>bargiri[[#This Row],[میزان بارگیری شده]]*bargiri[[#This Row],[فی]]</f>
        <v>1982650000</v>
      </c>
      <c r="I1101" s="360">
        <f>IF(year=bargiri[[#This Row],[سال]],1,0)</f>
        <v>0</v>
      </c>
      <c r="J1101" s="360" t="str">
        <f>VLOOKUP(bargiri[[#This Row],[شماره پیش فاکتور]],invoice[],16,0)</f>
        <v>عادی</v>
      </c>
      <c r="K1101" s="252">
        <f>bargiri[[#This Row],[فی]]*bargiri[[#This Row],[میزان بارگیری شده]]</f>
        <v>1982650000</v>
      </c>
      <c r="X1101" s="1"/>
      <c r="Y1101" s="1"/>
      <c r="Z1101" s="1"/>
    </row>
    <row r="1102" spans="1:26" ht="18.600000000000001">
      <c r="A1102" s="360" t="s">
        <v>837</v>
      </c>
      <c r="B1102" s="360" t="s">
        <v>106</v>
      </c>
      <c r="C1102" s="355" t="s">
        <v>44</v>
      </c>
      <c r="D1102">
        <v>5510</v>
      </c>
      <c r="E1102" s="143">
        <v>80000</v>
      </c>
      <c r="F1102" s="117">
        <v>1404</v>
      </c>
      <c r="G1102" s="360" t="s">
        <v>300</v>
      </c>
      <c r="H1102" s="144">
        <f>bargiri[[#This Row],[میزان بارگیری شده]]*bargiri[[#This Row],[فی]]</f>
        <v>440800000</v>
      </c>
      <c r="I1102" s="360">
        <f>IF(year=bargiri[[#This Row],[سال]],1,0)</f>
        <v>0</v>
      </c>
      <c r="J1102" s="360" t="str">
        <f>VLOOKUP(bargiri[[#This Row],[شماره پیش فاکتور]],invoice[],16,0)</f>
        <v>عادی</v>
      </c>
      <c r="K1102" s="252">
        <f>bargiri[[#This Row],[فی]]*bargiri[[#This Row],[میزان بارگیری شده]]</f>
        <v>440800000</v>
      </c>
      <c r="X1102" s="1"/>
      <c r="Y1102" s="1"/>
      <c r="Z1102" s="1"/>
    </row>
    <row r="1103" spans="1:26" ht="18.600000000000001">
      <c r="A1103" s="360" t="s">
        <v>837</v>
      </c>
      <c r="B1103" s="360" t="s">
        <v>106</v>
      </c>
      <c r="C1103" s="355" t="s">
        <v>44</v>
      </c>
      <c r="D1103">
        <v>5655</v>
      </c>
      <c r="E1103" s="143">
        <v>80000</v>
      </c>
      <c r="F1103" s="117">
        <v>1404</v>
      </c>
      <c r="G1103" s="360" t="s">
        <v>300</v>
      </c>
      <c r="H1103" s="144">
        <f>bargiri[[#This Row],[میزان بارگیری شده]]*bargiri[[#This Row],[فی]]</f>
        <v>452400000</v>
      </c>
      <c r="I1103" s="360">
        <f>IF(year=bargiri[[#This Row],[سال]],1,0)</f>
        <v>0</v>
      </c>
      <c r="J1103" s="360" t="str">
        <f>VLOOKUP(bargiri[[#This Row],[شماره پیش فاکتور]],invoice[],16,0)</f>
        <v>عادی</v>
      </c>
      <c r="K1103" s="252">
        <f>bargiri[[#This Row],[فی]]*bargiri[[#This Row],[میزان بارگیری شده]]</f>
        <v>452400000</v>
      </c>
      <c r="X1103" s="1"/>
      <c r="Y1103" s="1"/>
      <c r="Z1103" s="1"/>
    </row>
    <row r="1104" spans="1:26" ht="18.600000000000001">
      <c r="A1104" s="360" t="s">
        <v>837</v>
      </c>
      <c r="B1104" s="360" t="s">
        <v>125</v>
      </c>
      <c r="C1104" s="355" t="s">
        <v>570</v>
      </c>
      <c r="D1104">
        <v>14455</v>
      </c>
      <c r="E1104" s="143">
        <v>142000</v>
      </c>
      <c r="F1104" s="117">
        <v>1404</v>
      </c>
      <c r="G1104" s="360" t="s">
        <v>300</v>
      </c>
      <c r="H1104" s="144">
        <f>bargiri[[#This Row],[میزان بارگیری شده]]*bargiri[[#This Row],[فی]]</f>
        <v>2052610000</v>
      </c>
      <c r="I1104" s="360">
        <f>IF(year=bargiri[[#This Row],[سال]],1,0)</f>
        <v>0</v>
      </c>
      <c r="J1104" s="360" t="str">
        <f>VLOOKUP(bargiri[[#This Row],[شماره پیش فاکتور]],invoice[],16,0)</f>
        <v>انجمن</v>
      </c>
      <c r="K1104" s="252">
        <f>bargiri[[#This Row],[فی]]*bargiri[[#This Row],[میزان بارگیری شده]]</f>
        <v>2052610000</v>
      </c>
      <c r="X1104" s="1"/>
      <c r="Y1104" s="1"/>
      <c r="Z1104" s="1"/>
    </row>
    <row r="1105" spans="1:26" ht="18.600000000000001">
      <c r="A1105" s="360" t="s">
        <v>835</v>
      </c>
      <c r="B1105" s="360" t="s">
        <v>106</v>
      </c>
      <c r="C1105" s="355" t="s">
        <v>44</v>
      </c>
      <c r="D1105">
        <v>4465</v>
      </c>
      <c r="E1105" s="143">
        <v>80000</v>
      </c>
      <c r="F1105" s="117">
        <v>1404</v>
      </c>
      <c r="G1105" s="360" t="s">
        <v>300</v>
      </c>
      <c r="H1105" s="144">
        <f>bargiri[[#This Row],[میزان بارگیری شده]]*bargiri[[#This Row],[فی]]</f>
        <v>357200000</v>
      </c>
      <c r="I1105" s="360">
        <f>IF(year=bargiri[[#This Row],[سال]],1,0)</f>
        <v>0</v>
      </c>
      <c r="J1105" s="360" t="str">
        <f>VLOOKUP(bargiri[[#This Row],[شماره پیش فاکتور]],invoice[],16,0)</f>
        <v>عادی</v>
      </c>
      <c r="K1105" s="252">
        <f>bargiri[[#This Row],[فی]]*bargiri[[#This Row],[میزان بارگیری شده]]</f>
        <v>357200000</v>
      </c>
      <c r="X1105" s="1"/>
      <c r="Y1105" s="1"/>
      <c r="Z1105" s="1"/>
    </row>
    <row r="1106" spans="1:26" ht="18.600000000000001">
      <c r="A1106" s="360" t="s">
        <v>835</v>
      </c>
      <c r="B1106" s="360" t="s">
        <v>116</v>
      </c>
      <c r="C1106" s="355" t="s">
        <v>608</v>
      </c>
      <c r="D1106">
        <v>7105</v>
      </c>
      <c r="E1106" s="143">
        <v>95000</v>
      </c>
      <c r="F1106" s="117">
        <v>1404</v>
      </c>
      <c r="G1106" s="360" t="s">
        <v>300</v>
      </c>
      <c r="H1106" s="144">
        <f>bargiri[[#This Row],[میزان بارگیری شده]]*bargiri[[#This Row],[فی]]</f>
        <v>674975000</v>
      </c>
      <c r="I1106" s="360">
        <f>IF(year=bargiri[[#This Row],[سال]],1,0)</f>
        <v>0</v>
      </c>
      <c r="J1106" s="360" t="str">
        <f>VLOOKUP(bargiri[[#This Row],[شماره پیش فاکتور]],invoice[],16,0)</f>
        <v>عادی</v>
      </c>
      <c r="K1106" s="252">
        <f>bargiri[[#This Row],[فی]]*bargiri[[#This Row],[میزان بارگیری شده]]</f>
        <v>674975000</v>
      </c>
      <c r="X1106" s="1"/>
      <c r="Y1106" s="1"/>
      <c r="Z1106" s="1"/>
    </row>
    <row r="1107" spans="1:26" ht="18.600000000000001">
      <c r="A1107" s="360" t="s">
        <v>835</v>
      </c>
      <c r="B1107" s="360" t="s">
        <v>101</v>
      </c>
      <c r="C1107" s="355" t="s">
        <v>19</v>
      </c>
      <c r="D1107">
        <v>22085</v>
      </c>
      <c r="E1107" s="143">
        <v>75000</v>
      </c>
      <c r="F1107" s="117">
        <v>1404</v>
      </c>
      <c r="G1107" s="360" t="s">
        <v>300</v>
      </c>
      <c r="H1107" s="144">
        <f>bargiri[[#This Row],[میزان بارگیری شده]]*bargiri[[#This Row],[فی]]</f>
        <v>1656375000</v>
      </c>
      <c r="I1107" s="360">
        <f>IF(year=bargiri[[#This Row],[سال]],1,0)</f>
        <v>0</v>
      </c>
      <c r="J1107" s="360" t="str">
        <f>VLOOKUP(bargiri[[#This Row],[شماره پیش فاکتور]],invoice[],16,0)</f>
        <v>عادی</v>
      </c>
      <c r="K1107" s="252">
        <f>bargiri[[#This Row],[فی]]*bargiri[[#This Row],[میزان بارگیری شده]]</f>
        <v>1656375000</v>
      </c>
      <c r="X1107" s="1"/>
      <c r="Y1107" s="1"/>
      <c r="Z1107" s="1"/>
    </row>
    <row r="1108" spans="1:26" ht="18.600000000000001">
      <c r="A1108" s="360" t="s">
        <v>835</v>
      </c>
      <c r="B1108" s="360" t="s">
        <v>104</v>
      </c>
      <c r="C1108" s="355" t="s">
        <v>783</v>
      </c>
      <c r="D1108">
        <v>15825</v>
      </c>
      <c r="E1108" s="143">
        <v>167500</v>
      </c>
      <c r="F1108" s="117">
        <v>1404</v>
      </c>
      <c r="G1108" s="360" t="s">
        <v>300</v>
      </c>
      <c r="H1108" s="144">
        <f>bargiri[[#This Row],[میزان بارگیری شده]]*bargiri[[#This Row],[فی]]</f>
        <v>2650687500</v>
      </c>
      <c r="I1108" s="360">
        <f>IF(year=bargiri[[#This Row],[سال]],1,0)</f>
        <v>0</v>
      </c>
      <c r="J1108" s="360" t="str">
        <f>VLOOKUP(bargiri[[#This Row],[شماره پیش فاکتور]],invoice[],16,0)</f>
        <v>بورس</v>
      </c>
      <c r="K1108" s="252">
        <f>bargiri[[#This Row],[فی]]*bargiri[[#This Row],[میزان بارگیری شده]]</f>
        <v>2650687500</v>
      </c>
      <c r="X1108" s="1"/>
      <c r="Y1108" s="1"/>
      <c r="Z1108" s="1"/>
    </row>
    <row r="1109" spans="1:26" ht="18.600000000000001">
      <c r="A1109" s="360" t="s">
        <v>835</v>
      </c>
      <c r="B1109" s="360" t="s">
        <v>104</v>
      </c>
      <c r="C1109" s="355" t="s">
        <v>834</v>
      </c>
      <c r="D1109">
        <v>3325</v>
      </c>
      <c r="E1109" s="143">
        <v>167500</v>
      </c>
      <c r="F1109" s="117">
        <v>1404</v>
      </c>
      <c r="G1109" s="360" t="s">
        <v>300</v>
      </c>
      <c r="H1109" s="144">
        <f>bargiri[[#This Row],[میزان بارگیری شده]]*bargiri[[#This Row],[فی]]</f>
        <v>556937500</v>
      </c>
      <c r="I1109" s="360">
        <f>IF(year=bargiri[[#This Row],[سال]],1,0)</f>
        <v>0</v>
      </c>
      <c r="J1109" s="360" t="str">
        <f>VLOOKUP(bargiri[[#This Row],[شماره پیش فاکتور]],invoice[],16,0)</f>
        <v>بورس</v>
      </c>
      <c r="K1109" s="252">
        <f>bargiri[[#This Row],[فی]]*bargiri[[#This Row],[میزان بارگیری شده]]</f>
        <v>556937500</v>
      </c>
      <c r="X1109" s="1"/>
      <c r="Y1109" s="1"/>
      <c r="Z1109" s="1"/>
    </row>
    <row r="1110" spans="1:26" ht="18.600000000000001">
      <c r="A1110" s="360" t="s">
        <v>835</v>
      </c>
      <c r="B1110" s="360" t="s">
        <v>118</v>
      </c>
      <c r="C1110" s="355" t="s">
        <v>84</v>
      </c>
      <c r="D1110">
        <v>21160</v>
      </c>
      <c r="E1110" s="143">
        <v>57273</v>
      </c>
      <c r="F1110" s="117">
        <v>1404</v>
      </c>
      <c r="G1110" s="360" t="s">
        <v>300</v>
      </c>
      <c r="H1110" s="144">
        <f>bargiri[[#This Row],[میزان بارگیری شده]]*bargiri[[#This Row],[فی]]</f>
        <v>1211896680</v>
      </c>
      <c r="I1110" s="360">
        <f>IF(year=bargiri[[#This Row],[سال]],1,0)</f>
        <v>0</v>
      </c>
      <c r="J1110" s="360" t="str">
        <f>VLOOKUP(bargiri[[#This Row],[شماره پیش فاکتور]],invoice[],16,0)</f>
        <v>عادی</v>
      </c>
      <c r="K1110" s="252">
        <f>bargiri[[#This Row],[فی]]*bargiri[[#This Row],[میزان بارگیری شده]]</f>
        <v>1211896680</v>
      </c>
      <c r="X1110" s="1"/>
      <c r="Y1110" s="1"/>
      <c r="Z1110" s="1"/>
    </row>
    <row r="1111" spans="1:26" ht="18.600000000000001">
      <c r="A1111" s="360" t="s">
        <v>835</v>
      </c>
      <c r="B1111" s="360" t="s">
        <v>118</v>
      </c>
      <c r="C1111" s="355" t="s">
        <v>84</v>
      </c>
      <c r="D1111">
        <v>21050</v>
      </c>
      <c r="E1111" s="143">
        <v>57273</v>
      </c>
      <c r="F1111" s="117">
        <v>1404</v>
      </c>
      <c r="G1111" s="360" t="s">
        <v>300</v>
      </c>
      <c r="H1111" s="144">
        <f>bargiri[[#This Row],[میزان بارگیری شده]]*bargiri[[#This Row],[فی]]</f>
        <v>1205596650</v>
      </c>
      <c r="I1111" s="360">
        <f>IF(year=bargiri[[#This Row],[سال]],1,0)</f>
        <v>0</v>
      </c>
      <c r="J1111" s="360" t="str">
        <f>VLOOKUP(bargiri[[#This Row],[شماره پیش فاکتور]],invoice[],16,0)</f>
        <v>عادی</v>
      </c>
      <c r="K1111" s="252">
        <f>bargiri[[#This Row],[فی]]*bargiri[[#This Row],[میزان بارگیری شده]]</f>
        <v>1205596650</v>
      </c>
      <c r="X1111" s="1"/>
      <c r="Y1111" s="1"/>
      <c r="Z1111" s="1"/>
    </row>
    <row r="1112" spans="1:26" ht="18.600000000000001">
      <c r="A1112" s="360" t="s">
        <v>835</v>
      </c>
      <c r="B1112" s="360" t="s">
        <v>106</v>
      </c>
      <c r="C1112" s="355" t="s">
        <v>44</v>
      </c>
      <c r="D1112">
        <v>22135</v>
      </c>
      <c r="E1112" s="143">
        <v>80000</v>
      </c>
      <c r="F1112" s="117">
        <v>1404</v>
      </c>
      <c r="G1112" s="360" t="s">
        <v>300</v>
      </c>
      <c r="H1112" s="144">
        <f>bargiri[[#This Row],[میزان بارگیری شده]]*bargiri[[#This Row],[فی]]</f>
        <v>1770800000</v>
      </c>
      <c r="I1112" s="360">
        <f>IF(year=bargiri[[#This Row],[سال]],1,0)</f>
        <v>0</v>
      </c>
      <c r="J1112" s="360" t="str">
        <f>VLOOKUP(bargiri[[#This Row],[شماره پیش فاکتور]],invoice[],16,0)</f>
        <v>عادی</v>
      </c>
      <c r="K1112" s="252">
        <f>bargiri[[#This Row],[فی]]*bargiri[[#This Row],[میزان بارگیری شده]]</f>
        <v>1770800000</v>
      </c>
      <c r="X1112" s="1"/>
      <c r="Y1112" s="1"/>
      <c r="Z1112" s="1"/>
    </row>
    <row r="1113" spans="1:26" ht="18.600000000000001">
      <c r="A1113" s="360" t="s">
        <v>830</v>
      </c>
      <c r="B1113" s="360" t="s">
        <v>106</v>
      </c>
      <c r="C1113" s="355" t="s">
        <v>44</v>
      </c>
      <c r="D1113">
        <v>22185</v>
      </c>
      <c r="E1113" s="143">
        <v>80000</v>
      </c>
      <c r="F1113" s="117">
        <v>1404</v>
      </c>
      <c r="G1113" s="360" t="s">
        <v>300</v>
      </c>
      <c r="H1113" s="144">
        <f>bargiri[[#This Row],[میزان بارگیری شده]]*bargiri[[#This Row],[فی]]</f>
        <v>1774800000</v>
      </c>
      <c r="I1113" s="360">
        <f>IF(year=bargiri[[#This Row],[سال]],1,0)</f>
        <v>0</v>
      </c>
      <c r="J1113" s="360" t="str">
        <f>VLOOKUP(bargiri[[#This Row],[شماره پیش فاکتور]],invoice[],16,0)</f>
        <v>عادی</v>
      </c>
      <c r="K1113" s="252">
        <f>bargiri[[#This Row],[فی]]*bargiri[[#This Row],[میزان بارگیری شده]]</f>
        <v>1774800000</v>
      </c>
      <c r="X1113" s="1"/>
      <c r="Y1113" s="1"/>
      <c r="Z1113" s="1"/>
    </row>
    <row r="1114" spans="1:26" ht="18.600000000000001">
      <c r="A1114" s="360" t="s">
        <v>830</v>
      </c>
      <c r="B1114" s="360" t="s">
        <v>102</v>
      </c>
      <c r="C1114" s="355" t="s">
        <v>559</v>
      </c>
      <c r="D1114">
        <v>11375</v>
      </c>
      <c r="E1114" s="143">
        <v>142000</v>
      </c>
      <c r="F1114" s="117">
        <v>1404</v>
      </c>
      <c r="G1114" s="360" t="s">
        <v>300</v>
      </c>
      <c r="H1114" s="144">
        <f>bargiri[[#This Row],[میزان بارگیری شده]]*bargiri[[#This Row],[فی]]</f>
        <v>1615250000</v>
      </c>
      <c r="I1114" s="360">
        <f>IF(year=bargiri[[#This Row],[سال]],1,0)</f>
        <v>0</v>
      </c>
      <c r="J1114" s="360" t="str">
        <f>VLOOKUP(bargiri[[#This Row],[شماره پیش فاکتور]],invoice[],16,0)</f>
        <v>انجمن</v>
      </c>
      <c r="K1114" s="252">
        <f>bargiri[[#This Row],[فی]]*bargiri[[#This Row],[میزان بارگیری شده]]</f>
        <v>1615250000</v>
      </c>
      <c r="X1114" s="1"/>
      <c r="Y1114" s="1"/>
      <c r="Z1114" s="1"/>
    </row>
    <row r="1115" spans="1:26" ht="18.600000000000001">
      <c r="A1115" s="360" t="s">
        <v>830</v>
      </c>
      <c r="B1115" s="360" t="s">
        <v>106</v>
      </c>
      <c r="C1115" s="355" t="s">
        <v>44</v>
      </c>
      <c r="D1115">
        <v>19360</v>
      </c>
      <c r="E1115" s="143">
        <v>80000</v>
      </c>
      <c r="F1115" s="117">
        <v>1404</v>
      </c>
      <c r="G1115" s="360" t="s">
        <v>300</v>
      </c>
      <c r="H1115" s="144">
        <f>bargiri[[#This Row],[میزان بارگیری شده]]*bargiri[[#This Row],[فی]]</f>
        <v>1548800000</v>
      </c>
      <c r="I1115" s="360">
        <f>IF(year=bargiri[[#This Row],[سال]],1,0)</f>
        <v>0</v>
      </c>
      <c r="J1115" s="360" t="str">
        <f>VLOOKUP(bargiri[[#This Row],[شماره پیش فاکتور]],invoice[],16,0)</f>
        <v>عادی</v>
      </c>
      <c r="K1115" s="252">
        <f>bargiri[[#This Row],[فی]]*bargiri[[#This Row],[میزان بارگیری شده]]</f>
        <v>1548800000</v>
      </c>
      <c r="X1115" s="1"/>
      <c r="Y1115" s="1"/>
      <c r="Z1115" s="1"/>
    </row>
    <row r="1116" spans="1:26" ht="18.600000000000001">
      <c r="A1116" s="360" t="s">
        <v>830</v>
      </c>
      <c r="B1116" s="360" t="s">
        <v>117</v>
      </c>
      <c r="C1116" s="355" t="s">
        <v>687</v>
      </c>
      <c r="D1116">
        <v>20075</v>
      </c>
      <c r="E1116" s="143">
        <v>116500</v>
      </c>
      <c r="F1116" s="117">
        <v>1404</v>
      </c>
      <c r="G1116" s="360" t="s">
        <v>300</v>
      </c>
      <c r="H1116" s="144">
        <f>bargiri[[#This Row],[میزان بارگیری شده]]*bargiri[[#This Row],[فی]]</f>
        <v>2338737500</v>
      </c>
      <c r="I1116" s="360">
        <f>IF(year=bargiri[[#This Row],[سال]],1,0)</f>
        <v>0</v>
      </c>
      <c r="J1116" s="360" t="str">
        <f>VLOOKUP(bargiri[[#This Row],[شماره پیش فاکتور]],invoice[],16,0)</f>
        <v>تعادلی</v>
      </c>
      <c r="K1116" s="252">
        <f>bargiri[[#This Row],[فی]]*bargiri[[#This Row],[میزان بارگیری شده]]</f>
        <v>2338737500</v>
      </c>
      <c r="X1116" s="1"/>
      <c r="Y1116" s="1"/>
      <c r="Z1116" s="1"/>
    </row>
    <row r="1117" spans="1:26" ht="18.600000000000001">
      <c r="A1117" s="360" t="s">
        <v>829</v>
      </c>
      <c r="B1117" s="360" t="s">
        <v>103</v>
      </c>
      <c r="C1117" s="355" t="s">
        <v>560</v>
      </c>
      <c r="D1117">
        <v>19985</v>
      </c>
      <c r="E1117" s="143">
        <v>142000</v>
      </c>
      <c r="F1117" s="117">
        <v>1404</v>
      </c>
      <c r="G1117" s="360" t="s">
        <v>300</v>
      </c>
      <c r="H1117" s="144">
        <f>bargiri[[#This Row],[میزان بارگیری شده]]*bargiri[[#This Row],[فی]]</f>
        <v>2837870000</v>
      </c>
      <c r="I1117" s="360">
        <f>IF(year=bargiri[[#This Row],[سال]],1,0)</f>
        <v>0</v>
      </c>
      <c r="J1117" s="360" t="str">
        <f>VLOOKUP(bargiri[[#This Row],[شماره پیش فاکتور]],invoice[],16,0)</f>
        <v>انجمن</v>
      </c>
      <c r="K1117" s="252">
        <f>bargiri[[#This Row],[فی]]*bargiri[[#This Row],[میزان بارگیری شده]]</f>
        <v>2837870000</v>
      </c>
      <c r="X1117" s="1"/>
      <c r="Y1117" s="1"/>
      <c r="Z1117" s="1"/>
    </row>
    <row r="1118" spans="1:26" ht="18.600000000000001">
      <c r="A1118" s="360" t="s">
        <v>829</v>
      </c>
      <c r="B1118" s="360" t="s">
        <v>114</v>
      </c>
      <c r="C1118" s="355" t="s">
        <v>62</v>
      </c>
      <c r="D1118">
        <v>21985</v>
      </c>
      <c r="E1118" s="143">
        <v>75000</v>
      </c>
      <c r="F1118" s="117">
        <v>1404</v>
      </c>
      <c r="G1118" s="360" t="s">
        <v>300</v>
      </c>
      <c r="H1118" s="144">
        <f>bargiri[[#This Row],[میزان بارگیری شده]]*bargiri[[#This Row],[فی]]</f>
        <v>1648875000</v>
      </c>
      <c r="I1118" s="360">
        <f>IF(year=bargiri[[#This Row],[سال]],1,0)</f>
        <v>0</v>
      </c>
      <c r="J1118" s="360" t="str">
        <f>VLOOKUP(bargiri[[#This Row],[شماره پیش فاکتور]],invoice[],16,0)</f>
        <v>عادی</v>
      </c>
      <c r="K1118" s="252">
        <f>bargiri[[#This Row],[فی]]*bargiri[[#This Row],[میزان بارگیری شده]]</f>
        <v>1648875000</v>
      </c>
      <c r="X1118" s="1"/>
      <c r="Y1118" s="1"/>
      <c r="Z1118" s="1"/>
    </row>
    <row r="1119" spans="1:26" ht="18.600000000000001">
      <c r="A1119" s="360" t="s">
        <v>825</v>
      </c>
      <c r="B1119" s="360" t="s">
        <v>118</v>
      </c>
      <c r="C1119" s="355" t="s">
        <v>84</v>
      </c>
      <c r="D1119">
        <v>20670</v>
      </c>
      <c r="E1119" s="143">
        <v>57273</v>
      </c>
      <c r="F1119" s="117">
        <v>1404</v>
      </c>
      <c r="G1119" s="360" t="s">
        <v>300</v>
      </c>
      <c r="H1119" s="144">
        <f>bargiri[[#This Row],[میزان بارگیری شده]]*bargiri[[#This Row],[فی]]</f>
        <v>1183832910</v>
      </c>
      <c r="I1119" s="360">
        <f>IF(year=bargiri[[#This Row],[سال]],1,0)</f>
        <v>0</v>
      </c>
      <c r="J1119" s="360" t="str">
        <f>VLOOKUP(bargiri[[#This Row],[شماره پیش فاکتور]],invoice[],16,0)</f>
        <v>عادی</v>
      </c>
      <c r="K1119" s="252">
        <f>bargiri[[#This Row],[فی]]*bargiri[[#This Row],[میزان بارگیری شده]]</f>
        <v>1183832910</v>
      </c>
      <c r="X1119" s="1"/>
      <c r="Y1119" s="1"/>
      <c r="Z1119" s="1"/>
    </row>
    <row r="1120" spans="1:26" ht="18.600000000000001">
      <c r="A1120" s="360" t="s">
        <v>825</v>
      </c>
      <c r="B1120" s="360" t="s">
        <v>118</v>
      </c>
      <c r="C1120" s="355" t="s">
        <v>84</v>
      </c>
      <c r="D1120">
        <v>20665</v>
      </c>
      <c r="E1120" s="143">
        <v>57273</v>
      </c>
      <c r="F1120" s="117">
        <v>1404</v>
      </c>
      <c r="G1120" s="360" t="s">
        <v>300</v>
      </c>
      <c r="H1120" s="144">
        <f>bargiri[[#This Row],[میزان بارگیری شده]]*bargiri[[#This Row],[فی]]</f>
        <v>1183546545</v>
      </c>
      <c r="I1120" s="360">
        <f>IF(year=bargiri[[#This Row],[سال]],1,0)</f>
        <v>0</v>
      </c>
      <c r="J1120" s="360" t="str">
        <f>VLOOKUP(bargiri[[#This Row],[شماره پیش فاکتور]],invoice[],16,0)</f>
        <v>عادی</v>
      </c>
      <c r="K1120" s="252">
        <f>bargiri[[#This Row],[فی]]*bargiri[[#This Row],[میزان بارگیری شده]]</f>
        <v>1183546545</v>
      </c>
      <c r="X1120" s="1"/>
      <c r="Y1120" s="1"/>
      <c r="Z1120" s="1"/>
    </row>
    <row r="1121" spans="1:26" ht="18.600000000000001">
      <c r="A1121" s="360" t="s">
        <v>825</v>
      </c>
      <c r="B1121" s="360" t="s">
        <v>118</v>
      </c>
      <c r="C1121" s="355" t="s">
        <v>84</v>
      </c>
      <c r="D1121">
        <v>20580</v>
      </c>
      <c r="E1121" s="143">
        <v>57273</v>
      </c>
      <c r="F1121" s="117">
        <v>1404</v>
      </c>
      <c r="G1121" s="360" t="s">
        <v>300</v>
      </c>
      <c r="H1121" s="144">
        <f>bargiri[[#This Row],[میزان بارگیری شده]]*bargiri[[#This Row],[فی]]</f>
        <v>1178678340</v>
      </c>
      <c r="I1121" s="360">
        <f>IF(year=bargiri[[#This Row],[سال]],1,0)</f>
        <v>0</v>
      </c>
      <c r="J1121" s="360" t="str">
        <f>VLOOKUP(bargiri[[#This Row],[شماره پیش فاکتور]],invoice[],16,0)</f>
        <v>عادی</v>
      </c>
      <c r="K1121" s="252">
        <f>bargiri[[#This Row],[فی]]*bargiri[[#This Row],[میزان بارگیری شده]]</f>
        <v>1178678340</v>
      </c>
      <c r="X1121" s="1"/>
      <c r="Y1121" s="1"/>
      <c r="Z1121" s="1"/>
    </row>
    <row r="1122" spans="1:26" ht="18.600000000000001">
      <c r="A1122" s="360" t="s">
        <v>825</v>
      </c>
      <c r="B1122" s="360" t="s">
        <v>105</v>
      </c>
      <c r="C1122" s="355" t="s">
        <v>553</v>
      </c>
      <c r="D1122">
        <v>20130</v>
      </c>
      <c r="E1122" s="143">
        <v>142000</v>
      </c>
      <c r="F1122" s="117">
        <v>1404</v>
      </c>
      <c r="G1122" s="360" t="s">
        <v>300</v>
      </c>
      <c r="H1122" s="144">
        <f>bargiri[[#This Row],[میزان بارگیری شده]]*bargiri[[#This Row],[فی]]</f>
        <v>2858460000</v>
      </c>
      <c r="I1122" s="360">
        <f>IF(year=bargiri[[#This Row],[سال]],1,0)</f>
        <v>0</v>
      </c>
      <c r="J1122" s="360" t="str">
        <f>VLOOKUP(bargiri[[#This Row],[شماره پیش فاکتور]],invoice[],16,0)</f>
        <v>انجمن</v>
      </c>
      <c r="K1122" s="252">
        <f>bargiri[[#This Row],[فی]]*bargiri[[#This Row],[میزان بارگیری شده]]</f>
        <v>2858460000</v>
      </c>
      <c r="X1122" s="1"/>
      <c r="Y1122" s="1"/>
      <c r="Z1122" s="1"/>
    </row>
    <row r="1123" spans="1:26" ht="18.600000000000001">
      <c r="A1123" s="360" t="s">
        <v>826</v>
      </c>
      <c r="B1123" s="360" t="s">
        <v>122</v>
      </c>
      <c r="C1123" s="355" t="s">
        <v>568</v>
      </c>
      <c r="D1123">
        <v>21705</v>
      </c>
      <c r="E1123" s="143">
        <v>142000</v>
      </c>
      <c r="F1123" s="117">
        <v>1404</v>
      </c>
      <c r="G1123" s="360" t="s">
        <v>300</v>
      </c>
      <c r="H1123" s="144">
        <f>bargiri[[#This Row],[میزان بارگیری شده]]*bargiri[[#This Row],[فی]]</f>
        <v>3082110000</v>
      </c>
      <c r="I1123" s="360">
        <f>IF(year=bargiri[[#This Row],[سال]],1,0)</f>
        <v>0</v>
      </c>
      <c r="J1123" s="360" t="str">
        <f>VLOOKUP(bargiri[[#This Row],[شماره پیش فاکتور]],invoice[],16,0)</f>
        <v>انجمن</v>
      </c>
      <c r="K1123" s="252">
        <f>bargiri[[#This Row],[فی]]*bargiri[[#This Row],[میزان بارگیری شده]]</f>
        <v>3082110000</v>
      </c>
      <c r="X1123" s="1"/>
      <c r="Y1123" s="1"/>
      <c r="Z1123" s="1"/>
    </row>
    <row r="1124" spans="1:26" ht="18.600000000000001">
      <c r="A1124" s="360" t="s">
        <v>826</v>
      </c>
      <c r="B1124" s="360" t="s">
        <v>123</v>
      </c>
      <c r="C1124" s="355" t="s">
        <v>569</v>
      </c>
      <c r="D1124">
        <v>7760</v>
      </c>
      <c r="E1124" s="143">
        <v>142000</v>
      </c>
      <c r="F1124" s="117">
        <v>1404</v>
      </c>
      <c r="G1124" s="360" t="s">
        <v>300</v>
      </c>
      <c r="H1124" s="144">
        <f>bargiri[[#This Row],[میزان بارگیری شده]]*bargiri[[#This Row],[فی]]</f>
        <v>1101920000</v>
      </c>
      <c r="I1124" s="360">
        <f>IF(year=bargiri[[#This Row],[سال]],1,0)</f>
        <v>0</v>
      </c>
      <c r="J1124" s="360" t="str">
        <f>VLOOKUP(bargiri[[#This Row],[شماره پیش فاکتور]],invoice[],16,0)</f>
        <v>انجمن</v>
      </c>
      <c r="K1124" s="252">
        <f>bargiri[[#This Row],[فی]]*bargiri[[#This Row],[میزان بارگیری شده]]</f>
        <v>1101920000</v>
      </c>
      <c r="X1124" s="1"/>
      <c r="Y1124" s="1"/>
      <c r="Z1124" s="1"/>
    </row>
    <row r="1125" spans="1:26" ht="18.600000000000001">
      <c r="A1125" s="360" t="s">
        <v>827</v>
      </c>
      <c r="B1125" s="360" t="s">
        <v>100</v>
      </c>
      <c r="C1125" s="355" t="s">
        <v>555</v>
      </c>
      <c r="D1125">
        <v>6640</v>
      </c>
      <c r="E1125" s="143">
        <v>142000</v>
      </c>
      <c r="F1125" s="117">
        <v>1404</v>
      </c>
      <c r="G1125" s="360" t="s">
        <v>300</v>
      </c>
      <c r="H1125" s="144">
        <f>bargiri[[#This Row],[میزان بارگیری شده]]*bargiri[[#This Row],[فی]]</f>
        <v>942880000</v>
      </c>
      <c r="I1125" s="360">
        <f>IF(year=bargiri[[#This Row],[سال]],1,0)</f>
        <v>0</v>
      </c>
      <c r="J1125" s="360" t="str">
        <f>VLOOKUP(bargiri[[#This Row],[شماره پیش فاکتور]],invoice[],16,0)</f>
        <v>انجمن</v>
      </c>
      <c r="K1125" s="252">
        <f>bargiri[[#This Row],[فی]]*bargiri[[#This Row],[میزان بارگیری شده]]</f>
        <v>942880000</v>
      </c>
      <c r="X1125" s="1"/>
      <c r="Y1125" s="1"/>
      <c r="Z1125" s="1"/>
    </row>
    <row r="1126" spans="1:26" ht="18.600000000000001">
      <c r="A1126" s="360" t="s">
        <v>827</v>
      </c>
      <c r="B1126" s="360" t="s">
        <v>125</v>
      </c>
      <c r="C1126" s="355" t="s">
        <v>570</v>
      </c>
      <c r="D1126">
        <v>13675</v>
      </c>
      <c r="E1126" s="143">
        <v>142000</v>
      </c>
      <c r="F1126" s="117">
        <v>1404</v>
      </c>
      <c r="G1126" s="360" t="s">
        <v>300</v>
      </c>
      <c r="H1126" s="144">
        <f>bargiri[[#This Row],[میزان بارگیری شده]]*bargiri[[#This Row],[فی]]</f>
        <v>1941850000</v>
      </c>
      <c r="I1126" s="360">
        <f>IF(year=bargiri[[#This Row],[سال]],1,0)</f>
        <v>0</v>
      </c>
      <c r="J1126" s="360" t="str">
        <f>VLOOKUP(bargiri[[#This Row],[شماره پیش فاکتور]],invoice[],16,0)</f>
        <v>انجمن</v>
      </c>
      <c r="K1126" s="252">
        <f>bargiri[[#This Row],[فی]]*bargiri[[#This Row],[میزان بارگیری شده]]</f>
        <v>1941850000</v>
      </c>
      <c r="X1126" s="1"/>
      <c r="Y1126" s="1"/>
      <c r="Z1126" s="1"/>
    </row>
    <row r="1127" spans="1:26" ht="18.600000000000001">
      <c r="A1127" s="360" t="s">
        <v>827</v>
      </c>
      <c r="B1127" s="360" t="s">
        <v>118</v>
      </c>
      <c r="C1127" s="355" t="s">
        <v>84</v>
      </c>
      <c r="D1127">
        <v>21155</v>
      </c>
      <c r="E1127" s="143">
        <v>57273</v>
      </c>
      <c r="F1127" s="117">
        <v>1404</v>
      </c>
      <c r="G1127" s="360" t="s">
        <v>300</v>
      </c>
      <c r="H1127" s="144">
        <f>bargiri[[#This Row],[میزان بارگیری شده]]*bargiri[[#This Row],[فی]]</f>
        <v>1211610315</v>
      </c>
      <c r="I1127" s="360">
        <f>IF(year=bargiri[[#This Row],[سال]],1,0)</f>
        <v>0</v>
      </c>
      <c r="J1127" s="360" t="str">
        <f>VLOOKUP(bargiri[[#This Row],[شماره پیش فاکتور]],invoice[],16,0)</f>
        <v>عادی</v>
      </c>
      <c r="K1127" s="252">
        <f>bargiri[[#This Row],[فی]]*bargiri[[#This Row],[میزان بارگیری شده]]</f>
        <v>1211610315</v>
      </c>
      <c r="X1127" s="1"/>
      <c r="Y1127" s="1"/>
      <c r="Z1127" s="1"/>
    </row>
    <row r="1128" spans="1:26" ht="18.600000000000001">
      <c r="A1128" s="360" t="s">
        <v>827</v>
      </c>
      <c r="B1128" s="360" t="s">
        <v>118</v>
      </c>
      <c r="C1128" s="355" t="s">
        <v>84</v>
      </c>
      <c r="D1128">
        <v>20500</v>
      </c>
      <c r="E1128" s="143">
        <v>57273</v>
      </c>
      <c r="F1128" s="117">
        <v>1404</v>
      </c>
      <c r="G1128" s="360" t="s">
        <v>300</v>
      </c>
      <c r="H1128" s="144">
        <f>bargiri[[#This Row],[میزان بارگیری شده]]*bargiri[[#This Row],[فی]]</f>
        <v>1174096500</v>
      </c>
      <c r="I1128" s="360">
        <f>IF(year=bargiri[[#This Row],[سال]],1,0)</f>
        <v>0</v>
      </c>
      <c r="J1128" s="360" t="str">
        <f>VLOOKUP(bargiri[[#This Row],[شماره پیش فاکتور]],invoice[],16,0)</f>
        <v>عادی</v>
      </c>
      <c r="K1128" s="252">
        <f>bargiri[[#This Row],[فی]]*bargiri[[#This Row],[میزان بارگیری شده]]</f>
        <v>1174096500</v>
      </c>
      <c r="X1128" s="1"/>
      <c r="Y1128" s="1"/>
      <c r="Z1128" s="1"/>
    </row>
    <row r="1129" spans="1:26" ht="18.600000000000001">
      <c r="A1129" s="360" t="s">
        <v>828</v>
      </c>
      <c r="B1129" s="360" t="s">
        <v>106</v>
      </c>
      <c r="C1129" s="355" t="s">
        <v>44</v>
      </c>
      <c r="D1129">
        <v>20195</v>
      </c>
      <c r="E1129" s="143">
        <v>80000</v>
      </c>
      <c r="F1129" s="117">
        <v>1404</v>
      </c>
      <c r="G1129" s="360" t="s">
        <v>300</v>
      </c>
      <c r="H1129" s="144">
        <f>bargiri[[#This Row],[میزان بارگیری شده]]*bargiri[[#This Row],[فی]]</f>
        <v>1615600000</v>
      </c>
      <c r="I1129" s="360">
        <f>IF(year=bargiri[[#This Row],[سال]],1,0)</f>
        <v>0</v>
      </c>
      <c r="J1129" s="360" t="str">
        <f>VLOOKUP(bargiri[[#This Row],[شماره پیش فاکتور]],invoice[],16,0)</f>
        <v>عادی</v>
      </c>
      <c r="K1129" s="252">
        <f>bargiri[[#This Row],[فی]]*bargiri[[#This Row],[میزان بارگیری شده]]</f>
        <v>1615600000</v>
      </c>
      <c r="X1129" s="1"/>
      <c r="Y1129" s="1"/>
      <c r="Z1129" s="1"/>
    </row>
    <row r="1130" spans="1:26" ht="18.600000000000001">
      <c r="A1130" s="360" t="s">
        <v>828</v>
      </c>
      <c r="B1130" s="360" t="s">
        <v>98</v>
      </c>
      <c r="C1130" s="355" t="s">
        <v>651</v>
      </c>
      <c r="D1130">
        <v>8155</v>
      </c>
      <c r="E1130" s="143">
        <v>116500</v>
      </c>
      <c r="F1130" s="117">
        <v>1404</v>
      </c>
      <c r="G1130" s="360" t="s">
        <v>300</v>
      </c>
      <c r="H1130" s="144">
        <f>bargiri[[#This Row],[میزان بارگیری شده]]*bargiri[[#This Row],[فی]]</f>
        <v>950057500</v>
      </c>
      <c r="I1130" s="360">
        <f>IF(year=bargiri[[#This Row],[سال]],1,0)</f>
        <v>0</v>
      </c>
      <c r="J1130" s="360" t="str">
        <f>VLOOKUP(bargiri[[#This Row],[شماره پیش فاکتور]],invoice[],16,0)</f>
        <v>تعادلی</v>
      </c>
      <c r="K1130" s="252">
        <f>bargiri[[#This Row],[فی]]*bargiri[[#This Row],[میزان بارگیری شده]]</f>
        <v>950057500</v>
      </c>
      <c r="X1130" s="1"/>
      <c r="Y1130" s="1"/>
      <c r="Z1130" s="1"/>
    </row>
    <row r="1131" spans="1:26" ht="18.600000000000001">
      <c r="A1131" s="360" t="s">
        <v>828</v>
      </c>
      <c r="B1131" s="360" t="s">
        <v>98</v>
      </c>
      <c r="C1131" s="355" t="s">
        <v>726</v>
      </c>
      <c r="D1131">
        <v>13965</v>
      </c>
      <c r="E1131" s="143">
        <v>116500</v>
      </c>
      <c r="F1131" s="117">
        <v>1404</v>
      </c>
      <c r="G1131" s="360" t="s">
        <v>300</v>
      </c>
      <c r="H1131" s="144">
        <f>bargiri[[#This Row],[میزان بارگیری شده]]*bargiri[[#This Row],[فی]]</f>
        <v>1626922500</v>
      </c>
      <c r="I1131" s="360">
        <f>IF(year=bargiri[[#This Row],[سال]],1,0)</f>
        <v>0</v>
      </c>
      <c r="J1131" s="360" t="str">
        <f>VLOOKUP(bargiri[[#This Row],[شماره پیش فاکتور]],invoice[],16,0)</f>
        <v>تعادلی</v>
      </c>
      <c r="K1131" s="252">
        <f>bargiri[[#This Row],[فی]]*bargiri[[#This Row],[میزان بارگیری شده]]</f>
        <v>1626922500</v>
      </c>
      <c r="X1131" s="1"/>
      <c r="Y1131" s="1"/>
      <c r="Z1131" s="1"/>
    </row>
    <row r="1132" spans="1:26" ht="18.600000000000001">
      <c r="A1132" s="360" t="s">
        <v>828</v>
      </c>
      <c r="B1132" s="360" t="s">
        <v>118</v>
      </c>
      <c r="C1132" s="355" t="s">
        <v>84</v>
      </c>
      <c r="D1132">
        <v>21030</v>
      </c>
      <c r="E1132" s="143">
        <v>57273</v>
      </c>
      <c r="F1132" s="117">
        <v>1404</v>
      </c>
      <c r="G1132" s="360" t="s">
        <v>300</v>
      </c>
      <c r="H1132" s="144">
        <f>bargiri[[#This Row],[میزان بارگیری شده]]*bargiri[[#This Row],[فی]]</f>
        <v>1204451190</v>
      </c>
      <c r="I1132" s="360">
        <f>IF(year=bargiri[[#This Row],[سال]],1,0)</f>
        <v>0</v>
      </c>
      <c r="J1132" s="360" t="str">
        <f>VLOOKUP(bargiri[[#This Row],[شماره پیش فاکتور]],invoice[],16,0)</f>
        <v>عادی</v>
      </c>
      <c r="K1132" s="252">
        <f>bargiri[[#This Row],[فی]]*bargiri[[#This Row],[میزان بارگیری شده]]</f>
        <v>1204451190</v>
      </c>
      <c r="X1132" s="1"/>
      <c r="Y1132" s="1"/>
      <c r="Z1132" s="1"/>
    </row>
    <row r="1133" spans="1:26" ht="18.600000000000001">
      <c r="A1133" s="360" t="s">
        <v>828</v>
      </c>
      <c r="B1133" s="360" t="s">
        <v>118</v>
      </c>
      <c r="C1133" s="355" t="s">
        <v>84</v>
      </c>
      <c r="D1133">
        <v>21020</v>
      </c>
      <c r="E1133" s="143">
        <v>57273</v>
      </c>
      <c r="F1133" s="117">
        <v>1404</v>
      </c>
      <c r="G1133" s="360" t="s">
        <v>300</v>
      </c>
      <c r="H1133" s="144">
        <f>bargiri[[#This Row],[میزان بارگیری شده]]*bargiri[[#This Row],[فی]]</f>
        <v>1203878460</v>
      </c>
      <c r="I1133" s="360">
        <f>IF(year=bargiri[[#This Row],[سال]],1,0)</f>
        <v>0</v>
      </c>
      <c r="J1133" s="360" t="str">
        <f>VLOOKUP(bargiri[[#This Row],[شماره پیش فاکتور]],invoice[],16,0)</f>
        <v>عادی</v>
      </c>
      <c r="K1133" s="252">
        <f>bargiri[[#This Row],[فی]]*bargiri[[#This Row],[میزان بارگیری شده]]</f>
        <v>1203878460</v>
      </c>
      <c r="X1133" s="1"/>
      <c r="Y1133" s="1"/>
      <c r="Z1133" s="1"/>
    </row>
    <row r="1134" spans="1:26" ht="18.600000000000001">
      <c r="A1134" s="360" t="s">
        <v>828</v>
      </c>
      <c r="B1134" s="360" t="s">
        <v>105</v>
      </c>
      <c r="C1134" s="355" t="s">
        <v>553</v>
      </c>
      <c r="D1134">
        <v>22025</v>
      </c>
      <c r="E1134" s="143">
        <v>142000</v>
      </c>
      <c r="F1134" s="117">
        <v>1404</v>
      </c>
      <c r="G1134" s="360" t="s">
        <v>300</v>
      </c>
      <c r="H1134" s="144">
        <f>bargiri[[#This Row],[میزان بارگیری شده]]*bargiri[[#This Row],[فی]]</f>
        <v>3127550000</v>
      </c>
      <c r="I1134" s="360">
        <f>IF(year=bargiri[[#This Row],[سال]],1,0)</f>
        <v>0</v>
      </c>
      <c r="J1134" s="360" t="str">
        <f>VLOOKUP(bargiri[[#This Row],[شماره پیش فاکتور]],invoice[],16,0)</f>
        <v>انجمن</v>
      </c>
      <c r="K1134" s="252">
        <f>bargiri[[#This Row],[فی]]*bargiri[[#This Row],[میزان بارگیری شده]]</f>
        <v>3127550000</v>
      </c>
      <c r="X1134" s="1"/>
      <c r="Y1134" s="1"/>
      <c r="Z1134" s="1"/>
    </row>
    <row r="1135" spans="1:26" ht="18.600000000000001">
      <c r="A1135" s="360" t="s">
        <v>824</v>
      </c>
      <c r="B1135" s="360" t="s">
        <v>104</v>
      </c>
      <c r="C1135" s="355" t="s">
        <v>562</v>
      </c>
      <c r="D1135">
        <v>16175</v>
      </c>
      <c r="E1135" s="143">
        <v>142000</v>
      </c>
      <c r="F1135" s="117">
        <v>1404</v>
      </c>
      <c r="G1135" s="360" t="s">
        <v>300</v>
      </c>
      <c r="H1135" s="144">
        <f>bargiri[[#This Row],[میزان بارگیری شده]]*bargiri[[#This Row],[فی]]</f>
        <v>2296850000</v>
      </c>
      <c r="I1135" s="360">
        <f>IF(year=bargiri[[#This Row],[سال]],1,0)</f>
        <v>0</v>
      </c>
      <c r="J1135" s="360" t="str">
        <f>VLOOKUP(bargiri[[#This Row],[شماره پیش فاکتور]],invoice[],16,0)</f>
        <v>انجمن</v>
      </c>
      <c r="K1135" s="252">
        <f>bargiri[[#This Row],[فی]]*bargiri[[#This Row],[میزان بارگیری شده]]</f>
        <v>2296850000</v>
      </c>
      <c r="X1135" s="1"/>
      <c r="Y1135" s="1"/>
      <c r="Z1135" s="1"/>
    </row>
    <row r="1136" spans="1:26" ht="18.600000000000001">
      <c r="A1136" s="360" t="s">
        <v>824</v>
      </c>
      <c r="B1136" s="360" t="s">
        <v>101</v>
      </c>
      <c r="C1136" s="355" t="s">
        <v>19</v>
      </c>
      <c r="D1136">
        <v>23025</v>
      </c>
      <c r="E1136" s="143">
        <v>75000</v>
      </c>
      <c r="F1136" s="117">
        <v>1404</v>
      </c>
      <c r="G1136" s="360" t="s">
        <v>300</v>
      </c>
      <c r="H1136" s="144">
        <f>bargiri[[#This Row],[میزان بارگیری شده]]*bargiri[[#This Row],[فی]]</f>
        <v>1726875000</v>
      </c>
      <c r="I1136" s="360">
        <f>IF(year=bargiri[[#This Row],[سال]],1,0)</f>
        <v>0</v>
      </c>
      <c r="J1136" s="360" t="str">
        <f>VLOOKUP(bargiri[[#This Row],[شماره پیش فاکتور]],invoice[],16,0)</f>
        <v>عادی</v>
      </c>
      <c r="K1136" s="252">
        <f>bargiri[[#This Row],[فی]]*bargiri[[#This Row],[میزان بارگیری شده]]</f>
        <v>1726875000</v>
      </c>
      <c r="W1136" s="1"/>
      <c r="X1136" s="1"/>
      <c r="Y1136" s="1"/>
      <c r="Z1136" s="1"/>
    </row>
    <row r="1137" spans="1:26" ht="18.600000000000001">
      <c r="A1137" s="360" t="s">
        <v>824</v>
      </c>
      <c r="B1137" s="360" t="s">
        <v>109</v>
      </c>
      <c r="C1137" s="355" t="s">
        <v>563</v>
      </c>
      <c r="D1137">
        <v>7485</v>
      </c>
      <c r="E1137" s="143">
        <v>142000</v>
      </c>
      <c r="F1137" s="117">
        <v>1404</v>
      </c>
      <c r="G1137" s="360" t="s">
        <v>300</v>
      </c>
      <c r="H1137" s="144">
        <f>bargiri[[#This Row],[میزان بارگیری شده]]*bargiri[[#This Row],[فی]]</f>
        <v>1062870000</v>
      </c>
      <c r="I1137" s="360">
        <f>IF(year=bargiri[[#This Row],[سال]],1,0)</f>
        <v>0</v>
      </c>
      <c r="J1137" s="360" t="str">
        <f>VLOOKUP(bargiri[[#This Row],[شماره پیش فاکتور]],invoice[],16,0)</f>
        <v>انجمن</v>
      </c>
      <c r="K1137" s="252">
        <f>bargiri[[#This Row],[فی]]*bargiri[[#This Row],[میزان بارگیری شده]]</f>
        <v>1062870000</v>
      </c>
      <c r="W1137" s="1"/>
      <c r="X1137" s="1"/>
      <c r="Y1137" s="1"/>
      <c r="Z1137" s="1"/>
    </row>
    <row r="1138" spans="1:26" ht="18.600000000000001">
      <c r="A1138" s="360" t="s">
        <v>824</v>
      </c>
      <c r="B1138" s="360" t="s">
        <v>99</v>
      </c>
      <c r="C1138" s="355" t="s">
        <v>12</v>
      </c>
      <c r="D1138">
        <v>21040</v>
      </c>
      <c r="E1138" s="143">
        <v>86500</v>
      </c>
      <c r="F1138" s="117">
        <v>1404</v>
      </c>
      <c r="G1138" s="360" t="s">
        <v>300</v>
      </c>
      <c r="H1138" s="144">
        <f>bargiri[[#This Row],[میزان بارگیری شده]]*bargiri[[#This Row],[فی]]</f>
        <v>1819960000</v>
      </c>
      <c r="I1138" s="360">
        <f>IF(year=bargiri[[#This Row],[سال]],1,0)</f>
        <v>0</v>
      </c>
      <c r="J1138" s="360" t="str">
        <f>VLOOKUP(bargiri[[#This Row],[شماره پیش فاکتور]],invoice[],16,0)</f>
        <v>عادی</v>
      </c>
      <c r="K1138" s="252">
        <f>bargiri[[#This Row],[فی]]*bargiri[[#This Row],[میزان بارگیری شده]]</f>
        <v>1819960000</v>
      </c>
      <c r="W1138" s="1"/>
      <c r="X1138" s="1"/>
      <c r="Y1138" s="1"/>
      <c r="Z1138" s="1"/>
    </row>
    <row r="1139" spans="1:26" ht="18.600000000000001">
      <c r="A1139" s="360" t="s">
        <v>824</v>
      </c>
      <c r="B1139" s="360" t="s">
        <v>116</v>
      </c>
      <c r="C1139" s="355" t="s">
        <v>608</v>
      </c>
      <c r="D1139">
        <v>20075</v>
      </c>
      <c r="E1139" s="143">
        <v>95000</v>
      </c>
      <c r="F1139" s="117">
        <v>1404</v>
      </c>
      <c r="G1139" s="360" t="s">
        <v>300</v>
      </c>
      <c r="H1139" s="144">
        <f>bargiri[[#This Row],[میزان بارگیری شده]]*bargiri[[#This Row],[فی]]</f>
        <v>1907125000</v>
      </c>
      <c r="I1139" s="360">
        <f>IF(year=bargiri[[#This Row],[سال]],1,0)</f>
        <v>0</v>
      </c>
      <c r="J1139" s="360" t="str">
        <f>VLOOKUP(bargiri[[#This Row],[شماره پیش فاکتور]],invoice[],16,0)</f>
        <v>عادی</v>
      </c>
      <c r="K1139" s="252">
        <f>bargiri[[#This Row],[فی]]*bargiri[[#This Row],[میزان بارگیری شده]]</f>
        <v>1907125000</v>
      </c>
      <c r="W1139" s="1"/>
      <c r="X1139" s="1"/>
      <c r="Y1139" s="1"/>
      <c r="Z1139" s="1"/>
    </row>
    <row r="1140" spans="1:26" ht="18.600000000000001">
      <c r="A1140" s="360" t="s">
        <v>824</v>
      </c>
      <c r="B1140" s="360" t="s">
        <v>106</v>
      </c>
      <c r="C1140" s="355" t="s">
        <v>44</v>
      </c>
      <c r="D1140">
        <v>22185</v>
      </c>
      <c r="E1140" s="143">
        <v>80000</v>
      </c>
      <c r="F1140" s="117">
        <v>1404</v>
      </c>
      <c r="G1140" s="360" t="s">
        <v>300</v>
      </c>
      <c r="H1140" s="144">
        <f>bargiri[[#This Row],[میزان بارگیری شده]]*bargiri[[#This Row],[فی]]</f>
        <v>1774800000</v>
      </c>
      <c r="I1140" s="360">
        <f>IF(year=bargiri[[#This Row],[سال]],1,0)</f>
        <v>0</v>
      </c>
      <c r="J1140" s="360" t="str">
        <f>VLOOKUP(bargiri[[#This Row],[شماره پیش فاکتور]],invoice[],16,0)</f>
        <v>عادی</v>
      </c>
      <c r="K1140" s="252">
        <f>bargiri[[#This Row],[فی]]*bargiri[[#This Row],[میزان بارگیری شده]]</f>
        <v>1774800000</v>
      </c>
      <c r="W1140" s="1"/>
      <c r="X1140" s="1"/>
      <c r="Y1140" s="1"/>
      <c r="Z1140" s="1"/>
    </row>
    <row r="1141" spans="1:26" ht="18.600000000000001">
      <c r="A1141" s="360" t="s">
        <v>824</v>
      </c>
      <c r="B1141" s="360" t="s">
        <v>109</v>
      </c>
      <c r="C1141" s="355" t="s">
        <v>563</v>
      </c>
      <c r="D1141">
        <v>7685</v>
      </c>
      <c r="E1141" s="143">
        <v>142000</v>
      </c>
      <c r="F1141" s="117">
        <v>1404</v>
      </c>
      <c r="G1141" s="360" t="s">
        <v>300</v>
      </c>
      <c r="H1141" s="144">
        <f>bargiri[[#This Row],[میزان بارگیری شده]]*bargiri[[#This Row],[فی]]</f>
        <v>1091270000</v>
      </c>
      <c r="I1141" s="360">
        <f>IF(year=bargiri[[#This Row],[سال]],1,0)</f>
        <v>0</v>
      </c>
      <c r="J1141" s="360" t="str">
        <f>VLOOKUP(bargiri[[#This Row],[شماره پیش فاکتور]],invoice[],16,0)</f>
        <v>انجمن</v>
      </c>
      <c r="K1141" s="252">
        <f>bargiri[[#This Row],[فی]]*bargiri[[#This Row],[میزان بارگیری شده]]</f>
        <v>1091270000</v>
      </c>
      <c r="W1141" s="1"/>
      <c r="X1141" s="1"/>
      <c r="Y1141" s="1"/>
      <c r="Z1141" s="1"/>
    </row>
    <row r="1142" spans="1:26" ht="18.600000000000001">
      <c r="A1142" s="360" t="s">
        <v>823</v>
      </c>
      <c r="B1142" s="360" t="s">
        <v>116</v>
      </c>
      <c r="C1142" s="355" t="s">
        <v>745</v>
      </c>
      <c r="D1142">
        <v>5425</v>
      </c>
      <c r="E1142" s="143">
        <v>167500</v>
      </c>
      <c r="F1142" s="117">
        <v>1404</v>
      </c>
      <c r="G1142" s="360" t="s">
        <v>300</v>
      </c>
      <c r="H1142" s="144">
        <f>bargiri[[#This Row],[میزان بارگیری شده]]*bargiri[[#This Row],[فی]]</f>
        <v>908687500</v>
      </c>
      <c r="I1142" s="360">
        <f>IF(year=bargiri[[#This Row],[سال]],1,0)</f>
        <v>0</v>
      </c>
      <c r="J1142" s="360" t="str">
        <f>VLOOKUP(bargiri[[#This Row],[شماره پیش فاکتور]],invoice[],16,0)</f>
        <v>بورس</v>
      </c>
      <c r="K1142" s="252">
        <f>bargiri[[#This Row],[فی]]*bargiri[[#This Row],[میزان بارگیری شده]]</f>
        <v>908687500</v>
      </c>
      <c r="W1142" s="1"/>
      <c r="X1142" s="1"/>
      <c r="Y1142" s="1"/>
      <c r="Z1142" s="1"/>
    </row>
    <row r="1143" spans="1:26" ht="18.600000000000001">
      <c r="A1143" s="360" t="s">
        <v>823</v>
      </c>
      <c r="B1143" s="360" t="s">
        <v>116</v>
      </c>
      <c r="C1143" s="355" t="s">
        <v>782</v>
      </c>
      <c r="D1143">
        <v>15670</v>
      </c>
      <c r="E1143" s="143">
        <v>167500</v>
      </c>
      <c r="F1143" s="117">
        <v>1404</v>
      </c>
      <c r="G1143" s="360" t="s">
        <v>300</v>
      </c>
      <c r="H1143" s="144">
        <f>bargiri[[#This Row],[میزان بارگیری شده]]*bargiri[[#This Row],[فی]]</f>
        <v>2624725000</v>
      </c>
      <c r="I1143" s="360">
        <f>IF(year=bargiri[[#This Row],[سال]],1,0)</f>
        <v>0</v>
      </c>
      <c r="J1143" s="360" t="str">
        <f>VLOOKUP(bargiri[[#This Row],[شماره پیش فاکتور]],invoice[],16,0)</f>
        <v>بورس</v>
      </c>
      <c r="K1143" s="252">
        <f>bargiri[[#This Row],[فی]]*bargiri[[#This Row],[میزان بارگیری شده]]</f>
        <v>2624725000</v>
      </c>
      <c r="W1143" s="1"/>
      <c r="X1143" s="1"/>
      <c r="Y1143" s="1"/>
      <c r="Z1143" s="1"/>
    </row>
    <row r="1144" spans="1:26" ht="18.600000000000001">
      <c r="A1144" s="360" t="s">
        <v>823</v>
      </c>
      <c r="B1144" s="360" t="s">
        <v>102</v>
      </c>
      <c r="C1144" s="355" t="s">
        <v>22</v>
      </c>
      <c r="D1144">
        <v>10975</v>
      </c>
      <c r="E1144" s="143">
        <v>89000</v>
      </c>
      <c r="F1144" s="117">
        <v>1404</v>
      </c>
      <c r="G1144" s="360" t="s">
        <v>300</v>
      </c>
      <c r="H1144" s="144">
        <f>bargiri[[#This Row],[میزان بارگیری شده]]*bargiri[[#This Row],[فی]]</f>
        <v>976775000</v>
      </c>
      <c r="I1144" s="360">
        <f>IF(year=bargiri[[#This Row],[سال]],1,0)</f>
        <v>0</v>
      </c>
      <c r="J1144" s="360" t="str">
        <f>VLOOKUP(bargiri[[#This Row],[شماره پیش فاکتور]],invoice[],16,0)</f>
        <v>عادی</v>
      </c>
      <c r="K1144" s="252">
        <f>bargiri[[#This Row],[فی]]*bargiri[[#This Row],[میزان بارگیری شده]]</f>
        <v>976775000</v>
      </c>
      <c r="W1144" s="1"/>
      <c r="X1144" s="1"/>
      <c r="Y1144" s="1"/>
      <c r="Z1144" s="1"/>
    </row>
    <row r="1145" spans="1:26" ht="18.600000000000001">
      <c r="A1145" s="360" t="s">
        <v>823</v>
      </c>
      <c r="B1145" s="360" t="s">
        <v>106</v>
      </c>
      <c r="C1145" s="355" t="s">
        <v>44</v>
      </c>
      <c r="D1145">
        <v>22160</v>
      </c>
      <c r="E1145" s="143">
        <v>80000</v>
      </c>
      <c r="F1145" s="117">
        <v>1404</v>
      </c>
      <c r="G1145" s="360" t="s">
        <v>300</v>
      </c>
      <c r="H1145" s="144">
        <f>bargiri[[#This Row],[میزان بارگیری شده]]*bargiri[[#This Row],[فی]]</f>
        <v>1772800000</v>
      </c>
      <c r="I1145" s="360">
        <f>IF(year=bargiri[[#This Row],[سال]],1,0)</f>
        <v>0</v>
      </c>
      <c r="J1145" s="360" t="str">
        <f>VLOOKUP(bargiri[[#This Row],[شماره پیش فاکتور]],invoice[],16,0)</f>
        <v>عادی</v>
      </c>
      <c r="K1145" s="252">
        <f>bargiri[[#This Row],[فی]]*bargiri[[#This Row],[میزان بارگیری شده]]</f>
        <v>1772800000</v>
      </c>
      <c r="W1145" s="1"/>
      <c r="X1145" s="1"/>
      <c r="Y1145" s="1"/>
      <c r="Z1145" s="1"/>
    </row>
    <row r="1146" spans="1:26" ht="18.600000000000001">
      <c r="A1146" s="360" t="s">
        <v>823</v>
      </c>
      <c r="B1146" s="360" t="s">
        <v>116</v>
      </c>
      <c r="C1146" s="355" t="s">
        <v>565</v>
      </c>
      <c r="D1146">
        <v>21120</v>
      </c>
      <c r="E1146" s="143">
        <v>142000</v>
      </c>
      <c r="F1146" s="117">
        <v>1404</v>
      </c>
      <c r="G1146" s="360" t="s">
        <v>300</v>
      </c>
      <c r="H1146" s="144">
        <f>bargiri[[#This Row],[میزان بارگیری شده]]*bargiri[[#This Row],[فی]]</f>
        <v>2999040000</v>
      </c>
      <c r="I1146" s="360">
        <f>IF(year=bargiri[[#This Row],[سال]],1,0)</f>
        <v>0</v>
      </c>
      <c r="J1146" s="360" t="str">
        <f>VLOOKUP(bargiri[[#This Row],[شماره پیش فاکتور]],invoice[],16,0)</f>
        <v>انجمن</v>
      </c>
      <c r="K1146" s="252">
        <f>bargiri[[#This Row],[فی]]*bargiri[[#This Row],[میزان بارگیری شده]]</f>
        <v>2999040000</v>
      </c>
      <c r="W1146" s="1"/>
      <c r="X1146" s="1"/>
      <c r="Y1146" s="1"/>
      <c r="Z1146" s="1"/>
    </row>
    <row r="1147" spans="1:26" ht="18.600000000000001">
      <c r="A1147" s="360" t="s">
        <v>820</v>
      </c>
      <c r="B1147" s="360" t="s">
        <v>103</v>
      </c>
      <c r="C1147" s="355" t="s">
        <v>560</v>
      </c>
      <c r="D1147">
        <v>20065</v>
      </c>
      <c r="E1147" s="143">
        <v>142000</v>
      </c>
      <c r="F1147" s="117">
        <v>1404</v>
      </c>
      <c r="G1147" s="360" t="s">
        <v>300</v>
      </c>
      <c r="H1147" s="144">
        <f>bargiri[[#This Row],[میزان بارگیری شده]]*bargiri[[#This Row],[فی]]</f>
        <v>2849230000</v>
      </c>
      <c r="I1147" s="360">
        <f>IF(year=bargiri[[#This Row],[سال]],1,0)</f>
        <v>0</v>
      </c>
      <c r="J1147" s="360" t="str">
        <f>VLOOKUP(bargiri[[#This Row],[شماره پیش فاکتور]],invoice[],16,0)</f>
        <v>انجمن</v>
      </c>
      <c r="K1147" s="252">
        <f>bargiri[[#This Row],[فی]]*bargiri[[#This Row],[میزان بارگیری شده]]</f>
        <v>2849230000</v>
      </c>
      <c r="W1147" s="1"/>
      <c r="X1147" s="1"/>
      <c r="Y1147" s="1"/>
      <c r="Z1147" s="1"/>
    </row>
    <row r="1148" spans="1:26" ht="18.600000000000001">
      <c r="A1148" s="360" t="s">
        <v>820</v>
      </c>
      <c r="B1148" s="360" t="s">
        <v>116</v>
      </c>
      <c r="C1148" s="355" t="s">
        <v>745</v>
      </c>
      <c r="D1148">
        <v>20045</v>
      </c>
      <c r="E1148" s="143">
        <v>167500</v>
      </c>
      <c r="F1148" s="117">
        <v>1404</v>
      </c>
      <c r="G1148" s="360" t="s">
        <v>300</v>
      </c>
      <c r="H1148" s="144">
        <f>bargiri[[#This Row],[میزان بارگیری شده]]*bargiri[[#This Row],[فی]]</f>
        <v>3357537500</v>
      </c>
      <c r="I1148" s="360">
        <f>IF(year=bargiri[[#This Row],[سال]],1,0)</f>
        <v>0</v>
      </c>
      <c r="J1148" s="360" t="str">
        <f>VLOOKUP(bargiri[[#This Row],[شماره پیش فاکتور]],invoice[],16,0)</f>
        <v>بورس</v>
      </c>
      <c r="K1148" s="252">
        <f>bargiri[[#This Row],[فی]]*bargiri[[#This Row],[میزان بارگیری شده]]</f>
        <v>3357537500</v>
      </c>
      <c r="W1148" s="1"/>
      <c r="X1148" s="1"/>
      <c r="Y1148" s="1"/>
      <c r="Z1148" s="1"/>
    </row>
    <row r="1149" spans="1:26" ht="18.600000000000001">
      <c r="A1149" s="360" t="s">
        <v>820</v>
      </c>
      <c r="B1149" s="360" t="s">
        <v>116</v>
      </c>
      <c r="C1149" s="355" t="s">
        <v>608</v>
      </c>
      <c r="D1149">
        <v>19935</v>
      </c>
      <c r="E1149" s="143">
        <v>95000</v>
      </c>
      <c r="F1149" s="117">
        <v>1404</v>
      </c>
      <c r="G1149" s="360" t="s">
        <v>300</v>
      </c>
      <c r="H1149" s="144">
        <f>bargiri[[#This Row],[میزان بارگیری شده]]*bargiri[[#This Row],[فی]]</f>
        <v>1893825000</v>
      </c>
      <c r="I1149" s="360">
        <f>IF(year=bargiri[[#This Row],[سال]],1,0)</f>
        <v>0</v>
      </c>
      <c r="J1149" s="360" t="str">
        <f>VLOOKUP(bargiri[[#This Row],[شماره پیش فاکتور]],invoice[],16,0)</f>
        <v>عادی</v>
      </c>
      <c r="K1149" s="252">
        <f>bargiri[[#This Row],[فی]]*bargiri[[#This Row],[میزان بارگیری شده]]</f>
        <v>1893825000</v>
      </c>
      <c r="W1149" s="1"/>
      <c r="X1149" s="1"/>
      <c r="Y1149" s="1"/>
      <c r="Z1149" s="1"/>
    </row>
    <row r="1150" spans="1:26" ht="18.600000000000001">
      <c r="A1150" s="360" t="s">
        <v>820</v>
      </c>
      <c r="B1150" s="360" t="s">
        <v>104</v>
      </c>
      <c r="C1150" s="355" t="s">
        <v>776</v>
      </c>
      <c r="D1150">
        <v>15155</v>
      </c>
      <c r="E1150" s="143">
        <v>210000</v>
      </c>
      <c r="F1150" s="117">
        <v>1404</v>
      </c>
      <c r="G1150" s="360" t="s">
        <v>300</v>
      </c>
      <c r="H1150" s="144">
        <f>bargiri[[#This Row],[میزان بارگیری شده]]*bargiri[[#This Row],[فی]]</f>
        <v>3182550000</v>
      </c>
      <c r="I1150" s="360">
        <f>IF(year=bargiri[[#This Row],[سال]],1,0)</f>
        <v>0</v>
      </c>
      <c r="J1150" s="360" t="str">
        <f>VLOOKUP(bargiri[[#This Row],[شماره پیش فاکتور]],invoice[],16,0)</f>
        <v>بورس</v>
      </c>
      <c r="K1150" s="252">
        <f>bargiri[[#This Row],[فی]]*bargiri[[#This Row],[میزان بارگیری شده]]</f>
        <v>3182550000</v>
      </c>
      <c r="W1150" s="1"/>
      <c r="X1150" s="1"/>
      <c r="Y1150" s="1"/>
      <c r="Z1150" s="1"/>
    </row>
    <row r="1151" spans="1:26" ht="18.600000000000001">
      <c r="A1151" s="360" t="s">
        <v>820</v>
      </c>
      <c r="B1151" s="360" t="s">
        <v>104</v>
      </c>
      <c r="C1151" s="355" t="s">
        <v>783</v>
      </c>
      <c r="D1151">
        <v>4175</v>
      </c>
      <c r="E1151" s="143">
        <v>167500</v>
      </c>
      <c r="F1151" s="117">
        <v>1404</v>
      </c>
      <c r="G1151" s="360" t="s">
        <v>300</v>
      </c>
      <c r="H1151" s="144">
        <f>bargiri[[#This Row],[میزان بارگیری شده]]*bargiri[[#This Row],[فی]]</f>
        <v>699312500</v>
      </c>
      <c r="I1151" s="360">
        <f>IF(year=bargiri[[#This Row],[سال]],1,0)</f>
        <v>0</v>
      </c>
      <c r="J1151" s="360" t="str">
        <f>VLOOKUP(bargiri[[#This Row],[شماره پیش فاکتور]],invoice[],16,0)</f>
        <v>بورس</v>
      </c>
      <c r="K1151" s="252">
        <f>bargiri[[#This Row],[فی]]*bargiri[[#This Row],[میزان بارگیری شده]]</f>
        <v>699312500</v>
      </c>
      <c r="W1151" s="1"/>
      <c r="X1151" s="1"/>
      <c r="Y1151" s="1"/>
      <c r="Z1151" s="1"/>
    </row>
    <row r="1152" spans="1:26" ht="18.600000000000001">
      <c r="A1152" s="360" t="s">
        <v>818</v>
      </c>
      <c r="B1152" s="360" t="s">
        <v>118</v>
      </c>
      <c r="C1152" s="355" t="s">
        <v>84</v>
      </c>
      <c r="D1152">
        <v>21020</v>
      </c>
      <c r="E1152" s="143">
        <v>57273</v>
      </c>
      <c r="F1152" s="117">
        <v>1404</v>
      </c>
      <c r="G1152" s="360" t="s">
        <v>300</v>
      </c>
      <c r="H1152" s="144">
        <f>bargiri[[#This Row],[میزان بارگیری شده]]*bargiri[[#This Row],[فی]]</f>
        <v>1203878460</v>
      </c>
      <c r="I1152" s="360">
        <f>IF(year=bargiri[[#This Row],[سال]],1,0)</f>
        <v>0</v>
      </c>
      <c r="J1152" s="360" t="str">
        <f>VLOOKUP(bargiri[[#This Row],[شماره پیش فاکتور]],invoice[],16,0)</f>
        <v>عادی</v>
      </c>
      <c r="K1152" s="252">
        <f>bargiri[[#This Row],[فی]]*bargiri[[#This Row],[میزان بارگیری شده]]</f>
        <v>1203878460</v>
      </c>
      <c r="W1152" s="1"/>
      <c r="X1152" s="1"/>
      <c r="Y1152" s="1"/>
      <c r="Z1152" s="1"/>
    </row>
    <row r="1153" spans="1:26" ht="18.600000000000001">
      <c r="A1153" s="360" t="s">
        <v>818</v>
      </c>
      <c r="B1153" s="360" t="s">
        <v>118</v>
      </c>
      <c r="C1153" s="355" t="s">
        <v>84</v>
      </c>
      <c r="D1153">
        <v>20705</v>
      </c>
      <c r="E1153" s="143">
        <v>57273</v>
      </c>
      <c r="F1153" s="117">
        <v>1404</v>
      </c>
      <c r="G1153" s="360" t="s">
        <v>300</v>
      </c>
      <c r="H1153" s="144">
        <f>bargiri[[#This Row],[میزان بارگیری شده]]*bargiri[[#This Row],[فی]]</f>
        <v>1185837465</v>
      </c>
      <c r="I1153" s="360">
        <f>IF(year=bargiri[[#This Row],[سال]],1,0)</f>
        <v>0</v>
      </c>
      <c r="J1153" s="360" t="str">
        <f>VLOOKUP(bargiri[[#This Row],[شماره پیش فاکتور]],invoice[],16,0)</f>
        <v>عادی</v>
      </c>
      <c r="K1153" s="252">
        <f>bargiri[[#This Row],[فی]]*bargiri[[#This Row],[میزان بارگیری شده]]</f>
        <v>1185837465</v>
      </c>
      <c r="W1153" s="1"/>
      <c r="X1153" s="1"/>
      <c r="Y1153" s="1"/>
      <c r="Z1153" s="1"/>
    </row>
    <row r="1154" spans="1:26" ht="18.600000000000001">
      <c r="A1154" s="360" t="s">
        <v>818</v>
      </c>
      <c r="B1154" s="360" t="s">
        <v>118</v>
      </c>
      <c r="C1154" s="355" t="s">
        <v>84</v>
      </c>
      <c r="D1154">
        <v>20630</v>
      </c>
      <c r="E1154" s="143">
        <v>57273</v>
      </c>
      <c r="F1154" s="117">
        <v>1404</v>
      </c>
      <c r="G1154" s="360" t="s">
        <v>300</v>
      </c>
      <c r="H1154" s="144">
        <f>bargiri[[#This Row],[میزان بارگیری شده]]*bargiri[[#This Row],[فی]]</f>
        <v>1181541990</v>
      </c>
      <c r="I1154" s="360">
        <f>IF(year=bargiri[[#This Row],[سال]],1,0)</f>
        <v>0</v>
      </c>
      <c r="J1154" s="360" t="str">
        <f>VLOOKUP(bargiri[[#This Row],[شماره پیش فاکتور]],invoice[],16,0)</f>
        <v>عادی</v>
      </c>
      <c r="K1154" s="252">
        <f>bargiri[[#This Row],[فی]]*bargiri[[#This Row],[میزان بارگیری شده]]</f>
        <v>1181541990</v>
      </c>
      <c r="W1154" s="1"/>
      <c r="X1154" s="1"/>
      <c r="Y1154" s="1"/>
      <c r="Z1154" s="1"/>
    </row>
    <row r="1155" spans="1:26" ht="18.600000000000001">
      <c r="A1155" s="360" t="s">
        <v>819</v>
      </c>
      <c r="B1155" s="360" t="s">
        <v>116</v>
      </c>
      <c r="C1155" s="355" t="s">
        <v>565</v>
      </c>
      <c r="D1155">
        <v>19735</v>
      </c>
      <c r="E1155" s="143">
        <v>142000</v>
      </c>
      <c r="F1155" s="117">
        <v>1404</v>
      </c>
      <c r="G1155" s="360" t="s">
        <v>300</v>
      </c>
      <c r="H1155" s="144">
        <f>bargiri[[#This Row],[میزان بارگیری شده]]*bargiri[[#This Row],[فی]]</f>
        <v>2802370000</v>
      </c>
      <c r="I1155" s="360">
        <f>IF(year=bargiri[[#This Row],[سال]],1,0)</f>
        <v>0</v>
      </c>
      <c r="J1155" s="360" t="str">
        <f>VLOOKUP(bargiri[[#This Row],[شماره پیش فاکتور]],invoice[],16,0)</f>
        <v>انجمن</v>
      </c>
      <c r="K1155" s="252">
        <f>bargiri[[#This Row],[فی]]*bargiri[[#This Row],[میزان بارگیری شده]]</f>
        <v>2802370000</v>
      </c>
      <c r="W1155" s="1"/>
      <c r="X1155" s="1"/>
      <c r="Y1155" s="1"/>
      <c r="Z1155" s="1"/>
    </row>
    <row r="1156" spans="1:26" ht="18.600000000000001">
      <c r="A1156" s="360" t="s">
        <v>819</v>
      </c>
      <c r="B1156" s="360" t="s">
        <v>105</v>
      </c>
      <c r="C1156" s="355" t="s">
        <v>553</v>
      </c>
      <c r="D1156">
        <v>21850</v>
      </c>
      <c r="E1156" s="143">
        <v>142000</v>
      </c>
      <c r="F1156" s="117">
        <v>1404</v>
      </c>
      <c r="G1156" s="360" t="s">
        <v>300</v>
      </c>
      <c r="H1156" s="144">
        <f>bargiri[[#This Row],[میزان بارگیری شده]]*bargiri[[#This Row],[فی]]</f>
        <v>3102700000</v>
      </c>
      <c r="I1156" s="360">
        <f>IF(year=bargiri[[#This Row],[سال]],1,0)</f>
        <v>0</v>
      </c>
      <c r="J1156" s="360" t="str">
        <f>VLOOKUP(bargiri[[#This Row],[شماره پیش فاکتور]],invoice[],16,0)</f>
        <v>انجمن</v>
      </c>
      <c r="K1156" s="252">
        <f>bargiri[[#This Row],[فی]]*bargiri[[#This Row],[میزان بارگیری شده]]</f>
        <v>3102700000</v>
      </c>
      <c r="W1156" s="1"/>
      <c r="X1156" s="1"/>
      <c r="Y1156" s="1"/>
      <c r="Z1156" s="1"/>
    </row>
    <row r="1157" spans="1:26" ht="18.600000000000001">
      <c r="A1157" s="360" t="s">
        <v>819</v>
      </c>
      <c r="B1157" s="360" t="s">
        <v>118</v>
      </c>
      <c r="C1157" s="355" t="s">
        <v>84</v>
      </c>
      <c r="D1157">
        <v>21100</v>
      </c>
      <c r="E1157" s="143">
        <v>57273</v>
      </c>
      <c r="F1157" s="117">
        <v>1404</v>
      </c>
      <c r="G1157" s="360" t="s">
        <v>300</v>
      </c>
      <c r="H1157" s="144">
        <f>bargiri[[#This Row],[میزان بارگیری شده]]*bargiri[[#This Row],[فی]]</f>
        <v>1208460300</v>
      </c>
      <c r="I1157" s="360">
        <f>IF(year=bargiri[[#This Row],[سال]],1,0)</f>
        <v>0</v>
      </c>
      <c r="J1157" s="360" t="str">
        <f>VLOOKUP(bargiri[[#This Row],[شماره پیش فاکتور]],invoice[],16,0)</f>
        <v>عادی</v>
      </c>
      <c r="K1157" s="252">
        <f>bargiri[[#This Row],[فی]]*bargiri[[#This Row],[میزان بارگیری شده]]</f>
        <v>1208460300</v>
      </c>
      <c r="W1157" s="1"/>
      <c r="X1157" s="1"/>
      <c r="Y1157" s="1"/>
      <c r="Z1157" s="1"/>
    </row>
    <row r="1158" spans="1:26" ht="18.600000000000001">
      <c r="A1158" s="360" t="s">
        <v>819</v>
      </c>
      <c r="B1158" s="360" t="s">
        <v>118</v>
      </c>
      <c r="C1158" s="355" t="s">
        <v>84</v>
      </c>
      <c r="D1158">
        <v>21000</v>
      </c>
      <c r="E1158" s="143">
        <v>57273</v>
      </c>
      <c r="F1158" s="117">
        <v>1404</v>
      </c>
      <c r="G1158" s="360" t="s">
        <v>300</v>
      </c>
      <c r="H1158" s="144">
        <f>bargiri[[#This Row],[میزان بارگیری شده]]*bargiri[[#This Row],[فی]]</f>
        <v>1202733000</v>
      </c>
      <c r="I1158" s="360">
        <f>IF(year=bargiri[[#This Row],[سال]],1,0)</f>
        <v>0</v>
      </c>
      <c r="J1158" s="360" t="str">
        <f>VLOOKUP(bargiri[[#This Row],[شماره پیش فاکتور]],invoice[],16,0)</f>
        <v>عادی</v>
      </c>
      <c r="K1158" s="252">
        <f>bargiri[[#This Row],[فی]]*bargiri[[#This Row],[میزان بارگیری شده]]</f>
        <v>1202733000</v>
      </c>
      <c r="W1158" s="1"/>
      <c r="X1158" s="1"/>
      <c r="Y1158" s="1"/>
      <c r="Z1158" s="1"/>
    </row>
    <row r="1159" spans="1:26" ht="18.600000000000001">
      <c r="A1159" s="360" t="s">
        <v>819</v>
      </c>
      <c r="B1159" s="360" t="s">
        <v>118</v>
      </c>
      <c r="C1159" s="355" t="s">
        <v>84</v>
      </c>
      <c r="D1159">
        <v>21030</v>
      </c>
      <c r="E1159" s="143">
        <v>57273</v>
      </c>
      <c r="F1159" s="117">
        <v>1404</v>
      </c>
      <c r="G1159" s="360" t="s">
        <v>300</v>
      </c>
      <c r="H1159" s="144">
        <f>bargiri[[#This Row],[میزان بارگیری شده]]*bargiri[[#This Row],[فی]]</f>
        <v>1204451190</v>
      </c>
      <c r="I1159" s="360">
        <f>IF(year=bargiri[[#This Row],[سال]],1,0)</f>
        <v>0</v>
      </c>
      <c r="J1159" s="360" t="str">
        <f>VLOOKUP(bargiri[[#This Row],[شماره پیش فاکتور]],invoice[],16,0)</f>
        <v>عادی</v>
      </c>
      <c r="K1159" s="252">
        <f>bargiri[[#This Row],[فی]]*bargiri[[#This Row],[میزان بارگیری شده]]</f>
        <v>1204451190</v>
      </c>
      <c r="W1159" s="1"/>
      <c r="X1159" s="1"/>
      <c r="Y1159" s="1"/>
      <c r="Z1159" s="1"/>
    </row>
    <row r="1160" spans="1:26" ht="18.600000000000001">
      <c r="A1160" s="360" t="s">
        <v>817</v>
      </c>
      <c r="B1160" s="360" t="s">
        <v>106</v>
      </c>
      <c r="C1160" s="355" t="s">
        <v>44</v>
      </c>
      <c r="D1160">
        <v>19850</v>
      </c>
      <c r="E1160" s="143">
        <v>80000</v>
      </c>
      <c r="F1160" s="117">
        <v>1404</v>
      </c>
      <c r="G1160" s="360" t="s">
        <v>301</v>
      </c>
      <c r="H1160" s="144">
        <f>bargiri[[#This Row],[میزان بارگیری شده]]*bargiri[[#This Row],[فی]]</f>
        <v>1588000000</v>
      </c>
      <c r="I1160" s="360">
        <f>IF(year=bargiri[[#This Row],[سال]],1,0)</f>
        <v>0</v>
      </c>
      <c r="J1160" s="360" t="str">
        <f>VLOOKUP(bargiri[[#This Row],[شماره پیش فاکتور]],invoice[],16,0)</f>
        <v>عادی</v>
      </c>
      <c r="K1160" s="252">
        <f>bargiri[[#This Row],[فی]]*bargiri[[#This Row],[میزان بارگیری شده]]</f>
        <v>1588000000</v>
      </c>
      <c r="W1160" s="1"/>
      <c r="X1160" s="1"/>
      <c r="Y1160" s="1"/>
      <c r="Z1160" s="1"/>
    </row>
    <row r="1161" spans="1:26" ht="18.600000000000001">
      <c r="A1161" s="360" t="s">
        <v>817</v>
      </c>
      <c r="B1161" s="360" t="s">
        <v>99</v>
      </c>
      <c r="C1161" s="355" t="s">
        <v>12</v>
      </c>
      <c r="D1161">
        <v>22040</v>
      </c>
      <c r="E1161" s="143">
        <v>86500</v>
      </c>
      <c r="F1161" s="117">
        <v>1404</v>
      </c>
      <c r="G1161" s="360" t="s">
        <v>301</v>
      </c>
      <c r="H1161" s="144">
        <f>bargiri[[#This Row],[میزان بارگیری شده]]*bargiri[[#This Row],[فی]]</f>
        <v>1906460000</v>
      </c>
      <c r="I1161" s="360">
        <f>IF(year=bargiri[[#This Row],[سال]],1,0)</f>
        <v>0</v>
      </c>
      <c r="J1161" s="360" t="str">
        <f>VLOOKUP(bargiri[[#This Row],[شماره پیش فاکتور]],invoice[],16,0)</f>
        <v>عادی</v>
      </c>
      <c r="K1161" s="252">
        <f>bargiri[[#This Row],[فی]]*bargiri[[#This Row],[میزان بارگیری شده]]</f>
        <v>1906460000</v>
      </c>
      <c r="W1161" s="1"/>
      <c r="X1161" s="1"/>
      <c r="Y1161" s="1"/>
      <c r="Z1161" s="1"/>
    </row>
    <row r="1162" spans="1:26" ht="18.600000000000001">
      <c r="A1162" s="360" t="s">
        <v>817</v>
      </c>
      <c r="B1162" s="360" t="s">
        <v>106</v>
      </c>
      <c r="C1162" s="355" t="s">
        <v>44</v>
      </c>
      <c r="D1162">
        <v>17780</v>
      </c>
      <c r="E1162" s="143">
        <v>80000</v>
      </c>
      <c r="F1162" s="117">
        <v>1404</v>
      </c>
      <c r="G1162" s="360" t="s">
        <v>301</v>
      </c>
      <c r="H1162" s="144">
        <f>bargiri[[#This Row],[میزان بارگیری شده]]*bargiri[[#This Row],[فی]]</f>
        <v>1422400000</v>
      </c>
      <c r="I1162" s="360">
        <f>IF(year=bargiri[[#This Row],[سال]],1,0)</f>
        <v>0</v>
      </c>
      <c r="J1162" s="360" t="str">
        <f>VLOOKUP(bargiri[[#This Row],[شماره پیش فاکتور]],invoice[],16,0)</f>
        <v>عادی</v>
      </c>
      <c r="K1162" s="252">
        <f>bargiri[[#This Row],[فی]]*bargiri[[#This Row],[میزان بارگیری شده]]</f>
        <v>1422400000</v>
      </c>
    </row>
    <row r="1163" spans="1:26" ht="18.600000000000001">
      <c r="A1163" s="360" t="s">
        <v>816</v>
      </c>
      <c r="B1163" s="360" t="s">
        <v>105</v>
      </c>
      <c r="C1163" s="355" t="s">
        <v>553</v>
      </c>
      <c r="D1163">
        <v>20260</v>
      </c>
      <c r="E1163" s="143">
        <v>142000</v>
      </c>
      <c r="F1163" s="117">
        <v>1404</v>
      </c>
      <c r="G1163" s="360" t="s">
        <v>301</v>
      </c>
      <c r="H1163" s="144">
        <f>bargiri[[#This Row],[میزان بارگیری شده]]*bargiri[[#This Row],[فی]]</f>
        <v>2876920000</v>
      </c>
      <c r="I1163" s="360">
        <f>IF(year=bargiri[[#This Row],[سال]],1,0)</f>
        <v>0</v>
      </c>
      <c r="J1163" s="360" t="str">
        <f>VLOOKUP(bargiri[[#This Row],[شماره پیش فاکتور]],invoice[],16,0)</f>
        <v>انجمن</v>
      </c>
      <c r="K1163" s="252">
        <f>bargiri[[#This Row],[فی]]*bargiri[[#This Row],[میزان بارگیری شده]]</f>
        <v>2876920000</v>
      </c>
    </row>
    <row r="1164" spans="1:26" ht="18.600000000000001">
      <c r="A1164" s="360" t="s">
        <v>816</v>
      </c>
      <c r="B1164" s="360" t="s">
        <v>109</v>
      </c>
      <c r="C1164" s="355" t="s">
        <v>563</v>
      </c>
      <c r="D1164">
        <v>19805</v>
      </c>
      <c r="E1164" s="143">
        <v>142000</v>
      </c>
      <c r="F1164" s="117">
        <v>1404</v>
      </c>
      <c r="G1164" s="360" t="s">
        <v>301</v>
      </c>
      <c r="H1164" s="144">
        <f>bargiri[[#This Row],[میزان بارگیری شده]]*bargiri[[#This Row],[فی]]</f>
        <v>2812310000</v>
      </c>
      <c r="I1164" s="360">
        <f>IF(year=bargiri[[#This Row],[سال]],1,0)</f>
        <v>0</v>
      </c>
      <c r="J1164" s="360" t="str">
        <f>VLOOKUP(bargiri[[#This Row],[شماره پیش فاکتور]],invoice[],16,0)</f>
        <v>انجمن</v>
      </c>
      <c r="K1164" s="252">
        <f>bargiri[[#This Row],[فی]]*bargiri[[#This Row],[میزان بارگیری شده]]</f>
        <v>2812310000</v>
      </c>
    </row>
    <row r="1165" spans="1:26" ht="18.600000000000001">
      <c r="A1165" s="360" t="s">
        <v>816</v>
      </c>
      <c r="B1165" s="360" t="s">
        <v>116</v>
      </c>
      <c r="C1165" s="355" t="s">
        <v>608</v>
      </c>
      <c r="D1165">
        <v>8020</v>
      </c>
      <c r="E1165" s="143">
        <v>95000</v>
      </c>
      <c r="F1165" s="117">
        <v>1404</v>
      </c>
      <c r="G1165" s="360" t="s">
        <v>301</v>
      </c>
      <c r="H1165" s="144">
        <f>bargiri[[#This Row],[میزان بارگیری شده]]*bargiri[[#This Row],[فی]]</f>
        <v>761900000</v>
      </c>
      <c r="I1165" s="360">
        <f>IF(year=bargiri[[#This Row],[سال]],1,0)</f>
        <v>0</v>
      </c>
      <c r="J1165" s="360" t="str">
        <f>VLOOKUP(bargiri[[#This Row],[شماره پیش فاکتور]],invoice[],16,0)</f>
        <v>عادی</v>
      </c>
      <c r="K1165" s="252">
        <f>bargiri[[#This Row],[فی]]*bargiri[[#This Row],[میزان بارگیری شده]]</f>
        <v>761900000</v>
      </c>
    </row>
    <row r="1166" spans="1:26" ht="18.600000000000001">
      <c r="A1166" s="360" t="s">
        <v>816</v>
      </c>
      <c r="B1166" s="360" t="s">
        <v>98</v>
      </c>
      <c r="C1166" s="355" t="s">
        <v>788</v>
      </c>
      <c r="D1166">
        <v>185</v>
      </c>
      <c r="E1166" s="143">
        <v>79520</v>
      </c>
      <c r="F1166" s="117">
        <v>1404</v>
      </c>
      <c r="G1166" s="360" t="s">
        <v>301</v>
      </c>
      <c r="H1166" s="144">
        <f>bargiri[[#This Row],[میزان بارگیری شده]]*bargiri[[#This Row],[فی]]</f>
        <v>14711200</v>
      </c>
      <c r="I1166" s="360">
        <f>IF(year=bargiri[[#This Row],[سال]],1,0)</f>
        <v>0</v>
      </c>
      <c r="J1166" s="360" t="str">
        <f>VLOOKUP(bargiri[[#This Row],[شماره پیش فاکتور]],invoice[],16,0)</f>
        <v>تعادلی</v>
      </c>
      <c r="K1166" s="252">
        <f>bargiri[[#This Row],[فی]]*bargiri[[#This Row],[میزان بارگیری شده]]</f>
        <v>14711200</v>
      </c>
    </row>
    <row r="1167" spans="1:26" ht="18.600000000000001">
      <c r="A1167" s="360" t="s">
        <v>816</v>
      </c>
      <c r="B1167" s="360" t="s">
        <v>98</v>
      </c>
      <c r="C1167" s="355" t="s">
        <v>651</v>
      </c>
      <c r="D1167">
        <v>21845</v>
      </c>
      <c r="E1167" s="143">
        <v>116500</v>
      </c>
      <c r="F1167" s="117">
        <v>1404</v>
      </c>
      <c r="G1167" s="360" t="s">
        <v>301</v>
      </c>
      <c r="H1167" s="144">
        <f>bargiri[[#This Row],[میزان بارگیری شده]]*bargiri[[#This Row],[فی]]</f>
        <v>2544942500</v>
      </c>
      <c r="I1167" s="360">
        <f>IF(year=bargiri[[#This Row],[سال]],1,0)</f>
        <v>0</v>
      </c>
      <c r="J1167" s="360" t="str">
        <f>VLOOKUP(bargiri[[#This Row],[شماره پیش فاکتور]],invoice[],16,0)</f>
        <v>تعادلی</v>
      </c>
      <c r="K1167" s="252">
        <f>bargiri[[#This Row],[فی]]*bargiri[[#This Row],[میزان بارگیری شده]]</f>
        <v>2544942500</v>
      </c>
    </row>
    <row r="1168" spans="1:26" ht="18.600000000000001">
      <c r="A1168" s="360" t="s">
        <v>816</v>
      </c>
      <c r="B1168" s="360" t="s">
        <v>121</v>
      </c>
      <c r="C1168" s="355" t="s">
        <v>567</v>
      </c>
      <c r="D1168">
        <v>19040</v>
      </c>
      <c r="E1168" s="143">
        <v>142000</v>
      </c>
      <c r="F1168" s="117">
        <v>1404</v>
      </c>
      <c r="G1168" s="360" t="s">
        <v>301</v>
      </c>
      <c r="H1168" s="144">
        <f>bargiri[[#This Row],[میزان بارگیری شده]]*bargiri[[#This Row],[فی]]</f>
        <v>2703680000</v>
      </c>
      <c r="I1168" s="360">
        <f>IF(year=bargiri[[#This Row],[سال]],1,0)</f>
        <v>0</v>
      </c>
      <c r="J1168" s="360" t="str">
        <f>VLOOKUP(bargiri[[#This Row],[شماره پیش فاکتور]],invoice[],16,0)</f>
        <v>انجمن</v>
      </c>
      <c r="K1168" s="252">
        <f>bargiri[[#This Row],[فی]]*bargiri[[#This Row],[میزان بارگیری شده]]</f>
        <v>2703680000</v>
      </c>
    </row>
    <row r="1169" spans="1:11" ht="18.600000000000001">
      <c r="A1169" s="360" t="s">
        <v>816</v>
      </c>
      <c r="B1169" s="360" t="s">
        <v>117</v>
      </c>
      <c r="C1169" s="355" t="s">
        <v>784</v>
      </c>
      <c r="D1169">
        <v>9895</v>
      </c>
      <c r="E1169" s="143">
        <v>167500</v>
      </c>
      <c r="F1169" s="117">
        <v>1404</v>
      </c>
      <c r="G1169" s="360" t="s">
        <v>301</v>
      </c>
      <c r="H1169" s="144">
        <f>bargiri[[#This Row],[میزان بارگیری شده]]*bargiri[[#This Row],[فی]]</f>
        <v>1657412500</v>
      </c>
      <c r="I1169" s="360">
        <f>IF(year=bargiri[[#This Row],[سال]],1,0)</f>
        <v>0</v>
      </c>
      <c r="J1169" s="360" t="str">
        <f>VLOOKUP(bargiri[[#This Row],[شماره پیش فاکتور]],invoice[],16,0)</f>
        <v>بورس</v>
      </c>
      <c r="K1169" s="252">
        <f>bargiri[[#This Row],[فی]]*bargiri[[#This Row],[میزان بارگیری شده]]</f>
        <v>1657412500</v>
      </c>
    </row>
    <row r="1170" spans="1:11" ht="18.600000000000001">
      <c r="A1170" s="360" t="s">
        <v>816</v>
      </c>
      <c r="B1170" s="360" t="s">
        <v>117</v>
      </c>
      <c r="C1170" s="355" t="s">
        <v>566</v>
      </c>
      <c r="D1170">
        <v>10115</v>
      </c>
      <c r="E1170" s="143">
        <v>142000</v>
      </c>
      <c r="F1170" s="117">
        <v>1404</v>
      </c>
      <c r="G1170" s="360" t="s">
        <v>301</v>
      </c>
      <c r="H1170" s="144">
        <f>bargiri[[#This Row],[میزان بارگیری شده]]*bargiri[[#This Row],[فی]]</f>
        <v>1436330000</v>
      </c>
      <c r="I1170" s="360">
        <f>IF(year=bargiri[[#This Row],[سال]],1,0)</f>
        <v>0</v>
      </c>
      <c r="J1170" s="360" t="str">
        <f>VLOOKUP(bargiri[[#This Row],[شماره پیش فاکتور]],invoice[],16,0)</f>
        <v>انجمن</v>
      </c>
      <c r="K1170" s="252">
        <f>bargiri[[#This Row],[فی]]*bargiri[[#This Row],[میزان بارگیری شده]]</f>
        <v>1436330000</v>
      </c>
    </row>
    <row r="1171" spans="1:11" ht="18.600000000000001">
      <c r="A1171" s="360" t="s">
        <v>816</v>
      </c>
      <c r="B1171" s="360" t="s">
        <v>99</v>
      </c>
      <c r="C1171" s="355" t="s">
        <v>12</v>
      </c>
      <c r="D1171">
        <v>21020</v>
      </c>
      <c r="E1171" s="143">
        <v>86500</v>
      </c>
      <c r="F1171" s="117">
        <v>1404</v>
      </c>
      <c r="G1171" s="360" t="s">
        <v>301</v>
      </c>
      <c r="H1171" s="144">
        <f>bargiri[[#This Row],[میزان بارگیری شده]]*bargiri[[#This Row],[فی]]</f>
        <v>1818230000</v>
      </c>
      <c r="I1171" s="360">
        <f>IF(year=bargiri[[#This Row],[سال]],1,0)</f>
        <v>0</v>
      </c>
      <c r="J1171" s="360" t="str">
        <f>VLOOKUP(bargiri[[#This Row],[شماره پیش فاکتور]],invoice[],16,0)</f>
        <v>عادی</v>
      </c>
      <c r="K1171" s="252">
        <f>bargiri[[#This Row],[فی]]*bargiri[[#This Row],[میزان بارگیری شده]]</f>
        <v>1818230000</v>
      </c>
    </row>
    <row r="1172" spans="1:11" ht="18.600000000000001">
      <c r="A1172" s="360" t="s">
        <v>814</v>
      </c>
      <c r="B1172" s="360" t="s">
        <v>106</v>
      </c>
      <c r="C1172" s="355" t="s">
        <v>44</v>
      </c>
      <c r="D1172">
        <v>22225</v>
      </c>
      <c r="E1172" s="143">
        <v>80000</v>
      </c>
      <c r="F1172" s="117">
        <v>1404</v>
      </c>
      <c r="G1172" s="360" t="s">
        <v>301</v>
      </c>
      <c r="H1172" s="144">
        <f>bargiri[[#This Row],[میزان بارگیری شده]]*bargiri[[#This Row],[فی]]</f>
        <v>1778000000</v>
      </c>
      <c r="I1172" s="360">
        <f>IF(year=bargiri[[#This Row],[سال]],1,0)</f>
        <v>0</v>
      </c>
      <c r="J1172" s="360" t="str">
        <f>VLOOKUP(bargiri[[#This Row],[شماره پیش فاکتور]],invoice[],16,0)</f>
        <v>عادی</v>
      </c>
      <c r="K1172" s="252">
        <f>bargiri[[#This Row],[فی]]*bargiri[[#This Row],[میزان بارگیری شده]]</f>
        <v>1778000000</v>
      </c>
    </row>
    <row r="1173" spans="1:11" ht="18.600000000000001">
      <c r="A1173" s="360" t="s">
        <v>814</v>
      </c>
      <c r="B1173" s="360" t="s">
        <v>102</v>
      </c>
      <c r="C1173" s="355" t="s">
        <v>24</v>
      </c>
      <c r="D1173">
        <v>5365</v>
      </c>
      <c r="E1173" s="143">
        <v>70000</v>
      </c>
      <c r="F1173" s="117">
        <v>1404</v>
      </c>
      <c r="G1173" s="360" t="s">
        <v>301</v>
      </c>
      <c r="H1173" s="144">
        <f>bargiri[[#This Row],[میزان بارگیری شده]]*bargiri[[#This Row],[فی]]</f>
        <v>375550000</v>
      </c>
      <c r="I1173" s="360">
        <f>IF(year=bargiri[[#This Row],[سال]],1,0)</f>
        <v>0</v>
      </c>
      <c r="J1173" s="360" t="str">
        <f>VLOOKUP(bargiri[[#This Row],[شماره پیش فاکتور]],invoice[],16,0)</f>
        <v>عادی</v>
      </c>
      <c r="K1173" s="252">
        <f>bargiri[[#This Row],[فی]]*bargiri[[#This Row],[میزان بارگیری شده]]</f>
        <v>375550000</v>
      </c>
    </row>
    <row r="1174" spans="1:11" ht="18.600000000000001">
      <c r="A1174" s="360" t="s">
        <v>814</v>
      </c>
      <c r="B1174" s="360" t="s">
        <v>102</v>
      </c>
      <c r="C1174" s="355" t="s">
        <v>559</v>
      </c>
      <c r="D1174">
        <v>6585</v>
      </c>
      <c r="E1174" s="143">
        <v>142000</v>
      </c>
      <c r="F1174" s="117">
        <v>1404</v>
      </c>
      <c r="G1174" s="360" t="s">
        <v>301</v>
      </c>
      <c r="H1174" s="144">
        <f>bargiri[[#This Row],[میزان بارگیری شده]]*bargiri[[#This Row],[فی]]</f>
        <v>935070000</v>
      </c>
      <c r="I1174" s="360">
        <f>IF(year=bargiri[[#This Row],[سال]],1,0)</f>
        <v>0</v>
      </c>
      <c r="J1174" s="360" t="str">
        <f>VLOOKUP(bargiri[[#This Row],[شماره پیش فاکتور]],invoice[],16,0)</f>
        <v>انجمن</v>
      </c>
      <c r="K1174" s="252">
        <f>bargiri[[#This Row],[فی]]*bargiri[[#This Row],[میزان بارگیری شده]]</f>
        <v>935070000</v>
      </c>
    </row>
    <row r="1175" spans="1:11" ht="18.600000000000001">
      <c r="A1175" s="360" t="s">
        <v>815</v>
      </c>
      <c r="B1175" s="360" t="s">
        <v>116</v>
      </c>
      <c r="C1175" s="355" t="s">
        <v>745</v>
      </c>
      <c r="D1175">
        <v>9015</v>
      </c>
      <c r="E1175" s="143">
        <v>167500</v>
      </c>
      <c r="F1175" s="117">
        <v>1404</v>
      </c>
      <c r="G1175" s="360" t="s">
        <v>301</v>
      </c>
      <c r="H1175" s="144">
        <f>bargiri[[#This Row],[میزان بارگیری شده]]*bargiri[[#This Row],[فی]]</f>
        <v>1510012500</v>
      </c>
      <c r="I1175" s="360">
        <f>IF(year=bargiri[[#This Row],[سال]],1,0)</f>
        <v>0</v>
      </c>
      <c r="J1175" s="360" t="str">
        <f>VLOOKUP(bargiri[[#This Row],[شماره پیش فاکتور]],invoice[],16,0)</f>
        <v>بورس</v>
      </c>
      <c r="K1175" s="252">
        <f>bargiri[[#This Row],[فی]]*bargiri[[#This Row],[میزان بارگیری شده]]</f>
        <v>1510012500</v>
      </c>
    </row>
    <row r="1176" spans="1:11" ht="18.600000000000001">
      <c r="A1176" s="360" t="s">
        <v>813</v>
      </c>
      <c r="B1176" s="360" t="s">
        <v>103</v>
      </c>
      <c r="C1176" s="355" t="s">
        <v>560</v>
      </c>
      <c r="D1176">
        <v>18130</v>
      </c>
      <c r="E1176" s="143">
        <v>142000</v>
      </c>
      <c r="F1176" s="117">
        <v>1404</v>
      </c>
      <c r="G1176" s="360" t="s">
        <v>301</v>
      </c>
      <c r="H1176" s="144">
        <f>bargiri[[#This Row],[میزان بارگیری شده]]*bargiri[[#This Row],[فی]]</f>
        <v>2574460000</v>
      </c>
      <c r="I1176" s="360">
        <f>IF(year=bargiri[[#This Row],[سال]],1,0)</f>
        <v>0</v>
      </c>
      <c r="J1176" s="360" t="str">
        <f>VLOOKUP(bargiri[[#This Row],[شماره پیش فاکتور]],invoice[],16,0)</f>
        <v>انجمن</v>
      </c>
      <c r="K1176" s="252">
        <f>bargiri[[#This Row],[فی]]*bargiri[[#This Row],[میزان بارگیری شده]]</f>
        <v>2574460000</v>
      </c>
    </row>
    <row r="1177" spans="1:11" ht="18.600000000000001">
      <c r="A1177" s="360" t="s">
        <v>813</v>
      </c>
      <c r="B1177" s="360" t="s">
        <v>118</v>
      </c>
      <c r="C1177" s="355" t="s">
        <v>84</v>
      </c>
      <c r="D1177">
        <v>20530</v>
      </c>
      <c r="E1177" s="143">
        <v>57273</v>
      </c>
      <c r="F1177" s="117">
        <v>1404</v>
      </c>
      <c r="G1177" s="360" t="s">
        <v>301</v>
      </c>
      <c r="H1177" s="144">
        <f>bargiri[[#This Row],[میزان بارگیری شده]]*bargiri[[#This Row],[فی]]</f>
        <v>1175814690</v>
      </c>
      <c r="I1177" s="360">
        <f>IF(year=bargiri[[#This Row],[سال]],1,0)</f>
        <v>0</v>
      </c>
      <c r="J1177" s="360" t="str">
        <f>VLOOKUP(bargiri[[#This Row],[شماره پیش فاکتور]],invoice[],16,0)</f>
        <v>عادی</v>
      </c>
      <c r="K1177" s="252">
        <f>bargiri[[#This Row],[فی]]*bargiri[[#This Row],[میزان بارگیری شده]]</f>
        <v>1175814690</v>
      </c>
    </row>
    <row r="1178" spans="1:11" ht="18.600000000000001">
      <c r="A1178" s="360" t="s">
        <v>813</v>
      </c>
      <c r="B1178" s="360" t="s">
        <v>118</v>
      </c>
      <c r="C1178" s="355" t="s">
        <v>84</v>
      </c>
      <c r="D1178">
        <v>20600</v>
      </c>
      <c r="E1178" s="143">
        <v>57273</v>
      </c>
      <c r="F1178" s="117">
        <v>1404</v>
      </c>
      <c r="G1178" s="360" t="s">
        <v>301</v>
      </c>
      <c r="H1178" s="144">
        <f>bargiri[[#This Row],[میزان بارگیری شده]]*bargiri[[#This Row],[فی]]</f>
        <v>1179823800</v>
      </c>
      <c r="I1178" s="360">
        <f>IF(year=bargiri[[#This Row],[سال]],1,0)</f>
        <v>0</v>
      </c>
      <c r="J1178" s="360" t="str">
        <f>VLOOKUP(bargiri[[#This Row],[شماره پیش فاکتور]],invoice[],16,0)</f>
        <v>عادی</v>
      </c>
      <c r="K1178" s="252">
        <f>bargiri[[#This Row],[فی]]*bargiri[[#This Row],[میزان بارگیری شده]]</f>
        <v>1179823800</v>
      </c>
    </row>
    <row r="1179" spans="1:11" ht="18.600000000000001">
      <c r="A1179" s="360" t="s">
        <v>811</v>
      </c>
      <c r="B1179" s="360" t="s">
        <v>123</v>
      </c>
      <c r="C1179" s="355" t="s">
        <v>569</v>
      </c>
      <c r="D1179">
        <v>7735</v>
      </c>
      <c r="E1179" s="143">
        <v>142000</v>
      </c>
      <c r="F1179" s="117">
        <v>1404</v>
      </c>
      <c r="G1179" s="360" t="s">
        <v>301</v>
      </c>
      <c r="H1179" s="144">
        <f>bargiri[[#This Row],[میزان بارگیری شده]]*bargiri[[#This Row],[فی]]</f>
        <v>1098370000</v>
      </c>
      <c r="I1179" s="360">
        <f>IF(year=bargiri[[#This Row],[سال]],1,0)</f>
        <v>0</v>
      </c>
      <c r="J1179" s="360" t="str">
        <f>VLOOKUP(bargiri[[#This Row],[شماره پیش فاکتور]],invoice[],16,0)</f>
        <v>انجمن</v>
      </c>
      <c r="K1179" s="252">
        <f>bargiri[[#This Row],[فی]]*bargiri[[#This Row],[میزان بارگیری شده]]</f>
        <v>1098370000</v>
      </c>
    </row>
    <row r="1180" spans="1:11" ht="18.600000000000001">
      <c r="A1180" s="360" t="s">
        <v>812</v>
      </c>
      <c r="B1180" s="360" t="s">
        <v>116</v>
      </c>
      <c r="C1180" s="355" t="s">
        <v>608</v>
      </c>
      <c r="D1180">
        <v>17925</v>
      </c>
      <c r="E1180" s="143">
        <v>95000</v>
      </c>
      <c r="F1180" s="117">
        <v>1404</v>
      </c>
      <c r="G1180" s="360" t="s">
        <v>301</v>
      </c>
      <c r="H1180" s="144">
        <f>bargiri[[#This Row],[میزان بارگیری شده]]*bargiri[[#This Row],[فی]]</f>
        <v>1702875000</v>
      </c>
      <c r="I1180" s="360">
        <f>IF(year=bargiri[[#This Row],[سال]],1,0)</f>
        <v>0</v>
      </c>
      <c r="J1180" s="360" t="str">
        <f>VLOOKUP(bargiri[[#This Row],[شماره پیش فاکتور]],invoice[],16,0)</f>
        <v>عادی</v>
      </c>
      <c r="K1180" s="252">
        <f>bargiri[[#This Row],[فی]]*bargiri[[#This Row],[میزان بارگیری شده]]</f>
        <v>1702875000</v>
      </c>
    </row>
    <row r="1181" spans="1:11" ht="18.600000000000001">
      <c r="A1181" s="360" t="s">
        <v>812</v>
      </c>
      <c r="B1181" s="360" t="s">
        <v>105</v>
      </c>
      <c r="C1181" s="355" t="s">
        <v>553</v>
      </c>
      <c r="D1181">
        <v>18265</v>
      </c>
      <c r="E1181" s="143">
        <v>142000</v>
      </c>
      <c r="F1181" s="117">
        <v>1404</v>
      </c>
      <c r="G1181" s="360" t="s">
        <v>301</v>
      </c>
      <c r="H1181" s="144">
        <f>bargiri[[#This Row],[میزان بارگیری شده]]*bargiri[[#This Row],[فی]]</f>
        <v>2593630000</v>
      </c>
      <c r="I1181" s="360">
        <f>IF(year=bargiri[[#This Row],[سال]],1,0)</f>
        <v>0</v>
      </c>
      <c r="J1181" s="360" t="str">
        <f>VLOOKUP(bargiri[[#This Row],[شماره پیش فاکتور]],invoice[],16,0)</f>
        <v>انجمن</v>
      </c>
      <c r="K1181" s="252">
        <f>bargiri[[#This Row],[فی]]*bargiri[[#This Row],[میزان بارگیری شده]]</f>
        <v>2593630000</v>
      </c>
    </row>
    <row r="1182" spans="1:11" ht="18.600000000000001">
      <c r="A1182" s="360" t="s">
        <v>812</v>
      </c>
      <c r="B1182" s="360" t="s">
        <v>102</v>
      </c>
      <c r="C1182" s="355" t="s">
        <v>24</v>
      </c>
      <c r="D1182">
        <v>11435</v>
      </c>
      <c r="E1182" s="143">
        <v>70000</v>
      </c>
      <c r="F1182" s="117">
        <v>1404</v>
      </c>
      <c r="G1182" s="360" t="s">
        <v>301</v>
      </c>
      <c r="H1182" s="144">
        <f>bargiri[[#This Row],[میزان بارگیری شده]]*bargiri[[#This Row],[فی]]</f>
        <v>800450000</v>
      </c>
      <c r="I1182" s="360">
        <f>IF(year=bargiri[[#This Row],[سال]],1,0)</f>
        <v>0</v>
      </c>
      <c r="J1182" s="360" t="str">
        <f>VLOOKUP(bargiri[[#This Row],[شماره پیش فاکتور]],invoice[],16,0)</f>
        <v>عادی</v>
      </c>
      <c r="K1182" s="252">
        <f>bargiri[[#This Row],[فی]]*bargiri[[#This Row],[میزان بارگیری شده]]</f>
        <v>800450000</v>
      </c>
    </row>
    <row r="1183" spans="1:11" ht="18.600000000000001">
      <c r="A1183" s="360" t="s">
        <v>812</v>
      </c>
      <c r="B1183" s="360" t="s">
        <v>125</v>
      </c>
      <c r="C1183" s="355" t="s">
        <v>570</v>
      </c>
      <c r="D1183">
        <v>14060</v>
      </c>
      <c r="E1183" s="143">
        <v>142000</v>
      </c>
      <c r="F1183" s="117">
        <v>1404</v>
      </c>
      <c r="G1183" s="360" t="s">
        <v>301</v>
      </c>
      <c r="H1183" s="144">
        <f>bargiri[[#This Row],[میزان بارگیری شده]]*bargiri[[#This Row],[فی]]</f>
        <v>1996520000</v>
      </c>
      <c r="I1183" s="360">
        <f>IF(year=bargiri[[#This Row],[سال]],1,0)</f>
        <v>0</v>
      </c>
      <c r="J1183" s="360" t="str">
        <f>VLOOKUP(bargiri[[#This Row],[شماره پیش فاکتور]],invoice[],16,0)</f>
        <v>انجمن</v>
      </c>
      <c r="K1183" s="252">
        <f>bargiri[[#This Row],[فی]]*bargiri[[#This Row],[میزان بارگیری شده]]</f>
        <v>1996520000</v>
      </c>
    </row>
    <row r="1184" spans="1:11" ht="18.600000000000001">
      <c r="A1184" s="360" t="s">
        <v>812</v>
      </c>
      <c r="B1184" s="360" t="s">
        <v>118</v>
      </c>
      <c r="C1184" s="355" t="s">
        <v>84</v>
      </c>
      <c r="D1184">
        <v>20585</v>
      </c>
      <c r="E1184" s="143">
        <v>57273</v>
      </c>
      <c r="F1184" s="117">
        <v>1404</v>
      </c>
      <c r="G1184" s="360" t="s">
        <v>301</v>
      </c>
      <c r="H1184" s="144">
        <f>bargiri[[#This Row],[میزان بارگیری شده]]*bargiri[[#This Row],[فی]]</f>
        <v>1178964705</v>
      </c>
      <c r="I1184" s="360">
        <f>IF(year=bargiri[[#This Row],[سال]],1,0)</f>
        <v>0</v>
      </c>
      <c r="J1184" s="360" t="str">
        <f>VLOOKUP(bargiri[[#This Row],[شماره پیش فاکتور]],invoice[],16,0)</f>
        <v>عادی</v>
      </c>
      <c r="K1184" s="252">
        <f>bargiri[[#This Row],[فی]]*bargiri[[#This Row],[میزان بارگیری شده]]</f>
        <v>1178964705</v>
      </c>
    </row>
    <row r="1185" spans="1:11" ht="18.600000000000001">
      <c r="A1185" s="360" t="s">
        <v>812</v>
      </c>
      <c r="B1185" s="360" t="s">
        <v>118</v>
      </c>
      <c r="C1185" s="355" t="s">
        <v>84</v>
      </c>
      <c r="D1185">
        <v>20580</v>
      </c>
      <c r="E1185" s="143">
        <v>57273</v>
      </c>
      <c r="F1185" s="117">
        <v>1404</v>
      </c>
      <c r="G1185" s="360" t="s">
        <v>301</v>
      </c>
      <c r="H1185" s="144">
        <f>bargiri[[#This Row],[میزان بارگیری شده]]*bargiri[[#This Row],[فی]]</f>
        <v>1178678340</v>
      </c>
      <c r="I1185" s="360">
        <f>IF(year=bargiri[[#This Row],[سال]],1,0)</f>
        <v>0</v>
      </c>
      <c r="J1185" s="360" t="str">
        <f>VLOOKUP(bargiri[[#This Row],[شماره پیش فاکتور]],invoice[],16,0)</f>
        <v>عادی</v>
      </c>
      <c r="K1185" s="252">
        <f>bargiri[[#This Row],[فی]]*bargiri[[#This Row],[میزان بارگیری شده]]</f>
        <v>1178678340</v>
      </c>
    </row>
    <row r="1186" spans="1:11" ht="18.600000000000001">
      <c r="A1186" s="360" t="s">
        <v>812</v>
      </c>
      <c r="B1186" s="360" t="s">
        <v>118</v>
      </c>
      <c r="C1186" s="355" t="s">
        <v>84</v>
      </c>
      <c r="D1186">
        <v>20490</v>
      </c>
      <c r="E1186" s="143">
        <v>57273</v>
      </c>
      <c r="F1186" s="117">
        <v>1404</v>
      </c>
      <c r="G1186" s="360" t="s">
        <v>301</v>
      </c>
      <c r="H1186" s="144">
        <f>bargiri[[#This Row],[میزان بارگیری شده]]*bargiri[[#This Row],[فی]]</f>
        <v>1173523770</v>
      </c>
      <c r="I1186" s="360">
        <f>IF(year=bargiri[[#This Row],[سال]],1,0)</f>
        <v>0</v>
      </c>
      <c r="J1186" s="360" t="str">
        <f>VLOOKUP(bargiri[[#This Row],[شماره پیش فاکتور]],invoice[],16,0)</f>
        <v>عادی</v>
      </c>
      <c r="K1186" s="252">
        <f>bargiri[[#This Row],[فی]]*bargiri[[#This Row],[میزان بارگیری شده]]</f>
        <v>1173523770</v>
      </c>
    </row>
    <row r="1187" spans="1:11" ht="18.600000000000001">
      <c r="A1187" s="360" t="s">
        <v>809</v>
      </c>
      <c r="B1187" s="360" t="s">
        <v>116</v>
      </c>
      <c r="C1187" s="355" t="s">
        <v>565</v>
      </c>
      <c r="D1187">
        <v>14110</v>
      </c>
      <c r="E1187" s="143">
        <v>142000</v>
      </c>
      <c r="F1187" s="117">
        <v>1404</v>
      </c>
      <c r="G1187" s="360" t="s">
        <v>301</v>
      </c>
      <c r="H1187" s="144">
        <f>bargiri[[#This Row],[میزان بارگیری شده]]*bargiri[[#This Row],[فی]]</f>
        <v>2003620000</v>
      </c>
      <c r="I1187" s="360">
        <f>IF(year=bargiri[[#This Row],[سال]],1,0)</f>
        <v>0</v>
      </c>
      <c r="J1187" s="360" t="str">
        <f>VLOOKUP(bargiri[[#This Row],[شماره پیش فاکتور]],invoice[],16,0)</f>
        <v>انجمن</v>
      </c>
      <c r="K1187" s="252">
        <f>bargiri[[#This Row],[فی]]*bargiri[[#This Row],[میزان بارگیری شده]]</f>
        <v>2003620000</v>
      </c>
    </row>
    <row r="1188" spans="1:11" ht="18.600000000000001">
      <c r="A1188" s="360" t="s">
        <v>809</v>
      </c>
      <c r="B1188" s="360" t="s">
        <v>104</v>
      </c>
      <c r="C1188" s="355" t="s">
        <v>562</v>
      </c>
      <c r="D1188">
        <v>18045</v>
      </c>
      <c r="E1188" s="143">
        <v>142000</v>
      </c>
      <c r="F1188" s="117">
        <v>1404</v>
      </c>
      <c r="G1188" s="360" t="s">
        <v>301</v>
      </c>
      <c r="H1188" s="144">
        <f>bargiri[[#This Row],[میزان بارگیری شده]]*bargiri[[#This Row],[فی]]</f>
        <v>2562390000</v>
      </c>
      <c r="I1188" s="360">
        <f>IF(year=bargiri[[#This Row],[سال]],1,0)</f>
        <v>0</v>
      </c>
      <c r="J1188" s="360" t="str">
        <f>VLOOKUP(bargiri[[#This Row],[شماره پیش فاکتور]],invoice[],16,0)</f>
        <v>انجمن</v>
      </c>
      <c r="K1188" s="252">
        <f>bargiri[[#This Row],[فی]]*bargiri[[#This Row],[میزان بارگیری شده]]</f>
        <v>2562390000</v>
      </c>
    </row>
    <row r="1189" spans="1:11" ht="18.600000000000001">
      <c r="A1189" s="360" t="s">
        <v>809</v>
      </c>
      <c r="B1189" s="360" t="s">
        <v>101</v>
      </c>
      <c r="C1189" s="355" t="s">
        <v>19</v>
      </c>
      <c r="D1189">
        <v>18090</v>
      </c>
      <c r="E1189" s="143">
        <v>75000</v>
      </c>
      <c r="F1189" s="117">
        <v>1404</v>
      </c>
      <c r="G1189" s="360" t="s">
        <v>301</v>
      </c>
      <c r="H1189" s="144">
        <f>bargiri[[#This Row],[میزان بارگیری شده]]*bargiri[[#This Row],[فی]]</f>
        <v>1356750000</v>
      </c>
      <c r="I1189" s="360">
        <f>IF(year=bargiri[[#This Row],[سال]],1,0)</f>
        <v>0</v>
      </c>
      <c r="J1189" s="360" t="str">
        <f>VLOOKUP(bargiri[[#This Row],[شماره پیش فاکتور]],invoice[],16,0)</f>
        <v>عادی</v>
      </c>
      <c r="K1189" s="252">
        <f>bargiri[[#This Row],[فی]]*bargiri[[#This Row],[میزان بارگیری شده]]</f>
        <v>1356750000</v>
      </c>
    </row>
    <row r="1190" spans="1:11" ht="18.600000000000001">
      <c r="A1190" s="360" t="s">
        <v>809</v>
      </c>
      <c r="B1190" s="360" t="s">
        <v>98</v>
      </c>
      <c r="C1190" s="355" t="s">
        <v>788</v>
      </c>
      <c r="D1190">
        <v>19040</v>
      </c>
      <c r="E1190" s="143">
        <v>79520</v>
      </c>
      <c r="F1190" s="117">
        <v>1404</v>
      </c>
      <c r="G1190" s="360" t="s">
        <v>301</v>
      </c>
      <c r="H1190" s="144">
        <f>bargiri[[#This Row],[میزان بارگیری شده]]*bargiri[[#This Row],[فی]]</f>
        <v>1514060800</v>
      </c>
      <c r="I1190" s="360">
        <f>IF(year=bargiri[[#This Row],[سال]],1,0)</f>
        <v>0</v>
      </c>
      <c r="J1190" s="360" t="str">
        <f>VLOOKUP(bargiri[[#This Row],[شماره پیش فاکتور]],invoice[],16,0)</f>
        <v>تعادلی</v>
      </c>
      <c r="K1190" s="252">
        <f>bargiri[[#This Row],[فی]]*bargiri[[#This Row],[میزان بارگیری شده]]</f>
        <v>1514060800</v>
      </c>
    </row>
    <row r="1191" spans="1:11" ht="18.600000000000001">
      <c r="A1191" s="360" t="s">
        <v>810</v>
      </c>
      <c r="B1191" s="360" t="s">
        <v>106</v>
      </c>
      <c r="C1191" s="355" t="s">
        <v>44</v>
      </c>
      <c r="D1191">
        <v>20560</v>
      </c>
      <c r="E1191" s="143">
        <v>80000</v>
      </c>
      <c r="F1191" s="117">
        <v>1404</v>
      </c>
      <c r="G1191" s="360" t="s">
        <v>301</v>
      </c>
      <c r="H1191" s="144">
        <f>bargiri[[#This Row],[میزان بارگیری شده]]*bargiri[[#This Row],[فی]]</f>
        <v>1644800000</v>
      </c>
      <c r="I1191" s="360">
        <f>IF(year=bargiri[[#This Row],[سال]],1,0)</f>
        <v>0</v>
      </c>
      <c r="J1191" s="360" t="str">
        <f>VLOOKUP(bargiri[[#This Row],[شماره پیش فاکتور]],invoice[],16,0)</f>
        <v>عادی</v>
      </c>
      <c r="K1191" s="252">
        <f>bargiri[[#This Row],[فی]]*bargiri[[#This Row],[میزان بارگیری شده]]</f>
        <v>1644800000</v>
      </c>
    </row>
    <row r="1192" spans="1:11" ht="18.600000000000001">
      <c r="A1192" s="360" t="s">
        <v>810</v>
      </c>
      <c r="B1192" s="360" t="s">
        <v>118</v>
      </c>
      <c r="C1192" s="355" t="s">
        <v>84</v>
      </c>
      <c r="D1192">
        <v>20725</v>
      </c>
      <c r="E1192" s="143">
        <v>57273</v>
      </c>
      <c r="F1192" s="117">
        <v>1404</v>
      </c>
      <c r="G1192" s="360" t="s">
        <v>301</v>
      </c>
      <c r="H1192" s="144">
        <f>bargiri[[#This Row],[میزان بارگیری شده]]*bargiri[[#This Row],[فی]]</f>
        <v>1186982925</v>
      </c>
      <c r="I1192" s="360">
        <f>IF(year=bargiri[[#This Row],[سال]],1,0)</f>
        <v>0</v>
      </c>
      <c r="J1192" s="360" t="str">
        <f>VLOOKUP(bargiri[[#This Row],[شماره پیش فاکتور]],invoice[],16,0)</f>
        <v>عادی</v>
      </c>
      <c r="K1192" s="252">
        <f>bargiri[[#This Row],[فی]]*bargiri[[#This Row],[میزان بارگیری شده]]</f>
        <v>1186982925</v>
      </c>
    </row>
    <row r="1193" spans="1:11" ht="18.600000000000001">
      <c r="A1193" s="360" t="s">
        <v>810</v>
      </c>
      <c r="B1193" s="360" t="s">
        <v>118</v>
      </c>
      <c r="C1193" s="355" t="s">
        <v>84</v>
      </c>
      <c r="D1193">
        <v>20895</v>
      </c>
      <c r="E1193" s="143">
        <v>57273</v>
      </c>
      <c r="F1193" s="117">
        <v>1404</v>
      </c>
      <c r="G1193" s="360" t="s">
        <v>301</v>
      </c>
      <c r="H1193" s="144">
        <f>bargiri[[#This Row],[میزان بارگیری شده]]*bargiri[[#This Row],[فی]]</f>
        <v>1196719335</v>
      </c>
      <c r="I1193" s="360">
        <f>IF(year=bargiri[[#This Row],[سال]],1,0)</f>
        <v>0</v>
      </c>
      <c r="J1193" s="360" t="str">
        <f>VLOOKUP(bargiri[[#This Row],[شماره پیش فاکتور]],invoice[],16,0)</f>
        <v>عادی</v>
      </c>
      <c r="K1193" s="252">
        <f>bargiri[[#This Row],[فی]]*bargiri[[#This Row],[میزان بارگیری شده]]</f>
        <v>1196719335</v>
      </c>
    </row>
    <row r="1194" spans="1:11" ht="18.600000000000001">
      <c r="A1194" s="360" t="s">
        <v>810</v>
      </c>
      <c r="B1194" s="360" t="s">
        <v>118</v>
      </c>
      <c r="C1194" s="355" t="s">
        <v>84</v>
      </c>
      <c r="D1194">
        <v>20575</v>
      </c>
      <c r="E1194" s="143">
        <v>57273</v>
      </c>
      <c r="F1194" s="117">
        <v>1404</v>
      </c>
      <c r="G1194" s="360" t="s">
        <v>301</v>
      </c>
      <c r="H1194" s="144">
        <f>bargiri[[#This Row],[میزان بارگیری شده]]*bargiri[[#This Row],[فی]]</f>
        <v>1178391975</v>
      </c>
      <c r="I1194" s="360">
        <f>IF(year=bargiri[[#This Row],[سال]],1,0)</f>
        <v>0</v>
      </c>
      <c r="J1194" s="360" t="str">
        <f>VLOOKUP(bargiri[[#This Row],[شماره پیش فاکتور]],invoice[],16,0)</f>
        <v>عادی</v>
      </c>
      <c r="K1194" s="252">
        <f>bargiri[[#This Row],[فی]]*bargiri[[#This Row],[میزان بارگیری شده]]</f>
        <v>1178391975</v>
      </c>
    </row>
    <row r="1195" spans="1:11" ht="18.600000000000001">
      <c r="A1195" s="360" t="s">
        <v>810</v>
      </c>
      <c r="B1195" s="360" t="s">
        <v>106</v>
      </c>
      <c r="C1195" s="355" t="s">
        <v>44</v>
      </c>
      <c r="D1195">
        <v>22075</v>
      </c>
      <c r="E1195" s="143">
        <v>80000</v>
      </c>
      <c r="F1195" s="117">
        <v>1404</v>
      </c>
      <c r="G1195" s="360" t="s">
        <v>301</v>
      </c>
      <c r="H1195" s="144">
        <f>bargiri[[#This Row],[میزان بارگیری شده]]*bargiri[[#This Row],[فی]]</f>
        <v>1766000000</v>
      </c>
      <c r="I1195" s="360">
        <f>IF(year=bargiri[[#This Row],[سال]],1,0)</f>
        <v>0</v>
      </c>
      <c r="J1195" s="360" t="str">
        <f>VLOOKUP(bargiri[[#This Row],[شماره پیش فاکتور]],invoice[],16,0)</f>
        <v>عادی</v>
      </c>
      <c r="K1195" s="252">
        <f>bargiri[[#This Row],[فی]]*bargiri[[#This Row],[میزان بارگیری شده]]</f>
        <v>1766000000</v>
      </c>
    </row>
    <row r="1196" spans="1:11" ht="18.600000000000001">
      <c r="A1196" s="360" t="s">
        <v>810</v>
      </c>
      <c r="B1196" s="360" t="s">
        <v>116</v>
      </c>
      <c r="C1196" s="355" t="s">
        <v>778</v>
      </c>
      <c r="D1196">
        <v>4525</v>
      </c>
      <c r="E1196" s="143">
        <v>210000</v>
      </c>
      <c r="F1196" s="117">
        <v>1404</v>
      </c>
      <c r="G1196" s="360" t="s">
        <v>301</v>
      </c>
      <c r="H1196" s="144">
        <f>bargiri[[#This Row],[میزان بارگیری شده]]*bargiri[[#This Row],[فی]]</f>
        <v>950250000</v>
      </c>
      <c r="I1196" s="360">
        <f>IF(year=bargiri[[#This Row],[سال]],1,0)</f>
        <v>0</v>
      </c>
      <c r="J1196" s="360" t="str">
        <f>VLOOKUP(bargiri[[#This Row],[شماره پیش فاکتور]],invoice[],16,0)</f>
        <v>بورس</v>
      </c>
      <c r="K1196" s="252">
        <f>bargiri[[#This Row],[فی]]*bargiri[[#This Row],[میزان بارگیری شده]]</f>
        <v>950250000</v>
      </c>
    </row>
    <row r="1197" spans="1:11" ht="18.600000000000001">
      <c r="A1197" s="360" t="s">
        <v>810</v>
      </c>
      <c r="B1197" s="360" t="s">
        <v>116</v>
      </c>
      <c r="C1197" s="355" t="s">
        <v>745</v>
      </c>
      <c r="D1197">
        <v>15515</v>
      </c>
      <c r="E1197" s="143">
        <v>167500</v>
      </c>
      <c r="F1197" s="117">
        <v>1404</v>
      </c>
      <c r="G1197" s="360" t="s">
        <v>301</v>
      </c>
      <c r="H1197" s="144">
        <f>bargiri[[#This Row],[میزان بارگیری شده]]*bargiri[[#This Row],[فی]]</f>
        <v>2598762500</v>
      </c>
      <c r="I1197" s="360">
        <f>IF(year=bargiri[[#This Row],[سال]],1,0)</f>
        <v>0</v>
      </c>
      <c r="J1197" s="360" t="str">
        <f>VLOOKUP(bargiri[[#This Row],[شماره پیش فاکتور]],invoice[],16,0)</f>
        <v>بورس</v>
      </c>
      <c r="K1197" s="252">
        <f>bargiri[[#This Row],[فی]]*bargiri[[#This Row],[میزان بارگیری شده]]</f>
        <v>2598762500</v>
      </c>
    </row>
    <row r="1198" spans="1:11" ht="18.600000000000001">
      <c r="A1198" s="360" t="s">
        <v>810</v>
      </c>
      <c r="B1198" s="360" t="s">
        <v>102</v>
      </c>
      <c r="C1198" s="355" t="s">
        <v>24</v>
      </c>
      <c r="D1198">
        <v>11400</v>
      </c>
      <c r="E1198" s="143">
        <v>70000</v>
      </c>
      <c r="F1198" s="117">
        <v>1404</v>
      </c>
      <c r="G1198" s="360" t="s">
        <v>301</v>
      </c>
      <c r="H1198" s="144">
        <f>bargiri[[#This Row],[میزان بارگیری شده]]*bargiri[[#This Row],[فی]]</f>
        <v>798000000</v>
      </c>
      <c r="I1198" s="360">
        <f>IF(year=bargiri[[#This Row],[سال]],1,0)</f>
        <v>0</v>
      </c>
      <c r="J1198" s="360" t="str">
        <f>VLOOKUP(bargiri[[#This Row],[شماره پیش فاکتور]],invoice[],16,0)</f>
        <v>عادی</v>
      </c>
      <c r="K1198" s="252">
        <f>bargiri[[#This Row],[فی]]*bargiri[[#This Row],[میزان بارگیری شده]]</f>
        <v>798000000</v>
      </c>
    </row>
    <row r="1199" spans="1:11" ht="18.600000000000001">
      <c r="A1199" s="360" t="s">
        <v>808</v>
      </c>
      <c r="B1199" s="360" t="s">
        <v>116</v>
      </c>
      <c r="C1199" s="355" t="s">
        <v>608</v>
      </c>
      <c r="D1199">
        <v>18115</v>
      </c>
      <c r="E1199" s="143">
        <v>95000</v>
      </c>
      <c r="F1199" s="117">
        <v>1404</v>
      </c>
      <c r="G1199" s="360" t="s">
        <v>301</v>
      </c>
      <c r="H1199" s="144">
        <f>bargiri[[#This Row],[میزان بارگیری شده]]*bargiri[[#This Row],[فی]]</f>
        <v>1720925000</v>
      </c>
      <c r="I1199" s="360">
        <f>IF(year=bargiri[[#This Row],[سال]],1,0)</f>
        <v>0</v>
      </c>
      <c r="J1199" s="360" t="str">
        <f>VLOOKUP(bargiri[[#This Row],[شماره پیش فاکتور]],invoice[],16,0)</f>
        <v>عادی</v>
      </c>
      <c r="K1199" s="252">
        <f>bargiri[[#This Row],[فی]]*bargiri[[#This Row],[میزان بارگیری شده]]</f>
        <v>1720925000</v>
      </c>
    </row>
    <row r="1200" spans="1:11" ht="18.600000000000001">
      <c r="A1200" s="360" t="s">
        <v>808</v>
      </c>
      <c r="B1200" s="360" t="s">
        <v>103</v>
      </c>
      <c r="C1200" s="355" t="s">
        <v>560</v>
      </c>
      <c r="D1200">
        <v>7460</v>
      </c>
      <c r="E1200" s="143">
        <v>142000</v>
      </c>
      <c r="F1200" s="117">
        <v>1404</v>
      </c>
      <c r="G1200" s="360" t="s">
        <v>301</v>
      </c>
      <c r="H1200" s="144">
        <f>bargiri[[#This Row],[میزان بارگیری شده]]*bargiri[[#This Row],[فی]]</f>
        <v>1059320000</v>
      </c>
      <c r="I1200" s="360">
        <f>IF(year=bargiri[[#This Row],[سال]],1,0)</f>
        <v>0</v>
      </c>
      <c r="J1200" s="360" t="str">
        <f>VLOOKUP(bargiri[[#This Row],[شماره پیش فاکتور]],invoice[],16,0)</f>
        <v>انجمن</v>
      </c>
      <c r="K1200" s="252">
        <f>bargiri[[#This Row],[فی]]*bargiri[[#This Row],[میزان بارگیری شده]]</f>
        <v>1059320000</v>
      </c>
    </row>
    <row r="1201" spans="1:11" ht="18.600000000000001">
      <c r="A1201" s="360" t="s">
        <v>808</v>
      </c>
      <c r="B1201" s="360" t="s">
        <v>109</v>
      </c>
      <c r="C1201" s="355" t="s">
        <v>563</v>
      </c>
      <c r="D1201">
        <v>20005</v>
      </c>
      <c r="E1201" s="143">
        <v>142000</v>
      </c>
      <c r="F1201" s="117">
        <v>1404</v>
      </c>
      <c r="G1201" s="360" t="s">
        <v>301</v>
      </c>
      <c r="H1201" s="144">
        <f>bargiri[[#This Row],[میزان بارگیری شده]]*bargiri[[#This Row],[فی]]</f>
        <v>2840710000</v>
      </c>
      <c r="I1201" s="360">
        <f>IF(year=bargiri[[#This Row],[سال]],1,0)</f>
        <v>0</v>
      </c>
      <c r="J1201" s="360" t="str">
        <f>VLOOKUP(bargiri[[#This Row],[شماره پیش فاکتور]],invoice[],16,0)</f>
        <v>انجمن</v>
      </c>
      <c r="K1201" s="252">
        <f>bargiri[[#This Row],[فی]]*bargiri[[#This Row],[میزان بارگیری شده]]</f>
        <v>2840710000</v>
      </c>
    </row>
    <row r="1202" spans="1:11" ht="18.600000000000001">
      <c r="A1202" s="360" t="s">
        <v>807</v>
      </c>
      <c r="B1202" s="360" t="s">
        <v>116</v>
      </c>
      <c r="C1202" s="355" t="s">
        <v>565</v>
      </c>
      <c r="D1202">
        <v>19115</v>
      </c>
      <c r="E1202" s="143">
        <v>142000</v>
      </c>
      <c r="F1202" s="117">
        <v>1404</v>
      </c>
      <c r="G1202" s="360" t="s">
        <v>301</v>
      </c>
      <c r="H1202" s="144">
        <f>bargiri[[#This Row],[میزان بارگیری شده]]*bargiri[[#This Row],[فی]]</f>
        <v>2714330000</v>
      </c>
      <c r="I1202" s="360">
        <f>IF(year=bargiri[[#This Row],[سال]],1,0)</f>
        <v>0</v>
      </c>
      <c r="J1202" s="360" t="str">
        <f>VLOOKUP(bargiri[[#This Row],[شماره پیش فاکتور]],invoice[],16,0)</f>
        <v>انجمن</v>
      </c>
      <c r="K1202" s="252">
        <f>bargiri[[#This Row],[فی]]*bargiri[[#This Row],[میزان بارگیری شده]]</f>
        <v>2714330000</v>
      </c>
    </row>
    <row r="1203" spans="1:11" ht="18.600000000000001">
      <c r="A1203" s="360" t="s">
        <v>807</v>
      </c>
      <c r="B1203" s="360" t="s">
        <v>114</v>
      </c>
      <c r="C1203" s="355" t="s">
        <v>62</v>
      </c>
      <c r="D1203">
        <v>20930</v>
      </c>
      <c r="E1203" s="143">
        <v>75000</v>
      </c>
      <c r="F1203" s="117">
        <v>1404</v>
      </c>
      <c r="G1203" s="360" t="s">
        <v>301</v>
      </c>
      <c r="H1203" s="144">
        <f>bargiri[[#This Row],[میزان بارگیری شده]]*bargiri[[#This Row],[فی]]</f>
        <v>1569750000</v>
      </c>
      <c r="I1203" s="360">
        <f>IF(year=bargiri[[#This Row],[سال]],1,0)</f>
        <v>0</v>
      </c>
      <c r="J1203" s="360" t="str">
        <f>VLOOKUP(bargiri[[#This Row],[شماره پیش فاکتور]],invoice[],16,0)</f>
        <v>عادی</v>
      </c>
      <c r="K1203" s="252">
        <f>bargiri[[#This Row],[فی]]*bargiri[[#This Row],[میزان بارگیری شده]]</f>
        <v>1569750000</v>
      </c>
    </row>
    <row r="1204" spans="1:11" ht="18.600000000000001">
      <c r="A1204" s="360" t="s">
        <v>805</v>
      </c>
      <c r="B1204" s="360" t="s">
        <v>118</v>
      </c>
      <c r="C1204" s="355" t="s">
        <v>84</v>
      </c>
      <c r="D1204">
        <v>20975</v>
      </c>
      <c r="E1204" s="143">
        <v>57273</v>
      </c>
      <c r="F1204" s="117">
        <v>1404</v>
      </c>
      <c r="G1204" s="360" t="s">
        <v>301</v>
      </c>
      <c r="H1204" s="144">
        <f>bargiri[[#This Row],[میزان بارگیری شده]]*bargiri[[#This Row],[فی]]</f>
        <v>1201301175</v>
      </c>
      <c r="I1204" s="360">
        <f>IF(year=bargiri[[#This Row],[سال]],1,0)</f>
        <v>0</v>
      </c>
      <c r="J1204" s="360" t="str">
        <f>VLOOKUP(bargiri[[#This Row],[شماره پیش فاکتور]],invoice[],16,0)</f>
        <v>عادی</v>
      </c>
      <c r="K1204" s="252">
        <f>bargiri[[#This Row],[فی]]*bargiri[[#This Row],[میزان بارگیری شده]]</f>
        <v>1201301175</v>
      </c>
    </row>
    <row r="1205" spans="1:11" ht="18.600000000000001">
      <c r="A1205" s="360" t="s">
        <v>805</v>
      </c>
      <c r="B1205" s="360" t="s">
        <v>118</v>
      </c>
      <c r="C1205" s="355" t="s">
        <v>84</v>
      </c>
      <c r="D1205">
        <v>20660</v>
      </c>
      <c r="E1205" s="143">
        <v>57273</v>
      </c>
      <c r="F1205" s="117">
        <v>1404</v>
      </c>
      <c r="G1205" s="360" t="s">
        <v>301</v>
      </c>
      <c r="H1205" s="144">
        <f>bargiri[[#This Row],[میزان بارگیری شده]]*bargiri[[#This Row],[فی]]</f>
        <v>1183260180</v>
      </c>
      <c r="I1205" s="360">
        <f>IF(year=bargiri[[#This Row],[سال]],1,0)</f>
        <v>0</v>
      </c>
      <c r="J1205" s="360" t="str">
        <f>VLOOKUP(bargiri[[#This Row],[شماره پیش فاکتور]],invoice[],16,0)</f>
        <v>عادی</v>
      </c>
      <c r="K1205" s="252">
        <f>bargiri[[#This Row],[فی]]*bargiri[[#This Row],[میزان بارگیری شده]]</f>
        <v>1183260180</v>
      </c>
    </row>
    <row r="1206" spans="1:11" ht="18.600000000000001">
      <c r="A1206" s="360" t="s">
        <v>806</v>
      </c>
      <c r="B1206" s="360" t="s">
        <v>102</v>
      </c>
      <c r="C1206" s="355" t="s">
        <v>24</v>
      </c>
      <c r="D1206">
        <v>11370</v>
      </c>
      <c r="E1206" s="143">
        <v>70000</v>
      </c>
      <c r="F1206" s="117">
        <v>1404</v>
      </c>
      <c r="G1206" s="360" t="s">
        <v>301</v>
      </c>
      <c r="H1206" s="144">
        <f>bargiri[[#This Row],[میزان بارگیری شده]]*bargiri[[#This Row],[فی]]</f>
        <v>795900000</v>
      </c>
      <c r="I1206" s="360">
        <f>IF(year=bargiri[[#This Row],[سال]],1,0)</f>
        <v>0</v>
      </c>
      <c r="J1206" s="360" t="str">
        <f>VLOOKUP(bargiri[[#This Row],[شماره پیش فاکتور]],invoice[],16,0)</f>
        <v>عادی</v>
      </c>
      <c r="K1206" s="252">
        <f>bargiri[[#This Row],[فی]]*bargiri[[#This Row],[میزان بارگیری شده]]</f>
        <v>795900000</v>
      </c>
    </row>
    <row r="1207" spans="1:11" ht="18.600000000000001">
      <c r="A1207" s="360" t="s">
        <v>806</v>
      </c>
      <c r="B1207" s="360" t="s">
        <v>99</v>
      </c>
      <c r="C1207" s="355" t="s">
        <v>12</v>
      </c>
      <c r="D1207">
        <v>20250</v>
      </c>
      <c r="E1207" s="143">
        <v>86500</v>
      </c>
      <c r="F1207" s="117">
        <v>1404</v>
      </c>
      <c r="G1207" s="360" t="s">
        <v>301</v>
      </c>
      <c r="H1207" s="144">
        <f>bargiri[[#This Row],[میزان بارگیری شده]]*bargiri[[#This Row],[فی]]</f>
        <v>1751625000</v>
      </c>
      <c r="I1207" s="360">
        <f>IF(year=bargiri[[#This Row],[سال]],1,0)</f>
        <v>0</v>
      </c>
      <c r="J1207" s="360" t="str">
        <f>VLOOKUP(bargiri[[#This Row],[شماره پیش فاکتور]],invoice[],16,0)</f>
        <v>عادی</v>
      </c>
      <c r="K1207" s="252">
        <f>bargiri[[#This Row],[فی]]*bargiri[[#This Row],[میزان بارگیری شده]]</f>
        <v>1751625000</v>
      </c>
    </row>
    <row r="1208" spans="1:11" ht="18.600000000000001">
      <c r="A1208" s="360" t="s">
        <v>806</v>
      </c>
      <c r="B1208" s="360" t="s">
        <v>125</v>
      </c>
      <c r="C1208" s="355" t="s">
        <v>570</v>
      </c>
      <c r="D1208">
        <v>14535</v>
      </c>
      <c r="E1208" s="143">
        <v>142000</v>
      </c>
      <c r="F1208" s="117">
        <v>1404</v>
      </c>
      <c r="G1208" s="360" t="s">
        <v>301</v>
      </c>
      <c r="H1208" s="144">
        <f>bargiri[[#This Row],[میزان بارگیری شده]]*bargiri[[#This Row],[فی]]</f>
        <v>2063970000</v>
      </c>
      <c r="I1208" s="360">
        <f>IF(year=bargiri[[#This Row],[سال]],1,0)</f>
        <v>0</v>
      </c>
      <c r="J1208" s="360" t="str">
        <f>VLOOKUP(bargiri[[#This Row],[شماره پیش فاکتور]],invoice[],16,0)</f>
        <v>انجمن</v>
      </c>
      <c r="K1208" s="252">
        <f>bargiri[[#This Row],[فی]]*bargiri[[#This Row],[میزان بارگیری شده]]</f>
        <v>2063970000</v>
      </c>
    </row>
    <row r="1209" spans="1:11" ht="18.600000000000001">
      <c r="A1209" s="360" t="s">
        <v>804</v>
      </c>
      <c r="B1209" s="360" t="s">
        <v>100</v>
      </c>
      <c r="C1209" s="355" t="s">
        <v>555</v>
      </c>
      <c r="D1209">
        <v>6660</v>
      </c>
      <c r="E1209" s="143">
        <v>142000</v>
      </c>
      <c r="F1209" s="117">
        <v>1404</v>
      </c>
      <c r="G1209" s="360" t="s">
        <v>301</v>
      </c>
      <c r="H1209" s="144">
        <f>bargiri[[#This Row],[میزان بارگیری شده]]*bargiri[[#This Row],[فی]]</f>
        <v>945720000</v>
      </c>
      <c r="I1209" s="360">
        <f>IF(year=bargiri[[#This Row],[سال]],1,0)</f>
        <v>0</v>
      </c>
      <c r="J1209" s="360" t="str">
        <f>VLOOKUP(bargiri[[#This Row],[شماره پیش فاکتور]],invoice[],16,0)</f>
        <v>انجمن</v>
      </c>
      <c r="K1209" s="252">
        <f>bargiri[[#This Row],[فی]]*bargiri[[#This Row],[میزان بارگیری شده]]</f>
        <v>945720000</v>
      </c>
    </row>
    <row r="1210" spans="1:11" ht="18.600000000000001">
      <c r="A1210" s="360" t="s">
        <v>804</v>
      </c>
      <c r="B1210" s="360" t="s">
        <v>117</v>
      </c>
      <c r="C1210" s="355" t="s">
        <v>645</v>
      </c>
      <c r="D1210">
        <v>9950</v>
      </c>
      <c r="E1210" s="143">
        <v>83000</v>
      </c>
      <c r="F1210" s="117">
        <v>1404</v>
      </c>
      <c r="G1210" s="360" t="s">
        <v>301</v>
      </c>
      <c r="H1210" s="144">
        <f>bargiri[[#This Row],[میزان بارگیری شده]]*bargiri[[#This Row],[فی]]</f>
        <v>825850000</v>
      </c>
      <c r="I1210" s="360">
        <f>IF(year=bargiri[[#This Row],[سال]],1,0)</f>
        <v>0</v>
      </c>
      <c r="J1210" s="360" t="str">
        <f>VLOOKUP(bargiri[[#This Row],[شماره پیش فاکتور]],invoice[],16,0)</f>
        <v>تعادلی</v>
      </c>
      <c r="K1210" s="252">
        <f>bargiri[[#This Row],[فی]]*bargiri[[#This Row],[میزان بارگیری شده]]</f>
        <v>825850000</v>
      </c>
    </row>
    <row r="1211" spans="1:11" ht="18.600000000000001">
      <c r="A1211" s="360" t="s">
        <v>804</v>
      </c>
      <c r="B1211" s="360" t="s">
        <v>117</v>
      </c>
      <c r="C1211" s="355" t="s">
        <v>687</v>
      </c>
      <c r="D1211">
        <v>10150</v>
      </c>
      <c r="E1211" s="143">
        <v>116500</v>
      </c>
      <c r="F1211" s="117">
        <v>1404</v>
      </c>
      <c r="G1211" s="360" t="s">
        <v>301</v>
      </c>
      <c r="H1211" s="144">
        <f>bargiri[[#This Row],[میزان بارگیری شده]]*bargiri[[#This Row],[فی]]</f>
        <v>1182475000</v>
      </c>
      <c r="I1211" s="360">
        <f>IF(year=bargiri[[#This Row],[سال]],1,0)</f>
        <v>0</v>
      </c>
      <c r="J1211" s="360" t="str">
        <f>VLOOKUP(bargiri[[#This Row],[شماره پیش فاکتور]],invoice[],16,0)</f>
        <v>تعادلی</v>
      </c>
      <c r="K1211" s="252">
        <f>bargiri[[#This Row],[فی]]*bargiri[[#This Row],[میزان بارگیری شده]]</f>
        <v>1182475000</v>
      </c>
    </row>
    <row r="1212" spans="1:11" ht="18.600000000000001">
      <c r="A1212" s="360" t="s">
        <v>804</v>
      </c>
      <c r="B1212" s="360" t="s">
        <v>116</v>
      </c>
      <c r="C1212" s="355" t="s">
        <v>778</v>
      </c>
      <c r="D1212">
        <v>20020</v>
      </c>
      <c r="E1212" s="143">
        <v>210000</v>
      </c>
      <c r="F1212" s="117">
        <v>1404</v>
      </c>
      <c r="G1212" s="360" t="s">
        <v>301</v>
      </c>
      <c r="H1212" s="144">
        <f>bargiri[[#This Row],[میزان بارگیری شده]]*bargiri[[#This Row],[فی]]</f>
        <v>4204200000</v>
      </c>
      <c r="I1212" s="360">
        <f>IF(year=bargiri[[#This Row],[سال]],1,0)</f>
        <v>0</v>
      </c>
      <c r="J1212" s="360" t="str">
        <f>VLOOKUP(bargiri[[#This Row],[شماره پیش فاکتور]],invoice[],16,0)</f>
        <v>بورس</v>
      </c>
      <c r="K1212" s="252">
        <f>bargiri[[#This Row],[فی]]*bargiri[[#This Row],[میزان بارگیری شده]]</f>
        <v>4204200000</v>
      </c>
    </row>
    <row r="1213" spans="1:11" ht="18.600000000000001">
      <c r="A1213" s="360" t="s">
        <v>582</v>
      </c>
      <c r="B1213" s="360" t="s">
        <v>116</v>
      </c>
      <c r="C1213" s="355" t="s">
        <v>608</v>
      </c>
      <c r="D1213">
        <v>20220</v>
      </c>
      <c r="E1213" s="143">
        <v>95000</v>
      </c>
      <c r="F1213" s="117">
        <v>1404</v>
      </c>
      <c r="G1213" s="360" t="s">
        <v>301</v>
      </c>
      <c r="H1213" s="144">
        <f>bargiri[[#This Row],[میزان بارگیری شده]]*bargiri[[#This Row],[فی]]</f>
        <v>1920900000</v>
      </c>
      <c r="I1213" s="360">
        <f>IF(year=bargiri[[#This Row],[سال]],1,0)</f>
        <v>0</v>
      </c>
      <c r="J1213" s="360" t="str">
        <f>VLOOKUP(bargiri[[#This Row],[شماره پیش فاکتور]],invoice[],16,0)</f>
        <v>عادی</v>
      </c>
      <c r="K1213" s="252">
        <f>bargiri[[#This Row],[فی]]*bargiri[[#This Row],[میزان بارگیری شده]]</f>
        <v>1920900000</v>
      </c>
    </row>
    <row r="1214" spans="1:11" ht="18.600000000000001">
      <c r="A1214" s="360" t="s">
        <v>582</v>
      </c>
      <c r="B1214" s="360" t="s">
        <v>118</v>
      </c>
      <c r="C1214" s="355" t="s">
        <v>84</v>
      </c>
      <c r="D1214">
        <v>20450</v>
      </c>
      <c r="E1214" s="143">
        <v>57273</v>
      </c>
      <c r="F1214" s="117">
        <v>1404</v>
      </c>
      <c r="G1214" s="360" t="s">
        <v>301</v>
      </c>
      <c r="H1214" s="144">
        <f>bargiri[[#This Row],[میزان بارگیری شده]]*bargiri[[#This Row],[فی]]</f>
        <v>1171232850</v>
      </c>
      <c r="I1214" s="360">
        <f>IF(year=bargiri[[#This Row],[سال]],1,0)</f>
        <v>0</v>
      </c>
      <c r="J1214" s="360" t="str">
        <f>VLOOKUP(bargiri[[#This Row],[شماره پیش فاکتور]],invoice[],16,0)</f>
        <v>عادی</v>
      </c>
      <c r="K1214" s="252">
        <f>bargiri[[#This Row],[فی]]*bargiri[[#This Row],[میزان بارگیری شده]]</f>
        <v>1171232850</v>
      </c>
    </row>
    <row r="1215" spans="1:11" ht="18.600000000000001">
      <c r="A1215" s="360" t="s">
        <v>582</v>
      </c>
      <c r="B1215" s="360" t="s">
        <v>98</v>
      </c>
      <c r="C1215" s="355" t="s">
        <v>788</v>
      </c>
      <c r="D1215">
        <v>22195</v>
      </c>
      <c r="E1215" s="143">
        <v>79520</v>
      </c>
      <c r="F1215" s="117">
        <v>1404</v>
      </c>
      <c r="G1215" s="360" t="s">
        <v>301</v>
      </c>
      <c r="H1215" s="144">
        <f>bargiri[[#This Row],[میزان بارگیری شده]]*bargiri[[#This Row],[فی]]</f>
        <v>1764946400</v>
      </c>
      <c r="I1215" s="360">
        <f>IF(year=bargiri[[#This Row],[سال]],1,0)</f>
        <v>0</v>
      </c>
      <c r="J1215" s="360" t="str">
        <f>VLOOKUP(bargiri[[#This Row],[شماره پیش فاکتور]],invoice[],16,0)</f>
        <v>تعادلی</v>
      </c>
      <c r="K1215" s="252">
        <f>bargiri[[#This Row],[فی]]*bargiri[[#This Row],[میزان بارگیری شده]]</f>
        <v>1764946400</v>
      </c>
    </row>
    <row r="1216" spans="1:11" ht="18.600000000000001">
      <c r="A1216" s="360" t="s">
        <v>582</v>
      </c>
      <c r="B1216" s="360" t="s">
        <v>104</v>
      </c>
      <c r="C1216" s="355" t="s">
        <v>694</v>
      </c>
      <c r="D1216">
        <v>13545</v>
      </c>
      <c r="E1216" s="143">
        <v>167500</v>
      </c>
      <c r="F1216" s="117">
        <v>1404</v>
      </c>
      <c r="G1216" s="360" t="s">
        <v>301</v>
      </c>
      <c r="H1216" s="144">
        <f>bargiri[[#This Row],[میزان بارگیری شده]]*bargiri[[#This Row],[فی]]</f>
        <v>2268787500</v>
      </c>
      <c r="I1216" s="360">
        <f>IF(year=bargiri[[#This Row],[سال]],1,0)</f>
        <v>0</v>
      </c>
      <c r="J1216" s="360" t="str">
        <f>VLOOKUP(bargiri[[#This Row],[شماره پیش فاکتور]],invoice[],16,0)</f>
        <v>بورس</v>
      </c>
      <c r="K1216" s="252">
        <f>bargiri[[#This Row],[فی]]*bargiri[[#This Row],[میزان بارگیری شده]]</f>
        <v>2268787500</v>
      </c>
    </row>
    <row r="1217" spans="1:11" ht="18.600000000000001">
      <c r="A1217" s="360" t="s">
        <v>582</v>
      </c>
      <c r="B1217" s="360" t="s">
        <v>104</v>
      </c>
      <c r="C1217" s="355" t="s">
        <v>776</v>
      </c>
      <c r="D1217">
        <v>4845</v>
      </c>
      <c r="E1217" s="143">
        <v>210000</v>
      </c>
      <c r="F1217" s="117">
        <v>1404</v>
      </c>
      <c r="G1217" s="360" t="s">
        <v>301</v>
      </c>
      <c r="H1217" s="144">
        <f>bargiri[[#This Row],[میزان بارگیری شده]]*bargiri[[#This Row],[فی]]</f>
        <v>1017450000</v>
      </c>
      <c r="I1217" s="360">
        <f>IF(year=bargiri[[#This Row],[سال]],1,0)</f>
        <v>0</v>
      </c>
      <c r="J1217" s="360" t="str">
        <f>VLOOKUP(bargiri[[#This Row],[شماره پیش فاکتور]],invoice[],16,0)</f>
        <v>بورس</v>
      </c>
      <c r="K1217" s="252">
        <f>bargiri[[#This Row],[فی]]*bargiri[[#This Row],[میزان بارگیری شده]]</f>
        <v>1017450000</v>
      </c>
    </row>
    <row r="1218" spans="1:11" ht="18.600000000000001">
      <c r="A1218" s="360" t="s">
        <v>582</v>
      </c>
      <c r="B1218" s="360" t="s">
        <v>105</v>
      </c>
      <c r="C1218" s="355" t="s">
        <v>553</v>
      </c>
      <c r="D1218">
        <v>19165</v>
      </c>
      <c r="E1218" s="143">
        <v>142000</v>
      </c>
      <c r="F1218" s="117">
        <v>1404</v>
      </c>
      <c r="G1218" s="360" t="s">
        <v>301</v>
      </c>
      <c r="H1218" s="144">
        <f>bargiri[[#This Row],[میزان بارگیری شده]]*bargiri[[#This Row],[فی]]</f>
        <v>2721430000</v>
      </c>
      <c r="I1218" s="360">
        <f>IF(year=bargiri[[#This Row],[سال]],1,0)</f>
        <v>0</v>
      </c>
      <c r="J1218" s="360" t="str">
        <f>VLOOKUP(bargiri[[#This Row],[شماره پیش فاکتور]],invoice[],16,0)</f>
        <v>انجمن</v>
      </c>
      <c r="K1218" s="252">
        <f>bargiri[[#This Row],[فی]]*bargiri[[#This Row],[میزان بارگیری شده]]</f>
        <v>2721430000</v>
      </c>
    </row>
    <row r="1219" spans="1:11" ht="18.600000000000001">
      <c r="A1219" s="360" t="s">
        <v>582</v>
      </c>
      <c r="B1219" s="360" t="s">
        <v>118</v>
      </c>
      <c r="C1219" s="355" t="s">
        <v>84</v>
      </c>
      <c r="D1219">
        <v>20615</v>
      </c>
      <c r="E1219" s="143">
        <v>57273</v>
      </c>
      <c r="F1219" s="117">
        <v>1404</v>
      </c>
      <c r="G1219" s="360" t="s">
        <v>301</v>
      </c>
      <c r="H1219" s="144">
        <f>bargiri[[#This Row],[میزان بارگیری شده]]*bargiri[[#This Row],[فی]]</f>
        <v>1180682895</v>
      </c>
      <c r="I1219" s="360">
        <f>IF(year=bargiri[[#This Row],[سال]],1,0)</f>
        <v>0</v>
      </c>
      <c r="J1219" s="360" t="str">
        <f>VLOOKUP(bargiri[[#This Row],[شماره پیش فاکتور]],invoice[],16,0)</f>
        <v>عادی</v>
      </c>
      <c r="K1219" s="252">
        <f>bargiri[[#This Row],[فی]]*bargiri[[#This Row],[میزان بارگیری شده]]</f>
        <v>1180682895</v>
      </c>
    </row>
    <row r="1220" spans="1:11" ht="18.600000000000001">
      <c r="A1220" s="360" t="s">
        <v>582</v>
      </c>
      <c r="B1220" s="360" t="s">
        <v>122</v>
      </c>
      <c r="C1220" s="355" t="s">
        <v>568</v>
      </c>
      <c r="D1220">
        <v>20195</v>
      </c>
      <c r="E1220" s="143">
        <v>142000</v>
      </c>
      <c r="F1220" s="117">
        <v>1404</v>
      </c>
      <c r="G1220" s="360" t="s">
        <v>301</v>
      </c>
      <c r="H1220" s="144">
        <f>bargiri[[#This Row],[میزان بارگیری شده]]*bargiri[[#This Row],[فی]]</f>
        <v>2867690000</v>
      </c>
      <c r="I1220" s="360">
        <f>IF(year=bargiri[[#This Row],[سال]],1,0)</f>
        <v>0</v>
      </c>
      <c r="J1220" s="360" t="str">
        <f>VLOOKUP(bargiri[[#This Row],[شماره پیش فاکتور]],invoice[],16,0)</f>
        <v>انجمن</v>
      </c>
      <c r="K1220" s="252">
        <f>bargiri[[#This Row],[فی]]*bargiri[[#This Row],[میزان بارگیری شده]]</f>
        <v>2867690000</v>
      </c>
    </row>
    <row r="1221" spans="1:11" ht="18.600000000000001">
      <c r="A1221" s="360" t="s">
        <v>803</v>
      </c>
      <c r="B1221" s="360" t="s">
        <v>109</v>
      </c>
      <c r="C1221" s="355" t="s">
        <v>563</v>
      </c>
      <c r="D1221">
        <v>7165</v>
      </c>
      <c r="E1221" s="143">
        <v>142000</v>
      </c>
      <c r="F1221" s="117">
        <v>1404</v>
      </c>
      <c r="G1221" s="360" t="s">
        <v>301</v>
      </c>
      <c r="H1221" s="144">
        <f>bargiri[[#This Row],[میزان بارگیری شده]]*bargiri[[#This Row],[فی]]</f>
        <v>1017430000</v>
      </c>
      <c r="I1221" s="360">
        <f>IF(year=bargiri[[#This Row],[سال]],1,0)</f>
        <v>0</v>
      </c>
      <c r="J1221" s="360" t="str">
        <f>VLOOKUP(bargiri[[#This Row],[شماره پیش فاکتور]],invoice[],16,0)</f>
        <v>انجمن</v>
      </c>
      <c r="K1221" s="252">
        <f>bargiri[[#This Row],[فی]]*bargiri[[#This Row],[میزان بارگیری شده]]</f>
        <v>1017430000</v>
      </c>
    </row>
    <row r="1222" spans="1:11" ht="18.600000000000001">
      <c r="A1222" s="360" t="s">
        <v>803</v>
      </c>
      <c r="B1222" s="360" t="s">
        <v>100</v>
      </c>
      <c r="C1222" s="355" t="s">
        <v>555</v>
      </c>
      <c r="D1222">
        <v>6725</v>
      </c>
      <c r="E1222" s="143">
        <v>142000</v>
      </c>
      <c r="F1222" s="117">
        <v>1404</v>
      </c>
      <c r="G1222" s="360" t="s">
        <v>301</v>
      </c>
      <c r="H1222" s="144">
        <f>bargiri[[#This Row],[میزان بارگیری شده]]*bargiri[[#This Row],[فی]]</f>
        <v>954950000</v>
      </c>
      <c r="I1222" s="360">
        <f>IF(year=bargiri[[#This Row],[سال]],1,0)</f>
        <v>0</v>
      </c>
      <c r="J1222" s="360" t="str">
        <f>VLOOKUP(bargiri[[#This Row],[شماره پیش فاکتور]],invoice[],16,0)</f>
        <v>انجمن</v>
      </c>
      <c r="K1222" s="252">
        <f>bargiri[[#This Row],[فی]]*bargiri[[#This Row],[میزان بارگیری شده]]</f>
        <v>954950000</v>
      </c>
    </row>
    <row r="1223" spans="1:11" ht="18.600000000000001">
      <c r="A1223" s="360" t="s">
        <v>803</v>
      </c>
      <c r="B1223" s="360" t="s">
        <v>116</v>
      </c>
      <c r="C1223" s="355" t="s">
        <v>565</v>
      </c>
      <c r="D1223">
        <v>12050</v>
      </c>
      <c r="E1223" s="143">
        <v>142000</v>
      </c>
      <c r="F1223" s="117">
        <v>1404</v>
      </c>
      <c r="G1223" s="360" t="s">
        <v>301</v>
      </c>
      <c r="H1223" s="144">
        <f>bargiri[[#This Row],[میزان بارگیری شده]]*bargiri[[#This Row],[فی]]</f>
        <v>1711100000</v>
      </c>
      <c r="I1223" s="360">
        <f>IF(year=bargiri[[#This Row],[سال]],1,0)</f>
        <v>0</v>
      </c>
      <c r="J1223" s="360" t="str">
        <f>VLOOKUP(bargiri[[#This Row],[شماره پیش فاکتور]],invoice[],16,0)</f>
        <v>انجمن</v>
      </c>
      <c r="K1223" s="252">
        <f>bargiri[[#This Row],[فی]]*bargiri[[#This Row],[میزان بارگیری شده]]</f>
        <v>1711100000</v>
      </c>
    </row>
    <row r="1224" spans="1:11" ht="18.600000000000001">
      <c r="A1224" s="360" t="s">
        <v>803</v>
      </c>
      <c r="B1224" s="360" t="s">
        <v>116</v>
      </c>
      <c r="C1224" s="355" t="s">
        <v>778</v>
      </c>
      <c r="D1224">
        <v>8110</v>
      </c>
      <c r="E1224" s="143">
        <v>210000</v>
      </c>
      <c r="F1224" s="117">
        <v>1404</v>
      </c>
      <c r="G1224" s="360" t="s">
        <v>301</v>
      </c>
      <c r="H1224" s="144">
        <f>bargiri[[#This Row],[میزان بارگیری شده]]*bargiri[[#This Row],[فی]]</f>
        <v>1703100000</v>
      </c>
      <c r="I1224" s="360">
        <f>IF(year=bargiri[[#This Row],[سال]],1,0)</f>
        <v>0</v>
      </c>
      <c r="J1224" s="360" t="str">
        <f>VLOOKUP(bargiri[[#This Row],[شماره پیش فاکتور]],invoice[],16,0)</f>
        <v>بورس</v>
      </c>
      <c r="K1224" s="252">
        <f>bargiri[[#This Row],[فی]]*bargiri[[#This Row],[میزان بارگیری شده]]</f>
        <v>1703100000</v>
      </c>
    </row>
    <row r="1225" spans="1:11" ht="18.600000000000001">
      <c r="A1225" s="360" t="s">
        <v>803</v>
      </c>
      <c r="B1225" s="360" t="s">
        <v>116</v>
      </c>
      <c r="C1225" s="355" t="s">
        <v>608</v>
      </c>
      <c r="D1225">
        <v>12100</v>
      </c>
      <c r="E1225" s="143">
        <v>95000</v>
      </c>
      <c r="F1225" s="117">
        <v>1404</v>
      </c>
      <c r="G1225" s="360" t="s">
        <v>301</v>
      </c>
      <c r="H1225" s="144">
        <f>bargiri[[#This Row],[میزان بارگیری شده]]*bargiri[[#This Row],[فی]]</f>
        <v>1149500000</v>
      </c>
      <c r="I1225" s="360">
        <f>IF(year=bargiri[[#This Row],[سال]],1,0)</f>
        <v>0</v>
      </c>
      <c r="J1225" s="360" t="str">
        <f>VLOOKUP(bargiri[[#This Row],[شماره پیش فاکتور]],invoice[],16,0)</f>
        <v>عادی</v>
      </c>
      <c r="K1225" s="252">
        <f>bargiri[[#This Row],[فی]]*bargiri[[#This Row],[میزان بارگیری شده]]</f>
        <v>1149500000</v>
      </c>
    </row>
    <row r="1226" spans="1:11" ht="18.600000000000001">
      <c r="A1226" s="360" t="s">
        <v>803</v>
      </c>
      <c r="B1226" s="360" t="s">
        <v>103</v>
      </c>
      <c r="C1226" s="355" t="s">
        <v>560</v>
      </c>
      <c r="D1226">
        <v>20025</v>
      </c>
      <c r="E1226" s="143">
        <v>142000</v>
      </c>
      <c r="F1226" s="117">
        <v>1404</v>
      </c>
      <c r="G1226" s="360" t="s">
        <v>301</v>
      </c>
      <c r="H1226" s="144">
        <f>bargiri[[#This Row],[میزان بارگیری شده]]*bargiri[[#This Row],[فی]]</f>
        <v>2843550000</v>
      </c>
      <c r="I1226" s="360">
        <f>IF(year=bargiri[[#This Row],[سال]],1,0)</f>
        <v>0</v>
      </c>
      <c r="J1226" s="360" t="str">
        <f>VLOOKUP(bargiri[[#This Row],[شماره پیش فاکتور]],invoice[],16,0)</f>
        <v>انجمن</v>
      </c>
      <c r="K1226" s="252">
        <f>bargiri[[#This Row],[فی]]*bargiri[[#This Row],[میزان بارگیری شده]]</f>
        <v>2843550000</v>
      </c>
    </row>
    <row r="1227" spans="1:11" ht="18.600000000000001">
      <c r="A1227" s="360" t="s">
        <v>802</v>
      </c>
      <c r="B1227" s="360" t="s">
        <v>116</v>
      </c>
      <c r="C1227" s="355" t="s">
        <v>778</v>
      </c>
      <c r="D1227">
        <v>20065</v>
      </c>
      <c r="E1227" s="143">
        <v>210000</v>
      </c>
      <c r="F1227" s="117">
        <v>1404</v>
      </c>
      <c r="G1227" s="360" t="s">
        <v>301</v>
      </c>
      <c r="H1227" s="144">
        <f>bargiri[[#This Row],[میزان بارگیری شده]]*bargiri[[#This Row],[فی]]</f>
        <v>4213650000</v>
      </c>
      <c r="I1227" s="360">
        <f>IF(year=bargiri[[#This Row],[سال]],1,0)</f>
        <v>0</v>
      </c>
      <c r="J1227" s="360" t="str">
        <f>VLOOKUP(bargiri[[#This Row],[شماره پیش فاکتور]],invoice[],16,0)</f>
        <v>بورس</v>
      </c>
      <c r="K1227" s="252">
        <f>bargiri[[#This Row],[فی]]*bargiri[[#This Row],[میزان بارگیری شده]]</f>
        <v>4213650000</v>
      </c>
    </row>
    <row r="1228" spans="1:11" ht="18.600000000000001">
      <c r="A1228" s="360" t="s">
        <v>802</v>
      </c>
      <c r="B1228" s="360" t="s">
        <v>116</v>
      </c>
      <c r="C1228" s="355" t="s">
        <v>608</v>
      </c>
      <c r="D1228">
        <v>19735</v>
      </c>
      <c r="E1228" s="143">
        <v>95000</v>
      </c>
      <c r="F1228" s="117">
        <v>1404</v>
      </c>
      <c r="G1228" s="360" t="s">
        <v>301</v>
      </c>
      <c r="H1228" s="144">
        <f>bargiri[[#This Row],[میزان بارگیری شده]]*bargiri[[#This Row],[فی]]</f>
        <v>1874825000</v>
      </c>
      <c r="I1228" s="360">
        <f>IF(year=bargiri[[#This Row],[سال]],1,0)</f>
        <v>0</v>
      </c>
      <c r="J1228" s="360" t="str">
        <f>VLOOKUP(bargiri[[#This Row],[شماره پیش فاکتور]],invoice[],16,0)</f>
        <v>عادی</v>
      </c>
      <c r="K1228" s="252">
        <f>bargiri[[#This Row],[فی]]*bargiri[[#This Row],[میزان بارگیری شده]]</f>
        <v>1874825000</v>
      </c>
    </row>
    <row r="1229" spans="1:11" ht="18.600000000000001">
      <c r="A1229" s="360" t="s">
        <v>802</v>
      </c>
      <c r="B1229" s="360" t="s">
        <v>116</v>
      </c>
      <c r="C1229" s="355" t="s">
        <v>565</v>
      </c>
      <c r="D1229">
        <v>20050</v>
      </c>
      <c r="E1229" s="143">
        <v>142000</v>
      </c>
      <c r="F1229" s="117">
        <v>1404</v>
      </c>
      <c r="G1229" s="360" t="s">
        <v>301</v>
      </c>
      <c r="H1229" s="144">
        <f>bargiri[[#This Row],[میزان بارگیری شده]]*bargiri[[#This Row],[فی]]</f>
        <v>2847100000</v>
      </c>
      <c r="I1229" s="360">
        <f>IF(year=bargiri[[#This Row],[سال]],1,0)</f>
        <v>0</v>
      </c>
      <c r="J1229" s="360" t="str">
        <f>VLOOKUP(bargiri[[#This Row],[شماره پیش فاکتور]],invoice[],16,0)</f>
        <v>انجمن</v>
      </c>
      <c r="K1229" s="252">
        <f>bargiri[[#This Row],[فی]]*bargiri[[#This Row],[میزان بارگیری شده]]</f>
        <v>2847100000</v>
      </c>
    </row>
    <row r="1230" spans="1:11" ht="18.600000000000001">
      <c r="A1230" s="360" t="s">
        <v>802</v>
      </c>
      <c r="B1230" s="360" t="s">
        <v>118</v>
      </c>
      <c r="C1230" s="355" t="s">
        <v>84</v>
      </c>
      <c r="D1230">
        <v>20165</v>
      </c>
      <c r="E1230" s="143">
        <v>57273</v>
      </c>
      <c r="F1230" s="117">
        <v>1404</v>
      </c>
      <c r="G1230" s="360" t="s">
        <v>301</v>
      </c>
      <c r="H1230" s="144">
        <f>bargiri[[#This Row],[میزان بارگیری شده]]*bargiri[[#This Row],[فی]]</f>
        <v>1154910045</v>
      </c>
      <c r="I1230" s="360">
        <f>IF(year=bargiri[[#This Row],[سال]],1,0)</f>
        <v>0</v>
      </c>
      <c r="J1230" s="360" t="str">
        <f>VLOOKUP(bargiri[[#This Row],[شماره پیش فاکتور]],invoice[],16,0)</f>
        <v>عادی</v>
      </c>
      <c r="K1230" s="252">
        <f>bargiri[[#This Row],[فی]]*bargiri[[#This Row],[میزان بارگیری شده]]</f>
        <v>1154910045</v>
      </c>
    </row>
    <row r="1231" spans="1:11" ht="18.600000000000001">
      <c r="A1231" s="360" t="s">
        <v>802</v>
      </c>
      <c r="B1231" s="360" t="s">
        <v>118</v>
      </c>
      <c r="C1231" s="355" t="s">
        <v>84</v>
      </c>
      <c r="D1231">
        <v>20680</v>
      </c>
      <c r="E1231" s="143">
        <v>57273</v>
      </c>
      <c r="F1231" s="117">
        <v>1404</v>
      </c>
      <c r="G1231" s="360" t="s">
        <v>301</v>
      </c>
      <c r="H1231" s="144">
        <f>bargiri[[#This Row],[میزان بارگیری شده]]*bargiri[[#This Row],[فی]]</f>
        <v>1184405640</v>
      </c>
      <c r="I1231" s="360">
        <f>IF(year=bargiri[[#This Row],[سال]],1,0)</f>
        <v>0</v>
      </c>
      <c r="J1231" s="360" t="str">
        <f>VLOOKUP(bargiri[[#This Row],[شماره پیش فاکتور]],invoice[],16,0)</f>
        <v>عادی</v>
      </c>
      <c r="K1231" s="252">
        <f>bargiri[[#This Row],[فی]]*bargiri[[#This Row],[میزان بارگیری شده]]</f>
        <v>1184405640</v>
      </c>
    </row>
    <row r="1232" spans="1:11" ht="18.600000000000001">
      <c r="A1232" s="360" t="s">
        <v>802</v>
      </c>
      <c r="B1232" s="360" t="s">
        <v>99</v>
      </c>
      <c r="C1232" s="355" t="s">
        <v>12</v>
      </c>
      <c r="D1232">
        <v>18655</v>
      </c>
      <c r="E1232" s="143">
        <v>86500</v>
      </c>
      <c r="F1232" s="117">
        <v>1404</v>
      </c>
      <c r="G1232" s="360" t="s">
        <v>301</v>
      </c>
      <c r="H1232" s="144">
        <f>bargiri[[#This Row],[میزان بارگیری شده]]*bargiri[[#This Row],[فی]]</f>
        <v>1613657500</v>
      </c>
      <c r="I1232" s="360">
        <f>IF(year=bargiri[[#This Row],[سال]],1,0)</f>
        <v>0</v>
      </c>
      <c r="J1232" s="360" t="str">
        <f>VLOOKUP(bargiri[[#This Row],[شماره پیش فاکتور]],invoice[],16,0)</f>
        <v>عادی</v>
      </c>
      <c r="K1232" s="252">
        <f>bargiri[[#This Row],[فی]]*bargiri[[#This Row],[میزان بارگیری شده]]</f>
        <v>1613657500</v>
      </c>
    </row>
    <row r="1233" spans="1:11" ht="18.600000000000001">
      <c r="A1233" s="360" t="s">
        <v>802</v>
      </c>
      <c r="B1233" s="360" t="s">
        <v>118</v>
      </c>
      <c r="C1233" s="355" t="s">
        <v>84</v>
      </c>
      <c r="D1233">
        <v>20895</v>
      </c>
      <c r="E1233" s="143">
        <v>57273</v>
      </c>
      <c r="F1233" s="117">
        <v>1404</v>
      </c>
      <c r="G1233" s="360" t="s">
        <v>301</v>
      </c>
      <c r="H1233" s="144">
        <f>bargiri[[#This Row],[میزان بارگیری شده]]*bargiri[[#This Row],[فی]]</f>
        <v>1196719335</v>
      </c>
      <c r="I1233" s="360">
        <f>IF(year=bargiri[[#This Row],[سال]],1,0)</f>
        <v>0</v>
      </c>
      <c r="J1233" s="360" t="str">
        <f>VLOOKUP(bargiri[[#This Row],[شماره پیش فاکتور]],invoice[],16,0)</f>
        <v>عادی</v>
      </c>
      <c r="K1233" s="252">
        <f>bargiri[[#This Row],[فی]]*bargiri[[#This Row],[میزان بارگیری شده]]</f>
        <v>1196719335</v>
      </c>
    </row>
    <row r="1234" spans="1:11" ht="18.600000000000001">
      <c r="A1234" s="360" t="s">
        <v>802</v>
      </c>
      <c r="B1234" s="360" t="s">
        <v>118</v>
      </c>
      <c r="C1234" s="355" t="s">
        <v>84</v>
      </c>
      <c r="D1234">
        <v>20680</v>
      </c>
      <c r="E1234" s="143">
        <v>57273</v>
      </c>
      <c r="F1234" s="117">
        <v>1404</v>
      </c>
      <c r="G1234" s="360" t="s">
        <v>301</v>
      </c>
      <c r="H1234" s="144">
        <f>bargiri[[#This Row],[میزان بارگیری شده]]*bargiri[[#This Row],[فی]]</f>
        <v>1184405640</v>
      </c>
      <c r="I1234" s="360">
        <f>IF(year=bargiri[[#This Row],[سال]],1,0)</f>
        <v>0</v>
      </c>
      <c r="J1234" s="360" t="str">
        <f>VLOOKUP(bargiri[[#This Row],[شماره پیش فاکتور]],invoice[],16,0)</f>
        <v>عادی</v>
      </c>
      <c r="K1234" s="252">
        <f>bargiri[[#This Row],[فی]]*bargiri[[#This Row],[میزان بارگیری شده]]</f>
        <v>1184405640</v>
      </c>
    </row>
    <row r="1235" spans="1:11" ht="18.600000000000001">
      <c r="A1235" s="360" t="s">
        <v>802</v>
      </c>
      <c r="B1235" s="360" t="s">
        <v>125</v>
      </c>
      <c r="C1235" s="355" t="s">
        <v>570</v>
      </c>
      <c r="D1235">
        <v>14590</v>
      </c>
      <c r="E1235" s="143">
        <v>142000</v>
      </c>
      <c r="F1235" s="117">
        <v>1404</v>
      </c>
      <c r="G1235" s="360" t="s">
        <v>301</v>
      </c>
      <c r="H1235" s="144">
        <f>bargiri[[#This Row],[میزان بارگیری شده]]*bargiri[[#This Row],[فی]]</f>
        <v>2071780000</v>
      </c>
      <c r="I1235" s="360">
        <f>IF(year=bargiri[[#This Row],[سال]],1,0)</f>
        <v>0</v>
      </c>
      <c r="J1235" s="360" t="str">
        <f>VLOOKUP(bargiri[[#This Row],[شماره پیش فاکتور]],invoice[],16,0)</f>
        <v>انجمن</v>
      </c>
      <c r="K1235" s="252">
        <f>bargiri[[#This Row],[فی]]*bargiri[[#This Row],[میزان بارگیری شده]]</f>
        <v>2071780000</v>
      </c>
    </row>
    <row r="1236" spans="1:11" ht="18.600000000000001">
      <c r="A1236" s="360" t="s">
        <v>802</v>
      </c>
      <c r="B1236" s="360" t="s">
        <v>123</v>
      </c>
      <c r="C1236" s="355" t="s">
        <v>569</v>
      </c>
      <c r="D1236">
        <v>7850</v>
      </c>
      <c r="E1236" s="143">
        <v>142000</v>
      </c>
      <c r="F1236" s="117">
        <v>1404</v>
      </c>
      <c r="G1236" s="360" t="s">
        <v>301</v>
      </c>
      <c r="H1236" s="144">
        <f>bargiri[[#This Row],[میزان بارگیری شده]]*bargiri[[#This Row],[فی]]</f>
        <v>1114700000</v>
      </c>
      <c r="I1236" s="360">
        <f>IF(year=bargiri[[#This Row],[سال]],1,0)</f>
        <v>0</v>
      </c>
      <c r="J1236" s="360" t="str">
        <f>VLOOKUP(bargiri[[#This Row],[شماره پیش فاکتور]],invoice[],16,0)</f>
        <v>انجمن</v>
      </c>
      <c r="K1236" s="252">
        <f>bargiri[[#This Row],[فی]]*bargiri[[#This Row],[میزان بارگیری شده]]</f>
        <v>1114700000</v>
      </c>
    </row>
    <row r="1237" spans="1:11" ht="18.600000000000001">
      <c r="A1237" s="360" t="s">
        <v>801</v>
      </c>
      <c r="B1237" s="360" t="s">
        <v>102</v>
      </c>
      <c r="C1237" s="355" t="s">
        <v>24</v>
      </c>
      <c r="D1237">
        <v>10105</v>
      </c>
      <c r="E1237" s="143">
        <v>70000</v>
      </c>
      <c r="F1237" s="117">
        <v>1404</v>
      </c>
      <c r="G1237" s="360" t="s">
        <v>301</v>
      </c>
      <c r="H1237" s="144">
        <f>bargiri[[#This Row],[میزان بارگیری شده]]*bargiri[[#This Row],[فی]]</f>
        <v>707350000</v>
      </c>
      <c r="I1237" s="360">
        <f>IF(year=bargiri[[#This Row],[سال]],1,0)</f>
        <v>0</v>
      </c>
      <c r="J1237" s="360" t="str">
        <f>VLOOKUP(bargiri[[#This Row],[شماره پیش فاکتور]],invoice[],16,0)</f>
        <v>عادی</v>
      </c>
      <c r="K1237" s="252">
        <f>bargiri[[#This Row],[فی]]*bargiri[[#This Row],[میزان بارگیری شده]]</f>
        <v>707350000</v>
      </c>
    </row>
    <row r="1238" spans="1:11" ht="18.600000000000001">
      <c r="A1238" s="360" t="s">
        <v>801</v>
      </c>
      <c r="B1238" s="360" t="s">
        <v>116</v>
      </c>
      <c r="C1238" s="355" t="s">
        <v>693</v>
      </c>
      <c r="D1238">
        <v>4610</v>
      </c>
      <c r="E1238" s="143">
        <v>167500</v>
      </c>
      <c r="F1238" s="117">
        <v>1404</v>
      </c>
      <c r="G1238" s="360" t="s">
        <v>301</v>
      </c>
      <c r="H1238" s="144">
        <f>bargiri[[#This Row],[میزان بارگیری شده]]*bargiri[[#This Row],[فی]]</f>
        <v>772175000</v>
      </c>
      <c r="I1238" s="360">
        <f>IF(year=bargiri[[#This Row],[سال]],1,0)</f>
        <v>0</v>
      </c>
      <c r="J1238" s="360" t="str">
        <f>VLOOKUP(bargiri[[#This Row],[شماره پیش فاکتور]],invoice[],16,0)</f>
        <v>بورس</v>
      </c>
      <c r="K1238" s="252">
        <f>bargiri[[#This Row],[فی]]*bargiri[[#This Row],[میزان بارگیری شده]]</f>
        <v>772175000</v>
      </c>
    </row>
    <row r="1239" spans="1:11" ht="18.600000000000001">
      <c r="A1239" s="360" t="s">
        <v>801</v>
      </c>
      <c r="B1239" s="360" t="s">
        <v>116</v>
      </c>
      <c r="C1239" s="355" t="s">
        <v>778</v>
      </c>
      <c r="D1239">
        <v>7280</v>
      </c>
      <c r="E1239" s="143">
        <v>210000</v>
      </c>
      <c r="F1239" s="117">
        <v>1404</v>
      </c>
      <c r="G1239" s="360" t="s">
        <v>301</v>
      </c>
      <c r="H1239" s="144">
        <f>bargiri[[#This Row],[میزان بارگیری شده]]*bargiri[[#This Row],[فی]]</f>
        <v>1528800000</v>
      </c>
      <c r="I1239" s="360">
        <f>IF(year=bargiri[[#This Row],[سال]],1,0)</f>
        <v>0</v>
      </c>
      <c r="J1239" s="360" t="str">
        <f>VLOOKUP(bargiri[[#This Row],[شماره پیش فاکتور]],invoice[],16,0)</f>
        <v>بورس</v>
      </c>
      <c r="K1239" s="252">
        <f>bargiri[[#This Row],[فی]]*bargiri[[#This Row],[میزان بارگیری شده]]</f>
        <v>1528800000</v>
      </c>
    </row>
    <row r="1240" spans="1:11" ht="18.600000000000001">
      <c r="A1240" s="360" t="s">
        <v>801</v>
      </c>
      <c r="B1240" s="360" t="s">
        <v>105</v>
      </c>
      <c r="C1240" s="355" t="s">
        <v>553</v>
      </c>
      <c r="D1240">
        <v>18535</v>
      </c>
      <c r="E1240" s="143">
        <v>142000</v>
      </c>
      <c r="F1240" s="117">
        <v>1404</v>
      </c>
      <c r="G1240" s="360" t="s">
        <v>301</v>
      </c>
      <c r="H1240" s="144">
        <f>bargiri[[#This Row],[میزان بارگیری شده]]*bargiri[[#This Row],[فی]]</f>
        <v>2631970000</v>
      </c>
      <c r="I1240" s="360">
        <f>IF(year=bargiri[[#This Row],[سال]],1,0)</f>
        <v>0</v>
      </c>
      <c r="J1240" s="360" t="str">
        <f>VLOOKUP(bargiri[[#This Row],[شماره پیش فاکتور]],invoice[],16,0)</f>
        <v>انجمن</v>
      </c>
      <c r="K1240" s="252">
        <f>bargiri[[#This Row],[فی]]*bargiri[[#This Row],[میزان بارگیری شده]]</f>
        <v>2631970000</v>
      </c>
    </row>
    <row r="1241" spans="1:11" ht="18.600000000000001">
      <c r="A1241" s="360" t="s">
        <v>801</v>
      </c>
      <c r="B1241" s="360" t="s">
        <v>116</v>
      </c>
      <c r="C1241" s="355" t="s">
        <v>608</v>
      </c>
      <c r="D1241">
        <v>7930</v>
      </c>
      <c r="E1241" s="143">
        <v>95000</v>
      </c>
      <c r="F1241" s="117">
        <v>1404</v>
      </c>
      <c r="G1241" s="360" t="s">
        <v>301</v>
      </c>
      <c r="H1241" s="144">
        <f>bargiri[[#This Row],[میزان بارگیری شده]]*bargiri[[#This Row],[فی]]</f>
        <v>753350000</v>
      </c>
      <c r="I1241" s="360">
        <f>IF(year=bargiri[[#This Row],[سال]],1,0)</f>
        <v>0</v>
      </c>
      <c r="J1241" s="360" t="str">
        <f>VLOOKUP(bargiri[[#This Row],[شماره پیش فاکتور]],invoice[],16,0)</f>
        <v>عادی</v>
      </c>
      <c r="K1241" s="252">
        <f>bargiri[[#This Row],[فی]]*bargiri[[#This Row],[میزان بارگیری شده]]</f>
        <v>753350000</v>
      </c>
    </row>
    <row r="1242" spans="1:11" ht="18.600000000000001">
      <c r="A1242" s="360" t="s">
        <v>801</v>
      </c>
      <c r="B1242" s="360" t="s">
        <v>100</v>
      </c>
      <c r="C1242" s="355" t="s">
        <v>555</v>
      </c>
      <c r="D1242">
        <v>6660</v>
      </c>
      <c r="E1242" s="143">
        <v>142000</v>
      </c>
      <c r="F1242" s="117">
        <v>1404</v>
      </c>
      <c r="G1242" s="360" t="s">
        <v>301</v>
      </c>
      <c r="H1242" s="144">
        <f>bargiri[[#This Row],[میزان بارگیری شده]]*bargiri[[#This Row],[فی]]</f>
        <v>945720000</v>
      </c>
      <c r="I1242" s="360">
        <f>IF(year=bargiri[[#This Row],[سال]],1,0)</f>
        <v>0</v>
      </c>
      <c r="J1242" s="360" t="str">
        <f>VLOOKUP(bargiri[[#This Row],[شماره پیش فاکتور]],invoice[],16,0)</f>
        <v>انجمن</v>
      </c>
      <c r="K1242" s="252">
        <f>bargiri[[#This Row],[فی]]*bargiri[[#This Row],[میزان بارگیری شده]]</f>
        <v>945720000</v>
      </c>
    </row>
    <row r="1243" spans="1:11" ht="18.600000000000001">
      <c r="A1243" s="360" t="s">
        <v>799</v>
      </c>
      <c r="B1243" s="360" t="s">
        <v>99</v>
      </c>
      <c r="C1243" s="355" t="s">
        <v>12</v>
      </c>
      <c r="D1243">
        <v>18505</v>
      </c>
      <c r="E1243" s="143">
        <v>86500</v>
      </c>
      <c r="F1243" s="117">
        <v>1404</v>
      </c>
      <c r="G1243" s="360" t="s">
        <v>301</v>
      </c>
      <c r="H1243" s="144">
        <f>bargiri[[#This Row],[میزان بارگیری شده]]*bargiri[[#This Row],[فی]]</f>
        <v>1600682500</v>
      </c>
      <c r="I1243" s="360">
        <f>IF(year=bargiri[[#This Row],[سال]],1,0)</f>
        <v>0</v>
      </c>
      <c r="J1243" s="360" t="str">
        <f>VLOOKUP(bargiri[[#This Row],[شماره پیش فاکتور]],invoice[],16,0)</f>
        <v>عادی</v>
      </c>
      <c r="K1243" s="252">
        <f>bargiri[[#This Row],[فی]]*bargiri[[#This Row],[میزان بارگیری شده]]</f>
        <v>1600682500</v>
      </c>
    </row>
    <row r="1244" spans="1:11" ht="18.600000000000001">
      <c r="A1244" s="360" t="s">
        <v>799</v>
      </c>
      <c r="B1244" s="360" t="s">
        <v>117</v>
      </c>
      <c r="C1244" s="355" t="s">
        <v>784</v>
      </c>
      <c r="D1244">
        <v>20105</v>
      </c>
      <c r="E1244" s="143">
        <v>167500</v>
      </c>
      <c r="F1244" s="117">
        <v>1404</v>
      </c>
      <c r="G1244" s="360" t="s">
        <v>301</v>
      </c>
      <c r="H1244" s="144">
        <f>bargiri[[#This Row],[میزان بارگیری شده]]*bargiri[[#This Row],[فی]]</f>
        <v>3367587500</v>
      </c>
      <c r="I1244" s="360">
        <f>IF(year=bargiri[[#This Row],[سال]],1,0)</f>
        <v>0</v>
      </c>
      <c r="J1244" s="360" t="str">
        <f>VLOOKUP(bargiri[[#This Row],[شماره پیش فاکتور]],invoice[],16,0)</f>
        <v>بورس</v>
      </c>
      <c r="K1244" s="252">
        <f>bargiri[[#This Row],[فی]]*bargiri[[#This Row],[میزان بارگیری شده]]</f>
        <v>3367587500</v>
      </c>
    </row>
    <row r="1245" spans="1:11" ht="18.600000000000001">
      <c r="A1245" s="360" t="s">
        <v>799</v>
      </c>
      <c r="B1245" s="360" t="s">
        <v>118</v>
      </c>
      <c r="C1245" s="355" t="s">
        <v>84</v>
      </c>
      <c r="D1245">
        <v>21125</v>
      </c>
      <c r="E1245" s="143">
        <v>57273</v>
      </c>
      <c r="F1245" s="117">
        <v>1404</v>
      </c>
      <c r="G1245" s="360" t="s">
        <v>301</v>
      </c>
      <c r="H1245" s="144">
        <f>bargiri[[#This Row],[میزان بارگیری شده]]*bargiri[[#This Row],[فی]]</f>
        <v>1209892125</v>
      </c>
      <c r="I1245" s="360">
        <f>IF(year=bargiri[[#This Row],[سال]],1,0)</f>
        <v>0</v>
      </c>
      <c r="J1245" s="360" t="str">
        <f>VLOOKUP(bargiri[[#This Row],[شماره پیش فاکتور]],invoice[],16,0)</f>
        <v>عادی</v>
      </c>
      <c r="K1245" s="252">
        <f>bargiri[[#This Row],[فی]]*bargiri[[#This Row],[میزان بارگیری شده]]</f>
        <v>1209892125</v>
      </c>
    </row>
    <row r="1246" spans="1:11" ht="18.600000000000001">
      <c r="A1246" s="360" t="s">
        <v>800</v>
      </c>
      <c r="B1246" s="360" t="s">
        <v>105</v>
      </c>
      <c r="C1246" s="355" t="s">
        <v>553</v>
      </c>
      <c r="D1246">
        <v>20025</v>
      </c>
      <c r="E1246" s="143">
        <v>142000</v>
      </c>
      <c r="F1246" s="117">
        <v>1404</v>
      </c>
      <c r="G1246" s="360" t="s">
        <v>301</v>
      </c>
      <c r="H1246" s="144">
        <f>bargiri[[#This Row],[میزان بارگیری شده]]*bargiri[[#This Row],[فی]]</f>
        <v>2843550000</v>
      </c>
      <c r="I1246" s="360">
        <f>IF(year=bargiri[[#This Row],[سال]],1,0)</f>
        <v>0</v>
      </c>
      <c r="J1246" s="360" t="str">
        <f>VLOOKUP(bargiri[[#This Row],[شماره پیش فاکتور]],invoice[],16,0)</f>
        <v>انجمن</v>
      </c>
      <c r="K1246" s="252">
        <f>bargiri[[#This Row],[فی]]*bargiri[[#This Row],[میزان بارگیری شده]]</f>
        <v>2843550000</v>
      </c>
    </row>
    <row r="1247" spans="1:11" ht="18.600000000000001">
      <c r="A1247" s="360" t="s">
        <v>800</v>
      </c>
      <c r="B1247" s="360" t="s">
        <v>101</v>
      </c>
      <c r="C1247" s="355" t="s">
        <v>19</v>
      </c>
      <c r="D1247">
        <v>22065</v>
      </c>
      <c r="E1247" s="143">
        <v>75000</v>
      </c>
      <c r="F1247" s="117">
        <v>1404</v>
      </c>
      <c r="G1247" s="360" t="s">
        <v>301</v>
      </c>
      <c r="H1247" s="144">
        <f>bargiri[[#This Row],[میزان بارگیری شده]]*bargiri[[#This Row],[فی]]</f>
        <v>1654875000</v>
      </c>
      <c r="I1247" s="360">
        <f>IF(year=bargiri[[#This Row],[سال]],1,0)</f>
        <v>0</v>
      </c>
      <c r="J1247" s="360" t="str">
        <f>VLOOKUP(bargiri[[#This Row],[شماره پیش فاکتور]],invoice[],16,0)</f>
        <v>عادی</v>
      </c>
      <c r="K1247" s="252">
        <f>bargiri[[#This Row],[فی]]*bargiri[[#This Row],[میزان بارگیری شده]]</f>
        <v>1654875000</v>
      </c>
    </row>
    <row r="1248" spans="1:11" ht="18.600000000000001">
      <c r="A1248" s="360" t="s">
        <v>800</v>
      </c>
      <c r="B1248" s="360" t="s">
        <v>118</v>
      </c>
      <c r="C1248" s="355" t="s">
        <v>84</v>
      </c>
      <c r="D1248">
        <v>21030</v>
      </c>
      <c r="E1248" s="143">
        <v>57273</v>
      </c>
      <c r="F1248" s="117">
        <v>1404</v>
      </c>
      <c r="G1248" s="360" t="s">
        <v>301</v>
      </c>
      <c r="H1248" s="144">
        <f>bargiri[[#This Row],[میزان بارگیری شده]]*bargiri[[#This Row],[فی]]</f>
        <v>1204451190</v>
      </c>
      <c r="I1248" s="360">
        <f>IF(year=bargiri[[#This Row],[سال]],1,0)</f>
        <v>0</v>
      </c>
      <c r="J1248" s="360" t="str">
        <f>VLOOKUP(bargiri[[#This Row],[شماره پیش فاکتور]],invoice[],16,0)</f>
        <v>عادی</v>
      </c>
      <c r="K1248" s="252">
        <f>bargiri[[#This Row],[فی]]*bargiri[[#This Row],[میزان بارگیری شده]]</f>
        <v>1204451190</v>
      </c>
    </row>
    <row r="1249" spans="1:11" ht="18.600000000000001">
      <c r="A1249" s="360" t="s">
        <v>800</v>
      </c>
      <c r="B1249" s="360" t="s">
        <v>118</v>
      </c>
      <c r="C1249" s="355" t="s">
        <v>84</v>
      </c>
      <c r="D1249">
        <v>21120</v>
      </c>
      <c r="E1249" s="143">
        <v>57273</v>
      </c>
      <c r="F1249" s="117">
        <v>1404</v>
      </c>
      <c r="G1249" s="360" t="s">
        <v>301</v>
      </c>
      <c r="H1249" s="144">
        <f>bargiri[[#This Row],[میزان بارگیری شده]]*bargiri[[#This Row],[فی]]</f>
        <v>1209605760</v>
      </c>
      <c r="I1249" s="360">
        <f>IF(year=bargiri[[#This Row],[سال]],1,0)</f>
        <v>0</v>
      </c>
      <c r="J1249" s="360" t="str">
        <f>VLOOKUP(bargiri[[#This Row],[شماره پیش فاکتور]],invoice[],16,0)</f>
        <v>عادی</v>
      </c>
      <c r="K1249" s="252">
        <f>bargiri[[#This Row],[فی]]*bargiri[[#This Row],[میزان بارگیری شده]]</f>
        <v>1209605760</v>
      </c>
    </row>
    <row r="1250" spans="1:11" ht="18.600000000000001">
      <c r="A1250" s="360" t="s">
        <v>794</v>
      </c>
      <c r="B1250" s="360" t="s">
        <v>118</v>
      </c>
      <c r="C1250" s="355" t="s">
        <v>84</v>
      </c>
      <c r="D1250">
        <v>20955</v>
      </c>
      <c r="E1250" s="143">
        <v>57273</v>
      </c>
      <c r="F1250" s="117">
        <v>1404</v>
      </c>
      <c r="G1250" s="360" t="s">
        <v>301</v>
      </c>
      <c r="H1250" s="144">
        <f>bargiri[[#This Row],[میزان بارگیری شده]]*bargiri[[#This Row],[فی]]</f>
        <v>1200155715</v>
      </c>
      <c r="I1250" s="360">
        <f>IF(year=bargiri[[#This Row],[سال]],1,0)</f>
        <v>0</v>
      </c>
      <c r="J1250" s="360" t="str">
        <f>VLOOKUP(bargiri[[#This Row],[شماره پیش فاکتور]],invoice[],16,0)</f>
        <v>عادی</v>
      </c>
      <c r="K1250" s="252">
        <f>bargiri[[#This Row],[فی]]*bargiri[[#This Row],[میزان بارگیری شده]]</f>
        <v>1200155715</v>
      </c>
    </row>
    <row r="1251" spans="1:11" ht="18.600000000000001">
      <c r="A1251" s="360" t="s">
        <v>794</v>
      </c>
      <c r="B1251" s="360" t="s">
        <v>116</v>
      </c>
      <c r="C1251" s="355" t="s">
        <v>718</v>
      </c>
      <c r="D1251">
        <v>4635</v>
      </c>
      <c r="E1251" s="143">
        <v>167500</v>
      </c>
      <c r="F1251" s="117">
        <v>1404</v>
      </c>
      <c r="G1251" s="360" t="s">
        <v>301</v>
      </c>
      <c r="H1251" s="144">
        <f>bargiri[[#This Row],[میزان بارگیری شده]]*bargiri[[#This Row],[فی]]</f>
        <v>776362500</v>
      </c>
      <c r="I1251" s="360">
        <f>IF(year=bargiri[[#This Row],[سال]],1,0)</f>
        <v>0</v>
      </c>
      <c r="J1251" s="360" t="str">
        <f>VLOOKUP(bargiri[[#This Row],[شماره پیش فاکتور]],invoice[],16,0)</f>
        <v>بورس</v>
      </c>
      <c r="K1251" s="252">
        <f>bargiri[[#This Row],[فی]]*bargiri[[#This Row],[میزان بارگیری شده]]</f>
        <v>776362500</v>
      </c>
    </row>
    <row r="1252" spans="1:11" ht="18.600000000000001">
      <c r="A1252" s="360" t="s">
        <v>794</v>
      </c>
      <c r="B1252" s="360" t="s">
        <v>116</v>
      </c>
      <c r="C1252" s="355" t="s">
        <v>693</v>
      </c>
      <c r="D1252">
        <v>15390</v>
      </c>
      <c r="E1252" s="143">
        <v>167500</v>
      </c>
      <c r="F1252" s="117">
        <v>1404</v>
      </c>
      <c r="G1252" s="360" t="s">
        <v>301</v>
      </c>
      <c r="H1252" s="144">
        <f>bargiri[[#This Row],[میزان بارگیری شده]]*bargiri[[#This Row],[فی]]</f>
        <v>2577825000</v>
      </c>
      <c r="I1252" s="360">
        <f>IF(year=bargiri[[#This Row],[سال]],1,0)</f>
        <v>0</v>
      </c>
      <c r="J1252" s="360" t="str">
        <f>VLOOKUP(bargiri[[#This Row],[شماره پیش فاکتور]],invoice[],16,0)</f>
        <v>بورس</v>
      </c>
      <c r="K1252" s="252">
        <f>bargiri[[#This Row],[فی]]*bargiri[[#This Row],[میزان بارگیری شده]]</f>
        <v>2577825000</v>
      </c>
    </row>
    <row r="1253" spans="1:11" ht="18.600000000000001">
      <c r="A1253" s="360" t="s">
        <v>794</v>
      </c>
      <c r="B1253" s="360" t="s">
        <v>104</v>
      </c>
      <c r="C1253" s="355" t="s">
        <v>562</v>
      </c>
      <c r="D1253">
        <v>19035</v>
      </c>
      <c r="E1253" s="143">
        <v>142000</v>
      </c>
      <c r="F1253" s="117">
        <v>1404</v>
      </c>
      <c r="G1253" s="360" t="s">
        <v>301</v>
      </c>
      <c r="H1253" s="144">
        <f>bargiri[[#This Row],[میزان بارگیری شده]]*bargiri[[#This Row],[فی]]</f>
        <v>2702970000</v>
      </c>
      <c r="I1253" s="360">
        <f>IF(year=bargiri[[#This Row],[سال]],1,0)</f>
        <v>0</v>
      </c>
      <c r="J1253" s="360" t="str">
        <f>VLOOKUP(bargiri[[#This Row],[شماره پیش فاکتور]],invoice[],16,0)</f>
        <v>انجمن</v>
      </c>
      <c r="K1253" s="252">
        <f>bargiri[[#This Row],[فی]]*bargiri[[#This Row],[میزان بارگیری شده]]</f>
        <v>2702970000</v>
      </c>
    </row>
    <row r="1254" spans="1:11" ht="18.600000000000001">
      <c r="A1254" s="360" t="s">
        <v>795</v>
      </c>
      <c r="B1254" s="360" t="s">
        <v>116</v>
      </c>
      <c r="C1254" s="355" t="s">
        <v>608</v>
      </c>
      <c r="D1254">
        <v>20525</v>
      </c>
      <c r="E1254" s="143">
        <v>95000</v>
      </c>
      <c r="F1254" s="117">
        <v>1404</v>
      </c>
      <c r="G1254" s="360" t="s">
        <v>301</v>
      </c>
      <c r="H1254" s="144">
        <f>bargiri[[#This Row],[میزان بارگیری شده]]*bargiri[[#This Row],[فی]]</f>
        <v>1949875000</v>
      </c>
      <c r="I1254" s="360">
        <f>IF(year=bargiri[[#This Row],[سال]],1,0)</f>
        <v>0</v>
      </c>
      <c r="J1254" s="360" t="str">
        <f>VLOOKUP(bargiri[[#This Row],[شماره پیش فاکتور]],invoice[],16,0)</f>
        <v>عادی</v>
      </c>
      <c r="K1254" s="252">
        <f>bargiri[[#This Row],[فی]]*bargiri[[#This Row],[میزان بارگیری شده]]</f>
        <v>1949875000</v>
      </c>
    </row>
    <row r="1255" spans="1:11" ht="18.600000000000001">
      <c r="A1255" s="360" t="s">
        <v>795</v>
      </c>
      <c r="B1255" s="360" t="s">
        <v>116</v>
      </c>
      <c r="C1255" s="355" t="s">
        <v>565</v>
      </c>
      <c r="D1255">
        <v>20200</v>
      </c>
      <c r="E1255" s="143">
        <v>142000</v>
      </c>
      <c r="F1255" s="117">
        <v>1404</v>
      </c>
      <c r="G1255" s="360" t="s">
        <v>301</v>
      </c>
      <c r="H1255" s="144">
        <f>bargiri[[#This Row],[میزان بارگیری شده]]*bargiri[[#This Row],[فی]]</f>
        <v>2868400000</v>
      </c>
      <c r="I1255" s="360">
        <f>IF(year=bargiri[[#This Row],[سال]],1,0)</f>
        <v>0</v>
      </c>
      <c r="J1255" s="360" t="str">
        <f>VLOOKUP(bargiri[[#This Row],[شماره پیش فاکتور]],invoice[],16,0)</f>
        <v>انجمن</v>
      </c>
      <c r="K1255" s="252">
        <f>bargiri[[#This Row],[فی]]*bargiri[[#This Row],[میزان بارگیری شده]]</f>
        <v>2868400000</v>
      </c>
    </row>
    <row r="1256" spans="1:11" ht="18.600000000000001">
      <c r="A1256" s="360" t="s">
        <v>795</v>
      </c>
      <c r="B1256" s="360" t="s">
        <v>102</v>
      </c>
      <c r="C1256" s="355" t="s">
        <v>24</v>
      </c>
      <c r="D1256">
        <v>11325</v>
      </c>
      <c r="E1256" s="143">
        <v>70000</v>
      </c>
      <c r="F1256" s="117">
        <v>1404</v>
      </c>
      <c r="G1256" s="360" t="s">
        <v>301</v>
      </c>
      <c r="H1256" s="144">
        <f>bargiri[[#This Row],[میزان بارگیری شده]]*bargiri[[#This Row],[فی]]</f>
        <v>792750000</v>
      </c>
      <c r="I1256" s="360">
        <f>IF(year=bargiri[[#This Row],[سال]],1,0)</f>
        <v>0</v>
      </c>
      <c r="J1256" s="360" t="str">
        <f>VLOOKUP(bargiri[[#This Row],[شماره پیش فاکتور]],invoice[],16,0)</f>
        <v>عادی</v>
      </c>
      <c r="K1256" s="252">
        <f>bargiri[[#This Row],[فی]]*bargiri[[#This Row],[میزان بارگیری شده]]</f>
        <v>792750000</v>
      </c>
    </row>
    <row r="1257" spans="1:11" ht="18.600000000000001">
      <c r="A1257" s="360" t="s">
        <v>786</v>
      </c>
      <c r="B1257" s="360" t="s">
        <v>116</v>
      </c>
      <c r="C1257" s="355" t="s">
        <v>565</v>
      </c>
      <c r="D1257">
        <v>19975</v>
      </c>
      <c r="E1257" s="143">
        <v>142000</v>
      </c>
      <c r="F1257" s="117">
        <v>1404</v>
      </c>
      <c r="G1257" s="360" t="s">
        <v>301</v>
      </c>
      <c r="H1257" s="144">
        <f>bargiri[[#This Row],[میزان بارگیری شده]]*bargiri[[#This Row],[فی]]</f>
        <v>2836450000</v>
      </c>
      <c r="I1257" s="360">
        <f>IF(year=bargiri[[#This Row],[سال]],1,0)</f>
        <v>0</v>
      </c>
      <c r="J1257" s="360" t="str">
        <f>VLOOKUP(bargiri[[#This Row],[شماره پیش فاکتور]],invoice[],16,0)</f>
        <v>انجمن</v>
      </c>
      <c r="K1257" s="252">
        <f>bargiri[[#This Row],[فی]]*bargiri[[#This Row],[میزان بارگیری شده]]</f>
        <v>2836450000</v>
      </c>
    </row>
    <row r="1258" spans="1:11" ht="18.600000000000001">
      <c r="A1258" s="360" t="s">
        <v>786</v>
      </c>
      <c r="B1258" s="360" t="s">
        <v>118</v>
      </c>
      <c r="C1258" s="355" t="s">
        <v>84</v>
      </c>
      <c r="D1258">
        <v>20885</v>
      </c>
      <c r="E1258" s="143">
        <v>57273</v>
      </c>
      <c r="F1258" s="117">
        <v>1404</v>
      </c>
      <c r="G1258" s="360" t="s">
        <v>301</v>
      </c>
      <c r="H1258" s="144">
        <f>bargiri[[#This Row],[میزان بارگیری شده]]*bargiri[[#This Row],[فی]]</f>
        <v>1196146605</v>
      </c>
      <c r="I1258" s="360">
        <f>IF(year=bargiri[[#This Row],[سال]],1,0)</f>
        <v>0</v>
      </c>
      <c r="J1258" s="360" t="str">
        <f>VLOOKUP(bargiri[[#This Row],[شماره پیش فاکتور]],invoice[],16,0)</f>
        <v>عادی</v>
      </c>
      <c r="K1258" s="252">
        <f>bargiri[[#This Row],[فی]]*bargiri[[#This Row],[میزان بارگیری شده]]</f>
        <v>1196146605</v>
      </c>
    </row>
    <row r="1259" spans="1:11" ht="18.600000000000001">
      <c r="A1259" s="360" t="s">
        <v>786</v>
      </c>
      <c r="B1259" s="360" t="s">
        <v>118</v>
      </c>
      <c r="C1259" s="355" t="s">
        <v>84</v>
      </c>
      <c r="D1259">
        <v>20725</v>
      </c>
      <c r="E1259" s="143">
        <v>57273</v>
      </c>
      <c r="F1259" s="117">
        <v>1404</v>
      </c>
      <c r="G1259" s="360" t="s">
        <v>301</v>
      </c>
      <c r="H1259" s="144">
        <f>bargiri[[#This Row],[میزان بارگیری شده]]*bargiri[[#This Row],[فی]]</f>
        <v>1186982925</v>
      </c>
      <c r="I1259" s="360">
        <f>IF(year=bargiri[[#This Row],[سال]],1,0)</f>
        <v>0</v>
      </c>
      <c r="J1259" s="360" t="str">
        <f>VLOOKUP(bargiri[[#This Row],[شماره پیش فاکتور]],invoice[],16,0)</f>
        <v>عادی</v>
      </c>
      <c r="K1259" s="252">
        <f>bargiri[[#This Row],[فی]]*bargiri[[#This Row],[میزان بارگیری شده]]</f>
        <v>1186982925</v>
      </c>
    </row>
    <row r="1260" spans="1:11" ht="18.600000000000001">
      <c r="A1260" s="360" t="s">
        <v>786</v>
      </c>
      <c r="B1260" s="360" t="s">
        <v>99</v>
      </c>
      <c r="C1260" s="355" t="s">
        <v>12</v>
      </c>
      <c r="D1260">
        <v>18965</v>
      </c>
      <c r="E1260" s="143">
        <v>86500</v>
      </c>
      <c r="F1260" s="117">
        <v>1404</v>
      </c>
      <c r="G1260" s="360" t="s">
        <v>301</v>
      </c>
      <c r="H1260" s="144">
        <f>bargiri[[#This Row],[میزان بارگیری شده]]*bargiri[[#This Row],[فی]]</f>
        <v>1640472500</v>
      </c>
      <c r="I1260" s="360">
        <f>IF(year=bargiri[[#This Row],[سال]],1,0)</f>
        <v>0</v>
      </c>
      <c r="J1260" s="360" t="str">
        <f>VLOOKUP(bargiri[[#This Row],[شماره پیش فاکتور]],invoice[],16,0)</f>
        <v>عادی</v>
      </c>
      <c r="K1260" s="252">
        <f>bargiri[[#This Row],[فی]]*bargiri[[#This Row],[میزان بارگیری شده]]</f>
        <v>1640472500</v>
      </c>
    </row>
    <row r="1261" spans="1:11" ht="18.600000000000001">
      <c r="A1261" s="360" t="s">
        <v>787</v>
      </c>
      <c r="B1261" s="360" t="s">
        <v>109</v>
      </c>
      <c r="C1261" s="355" t="s">
        <v>563</v>
      </c>
      <c r="D1261">
        <v>7350</v>
      </c>
      <c r="E1261" s="143">
        <v>142000</v>
      </c>
      <c r="F1261" s="117">
        <v>1404</v>
      </c>
      <c r="G1261" s="360" t="s">
        <v>301</v>
      </c>
      <c r="H1261" s="144">
        <f>bargiri[[#This Row],[میزان بارگیری شده]]*bargiri[[#This Row],[فی]]</f>
        <v>1043700000</v>
      </c>
      <c r="I1261" s="360">
        <f>IF(year=bargiri[[#This Row],[سال]],1,0)</f>
        <v>0</v>
      </c>
      <c r="J1261" s="360" t="str">
        <f>VLOOKUP(bargiri[[#This Row],[شماره پیش فاکتور]],invoice[],16,0)</f>
        <v>انجمن</v>
      </c>
      <c r="K1261" s="252">
        <f>bargiri[[#This Row],[فی]]*bargiri[[#This Row],[میزان بارگیری شده]]</f>
        <v>1043700000</v>
      </c>
    </row>
    <row r="1262" spans="1:11" ht="18.600000000000001">
      <c r="A1262" s="360" t="s">
        <v>787</v>
      </c>
      <c r="B1262" s="360" t="s">
        <v>118</v>
      </c>
      <c r="C1262" s="355" t="s">
        <v>84</v>
      </c>
      <c r="D1262">
        <v>20530</v>
      </c>
      <c r="E1262" s="143">
        <v>57273</v>
      </c>
      <c r="F1262" s="117">
        <v>1404</v>
      </c>
      <c r="G1262" s="360" t="s">
        <v>301</v>
      </c>
      <c r="H1262" s="144">
        <f>bargiri[[#This Row],[میزان بارگیری شده]]*bargiri[[#This Row],[فی]]</f>
        <v>1175814690</v>
      </c>
      <c r="I1262" s="360">
        <f>IF(year=bargiri[[#This Row],[سال]],1,0)</f>
        <v>0</v>
      </c>
      <c r="J1262" s="360" t="str">
        <f>VLOOKUP(bargiri[[#This Row],[شماره پیش فاکتور]],invoice[],16,0)</f>
        <v>عادی</v>
      </c>
      <c r="K1262" s="252">
        <f>bargiri[[#This Row],[فی]]*bargiri[[#This Row],[میزان بارگیری شده]]</f>
        <v>1175814690</v>
      </c>
    </row>
    <row r="1263" spans="1:11" ht="18.600000000000001">
      <c r="A1263" s="360" t="s">
        <v>787</v>
      </c>
      <c r="B1263" s="360" t="s">
        <v>118</v>
      </c>
      <c r="C1263" s="355" t="s">
        <v>84</v>
      </c>
      <c r="D1263">
        <v>20435</v>
      </c>
      <c r="E1263" s="143">
        <v>57273</v>
      </c>
      <c r="F1263" s="117">
        <v>1404</v>
      </c>
      <c r="G1263" s="360" t="s">
        <v>301</v>
      </c>
      <c r="H1263" s="144">
        <f>bargiri[[#This Row],[میزان بارگیری شده]]*bargiri[[#This Row],[فی]]</f>
        <v>1170373755</v>
      </c>
      <c r="I1263" s="360">
        <f>IF(year=bargiri[[#This Row],[سال]],1,0)</f>
        <v>0</v>
      </c>
      <c r="J1263" s="360" t="str">
        <f>VLOOKUP(bargiri[[#This Row],[شماره پیش فاکتور]],invoice[],16,0)</f>
        <v>عادی</v>
      </c>
      <c r="K1263" s="252">
        <f>bargiri[[#This Row],[فی]]*bargiri[[#This Row],[میزان بارگیری شده]]</f>
        <v>1170373755</v>
      </c>
    </row>
    <row r="1264" spans="1:11" ht="18.600000000000001">
      <c r="A1264" s="360" t="s">
        <v>787</v>
      </c>
      <c r="B1264" s="360" t="s">
        <v>118</v>
      </c>
      <c r="C1264" s="355" t="s">
        <v>84</v>
      </c>
      <c r="D1264">
        <v>20485</v>
      </c>
      <c r="E1264" s="143">
        <v>57273</v>
      </c>
      <c r="F1264" s="117">
        <v>1404</v>
      </c>
      <c r="G1264" s="360" t="s">
        <v>301</v>
      </c>
      <c r="H1264" s="144">
        <f>bargiri[[#This Row],[میزان بارگیری شده]]*bargiri[[#This Row],[فی]]</f>
        <v>1173237405</v>
      </c>
      <c r="I1264" s="360">
        <f>IF(year=bargiri[[#This Row],[سال]],1,0)</f>
        <v>0</v>
      </c>
      <c r="J1264" s="360" t="str">
        <f>VLOOKUP(bargiri[[#This Row],[شماره پیش فاکتور]],invoice[],16,0)</f>
        <v>عادی</v>
      </c>
      <c r="K1264" s="252">
        <f>bargiri[[#This Row],[فی]]*bargiri[[#This Row],[میزان بارگیری شده]]</f>
        <v>1173237405</v>
      </c>
    </row>
    <row r="1265" spans="1:11" ht="18.600000000000001">
      <c r="A1265" s="360" t="s">
        <v>787</v>
      </c>
      <c r="B1265" s="360" t="s">
        <v>100</v>
      </c>
      <c r="C1265" s="355" t="s">
        <v>555</v>
      </c>
      <c r="D1265">
        <v>6785</v>
      </c>
      <c r="E1265" s="143">
        <v>142000</v>
      </c>
      <c r="F1265" s="117">
        <v>1404</v>
      </c>
      <c r="G1265" s="360" t="s">
        <v>301</v>
      </c>
      <c r="H1265" s="144">
        <f>bargiri[[#This Row],[میزان بارگیری شده]]*bargiri[[#This Row],[فی]]</f>
        <v>963470000</v>
      </c>
      <c r="I1265" s="360">
        <f>IF(year=bargiri[[#This Row],[سال]],1,0)</f>
        <v>0</v>
      </c>
      <c r="J1265" s="360" t="str">
        <f>VLOOKUP(bargiri[[#This Row],[شماره پیش فاکتور]],invoice[],16,0)</f>
        <v>انجمن</v>
      </c>
      <c r="K1265" s="252">
        <f>bargiri[[#This Row],[فی]]*bargiri[[#This Row],[میزان بارگیری شده]]</f>
        <v>963470000</v>
      </c>
    </row>
    <row r="1266" spans="1:11" ht="18.600000000000001">
      <c r="A1266" s="360" t="s">
        <v>787</v>
      </c>
      <c r="B1266" s="360" t="s">
        <v>109</v>
      </c>
      <c r="C1266" s="355" t="s">
        <v>563</v>
      </c>
      <c r="D1266">
        <v>7070</v>
      </c>
      <c r="E1266" s="143">
        <v>142000</v>
      </c>
      <c r="F1266" s="117">
        <v>1404</v>
      </c>
      <c r="G1266" s="360" t="s">
        <v>301</v>
      </c>
      <c r="H1266" s="144">
        <f>bargiri[[#This Row],[میزان بارگیری شده]]*bargiri[[#This Row],[فی]]</f>
        <v>1003940000</v>
      </c>
      <c r="I1266" s="360">
        <f>IF(year=bargiri[[#This Row],[سال]],1,0)</f>
        <v>0</v>
      </c>
      <c r="J1266" s="360" t="str">
        <f>VLOOKUP(bargiri[[#This Row],[شماره پیش فاکتور]],invoice[],16,0)</f>
        <v>انجمن</v>
      </c>
      <c r="K1266" s="252">
        <f>bargiri[[#This Row],[فی]]*bargiri[[#This Row],[میزان بارگیری شده]]</f>
        <v>1003940000</v>
      </c>
    </row>
    <row r="1267" spans="1:11" ht="18.600000000000001">
      <c r="A1267" s="360" t="s">
        <v>787</v>
      </c>
      <c r="B1267" s="360" t="s">
        <v>98</v>
      </c>
      <c r="C1267" s="355" t="s">
        <v>539</v>
      </c>
      <c r="D1267">
        <v>13480</v>
      </c>
      <c r="E1267" s="143">
        <v>75000</v>
      </c>
      <c r="F1267" s="117">
        <v>1404</v>
      </c>
      <c r="G1267" s="360" t="s">
        <v>301</v>
      </c>
      <c r="H1267" s="144">
        <f>bargiri[[#This Row],[میزان بارگیری شده]]*bargiri[[#This Row],[فی]]</f>
        <v>1011000000</v>
      </c>
      <c r="I1267" s="360">
        <f>IF(year=bargiri[[#This Row],[سال]],1,0)</f>
        <v>0</v>
      </c>
      <c r="J1267" s="360" t="str">
        <f>VLOOKUP(bargiri[[#This Row],[شماره پیش فاکتور]],invoice[],16,0)</f>
        <v>تعادلی</v>
      </c>
      <c r="K1267" s="252">
        <f>bargiri[[#This Row],[فی]]*bargiri[[#This Row],[میزان بارگیری شده]]</f>
        <v>1011000000</v>
      </c>
    </row>
    <row r="1268" spans="1:11" ht="18.600000000000001">
      <c r="A1268" s="360" t="s">
        <v>787</v>
      </c>
      <c r="B1268" s="360" t="s">
        <v>98</v>
      </c>
      <c r="C1268" s="355" t="s">
        <v>788</v>
      </c>
      <c r="D1268">
        <v>8580</v>
      </c>
      <c r="E1268" s="143">
        <v>79520</v>
      </c>
      <c r="F1268" s="117">
        <v>1404</v>
      </c>
      <c r="G1268" s="360" t="s">
        <v>301</v>
      </c>
      <c r="H1268" s="144">
        <f>bargiri[[#This Row],[میزان بارگیری شده]]*bargiri[[#This Row],[فی]]</f>
        <v>682281600</v>
      </c>
      <c r="I1268" s="360">
        <f>IF(year=bargiri[[#This Row],[سال]],1,0)</f>
        <v>0</v>
      </c>
      <c r="J1268" s="360" t="str">
        <f>VLOOKUP(bargiri[[#This Row],[شماره پیش فاکتور]],invoice[],16,0)</f>
        <v>تعادلی</v>
      </c>
      <c r="K1268" s="252">
        <f>bargiri[[#This Row],[فی]]*bargiri[[#This Row],[میزان بارگیری شده]]</f>
        <v>682281600</v>
      </c>
    </row>
    <row r="1269" spans="1:11" ht="18.600000000000001">
      <c r="A1269" s="360" t="s">
        <v>787</v>
      </c>
      <c r="B1269" s="360" t="s">
        <v>106</v>
      </c>
      <c r="C1269" s="355" t="s">
        <v>44</v>
      </c>
      <c r="D1269">
        <v>15220</v>
      </c>
      <c r="E1269" s="143">
        <v>80000</v>
      </c>
      <c r="F1269" s="117">
        <v>1404</v>
      </c>
      <c r="G1269" s="360" t="s">
        <v>301</v>
      </c>
      <c r="H1269" s="144">
        <f>bargiri[[#This Row],[میزان بارگیری شده]]*bargiri[[#This Row],[فی]]</f>
        <v>1217600000</v>
      </c>
      <c r="I1269" s="360">
        <f>IF(year=bargiri[[#This Row],[سال]],1,0)</f>
        <v>0</v>
      </c>
      <c r="J1269" s="360" t="str">
        <f>VLOOKUP(bargiri[[#This Row],[شماره پیش فاکتور]],invoice[],16,0)</f>
        <v>عادی</v>
      </c>
      <c r="K1269" s="252">
        <f>bargiri[[#This Row],[فی]]*bargiri[[#This Row],[میزان بارگیری شده]]</f>
        <v>1217600000</v>
      </c>
    </row>
    <row r="1270" spans="1:11" ht="18.600000000000001">
      <c r="A1270" s="360" t="s">
        <v>787</v>
      </c>
      <c r="B1270" s="360" t="s">
        <v>104</v>
      </c>
      <c r="C1270" s="355" t="s">
        <v>684</v>
      </c>
      <c r="D1270">
        <v>11645</v>
      </c>
      <c r="E1270" s="143">
        <v>167500</v>
      </c>
      <c r="F1270" s="117">
        <v>1404</v>
      </c>
      <c r="G1270" s="360" t="s">
        <v>301</v>
      </c>
      <c r="H1270" s="144">
        <f>bargiri[[#This Row],[میزان بارگیری شده]]*bargiri[[#This Row],[فی]]</f>
        <v>1950537500</v>
      </c>
      <c r="I1270" s="360">
        <f>IF(year=bargiri[[#This Row],[سال]],1,0)</f>
        <v>0</v>
      </c>
      <c r="J1270" s="360" t="str">
        <f>VLOOKUP(bargiri[[#This Row],[شماره پیش فاکتور]],invoice[],16,0)</f>
        <v>بورس</v>
      </c>
      <c r="K1270" s="252">
        <f>bargiri[[#This Row],[فی]]*bargiri[[#This Row],[میزان بارگیری شده]]</f>
        <v>1950537500</v>
      </c>
    </row>
    <row r="1271" spans="1:11" ht="18.600000000000001">
      <c r="A1271" s="360" t="s">
        <v>787</v>
      </c>
      <c r="B1271" s="360" t="s">
        <v>104</v>
      </c>
      <c r="C1271" s="355" t="s">
        <v>694</v>
      </c>
      <c r="D1271">
        <v>6455</v>
      </c>
      <c r="E1271" s="143">
        <v>167500</v>
      </c>
      <c r="F1271" s="117">
        <v>1404</v>
      </c>
      <c r="G1271" s="360" t="s">
        <v>301</v>
      </c>
      <c r="H1271" s="144">
        <f>bargiri[[#This Row],[میزان بارگیری شده]]*bargiri[[#This Row],[فی]]</f>
        <v>1081212500</v>
      </c>
      <c r="I1271" s="360">
        <f>IF(year=bargiri[[#This Row],[سال]],1,0)</f>
        <v>0</v>
      </c>
      <c r="J1271" s="360" t="str">
        <f>VLOOKUP(bargiri[[#This Row],[شماره پیش فاکتور]],invoice[],16,0)</f>
        <v>بورس</v>
      </c>
      <c r="K1271" s="252">
        <f>bargiri[[#This Row],[فی]]*bargiri[[#This Row],[میزان بارگیری شده]]</f>
        <v>1081212500</v>
      </c>
    </row>
    <row r="1272" spans="1:11" ht="18.600000000000001">
      <c r="A1272" s="360" t="s">
        <v>789</v>
      </c>
      <c r="B1272" s="360" t="s">
        <v>116</v>
      </c>
      <c r="C1272" s="355" t="s">
        <v>608</v>
      </c>
      <c r="D1272">
        <v>18890</v>
      </c>
      <c r="E1272" s="143">
        <v>95000</v>
      </c>
      <c r="F1272" s="117">
        <v>1404</v>
      </c>
      <c r="G1272" s="360" t="s">
        <v>301</v>
      </c>
      <c r="H1272" s="144">
        <f>bargiri[[#This Row],[میزان بارگیری شده]]*bargiri[[#This Row],[فی]]</f>
        <v>1794550000</v>
      </c>
      <c r="I1272" s="360">
        <f>IF(year=bargiri[[#This Row],[سال]],1,0)</f>
        <v>0</v>
      </c>
      <c r="J1272" s="360" t="str">
        <f>VLOOKUP(bargiri[[#This Row],[شماره پیش فاکتور]],invoice[],16,0)</f>
        <v>عادی</v>
      </c>
      <c r="K1272" s="252">
        <f>bargiri[[#This Row],[فی]]*bargiri[[#This Row],[میزان بارگیری شده]]</f>
        <v>1794550000</v>
      </c>
    </row>
    <row r="1273" spans="1:11" ht="18.600000000000001">
      <c r="A1273" s="360" t="s">
        <v>789</v>
      </c>
      <c r="B1273" s="360" t="s">
        <v>103</v>
      </c>
      <c r="C1273" s="355" t="s">
        <v>560</v>
      </c>
      <c r="D1273">
        <v>20040</v>
      </c>
      <c r="E1273" s="143">
        <v>142000</v>
      </c>
      <c r="F1273" s="117">
        <v>1404</v>
      </c>
      <c r="G1273" s="360" t="s">
        <v>301</v>
      </c>
      <c r="H1273" s="144">
        <f>bargiri[[#This Row],[میزان بارگیری شده]]*bargiri[[#This Row],[فی]]</f>
        <v>2845680000</v>
      </c>
      <c r="I1273" s="360">
        <f>IF(year=bargiri[[#This Row],[سال]],1,0)</f>
        <v>0</v>
      </c>
      <c r="J1273" s="360" t="str">
        <f>VLOOKUP(bargiri[[#This Row],[شماره پیش فاکتور]],invoice[],16,0)</f>
        <v>انجمن</v>
      </c>
      <c r="K1273" s="252">
        <f>bargiri[[#This Row],[فی]]*bargiri[[#This Row],[میزان بارگیری شده]]</f>
        <v>2845680000</v>
      </c>
    </row>
    <row r="1274" spans="1:11" ht="18.600000000000001">
      <c r="A1274" s="360" t="s">
        <v>789</v>
      </c>
      <c r="B1274" s="360" t="s">
        <v>125</v>
      </c>
      <c r="C1274" s="355" t="s">
        <v>570</v>
      </c>
      <c r="D1274">
        <v>14190</v>
      </c>
      <c r="E1274" s="143">
        <v>142000</v>
      </c>
      <c r="F1274" s="117">
        <v>1404</v>
      </c>
      <c r="G1274" s="360" t="s">
        <v>301</v>
      </c>
      <c r="H1274" s="144">
        <f>bargiri[[#This Row],[میزان بارگیری شده]]*bargiri[[#This Row],[فی]]</f>
        <v>2014980000</v>
      </c>
      <c r="I1274" s="360">
        <f>IF(year=bargiri[[#This Row],[سال]],1,0)</f>
        <v>0</v>
      </c>
      <c r="J1274" s="360" t="str">
        <f>VLOOKUP(bargiri[[#This Row],[شماره پیش فاکتور]],invoice[],16,0)</f>
        <v>انجمن</v>
      </c>
      <c r="K1274" s="252">
        <f>bargiri[[#This Row],[فی]]*bargiri[[#This Row],[میزان بارگیری شده]]</f>
        <v>2014980000</v>
      </c>
    </row>
    <row r="1275" spans="1:11" ht="18.600000000000001">
      <c r="A1275" s="360" t="s">
        <v>790</v>
      </c>
      <c r="B1275" s="360" t="s">
        <v>117</v>
      </c>
      <c r="C1275" s="355" t="s">
        <v>645</v>
      </c>
      <c r="D1275">
        <v>20050</v>
      </c>
      <c r="E1275" s="143">
        <v>83000</v>
      </c>
      <c r="F1275" s="117">
        <v>1404</v>
      </c>
      <c r="G1275" s="360" t="s">
        <v>301</v>
      </c>
      <c r="H1275" s="144">
        <f>bargiri[[#This Row],[میزان بارگیری شده]]*bargiri[[#This Row],[فی]]</f>
        <v>1664150000</v>
      </c>
      <c r="I1275" s="360">
        <f>IF(year=bargiri[[#This Row],[سال]],1,0)</f>
        <v>0</v>
      </c>
      <c r="J1275" s="360" t="str">
        <f>VLOOKUP(bargiri[[#This Row],[شماره پیش فاکتور]],invoice[],16,0)</f>
        <v>تعادلی</v>
      </c>
      <c r="K1275" s="252">
        <f>bargiri[[#This Row],[فی]]*bargiri[[#This Row],[میزان بارگیری شده]]</f>
        <v>1664150000</v>
      </c>
    </row>
    <row r="1276" spans="1:11" ht="18.600000000000001">
      <c r="A1276" s="360" t="s">
        <v>790</v>
      </c>
      <c r="B1276" s="360" t="s">
        <v>100</v>
      </c>
      <c r="C1276" s="355" t="s">
        <v>555</v>
      </c>
      <c r="D1276">
        <v>6725</v>
      </c>
      <c r="E1276" s="143">
        <v>142000</v>
      </c>
      <c r="F1276" s="117">
        <v>1404</v>
      </c>
      <c r="G1276" s="360" t="s">
        <v>301</v>
      </c>
      <c r="H1276" s="144">
        <f>bargiri[[#This Row],[میزان بارگیری شده]]*bargiri[[#This Row],[فی]]</f>
        <v>954950000</v>
      </c>
      <c r="I1276" s="360">
        <f>IF(year=bargiri[[#This Row],[سال]],1,0)</f>
        <v>0</v>
      </c>
      <c r="J1276" s="360" t="str">
        <f>VLOOKUP(bargiri[[#This Row],[شماره پیش فاکتور]],invoice[],16,0)</f>
        <v>انجمن</v>
      </c>
      <c r="K1276" s="252">
        <f>bargiri[[#This Row],[فی]]*bargiri[[#This Row],[میزان بارگیری شده]]</f>
        <v>954950000</v>
      </c>
    </row>
    <row r="1277" spans="1:11" ht="18.600000000000001">
      <c r="A1277" s="360" t="s">
        <v>791</v>
      </c>
      <c r="B1277" s="360" t="s">
        <v>116</v>
      </c>
      <c r="C1277" s="355" t="s">
        <v>718</v>
      </c>
      <c r="D1277">
        <v>19950</v>
      </c>
      <c r="E1277" s="143">
        <v>167500</v>
      </c>
      <c r="F1277" s="117">
        <v>1404</v>
      </c>
      <c r="G1277" s="360" t="s">
        <v>301</v>
      </c>
      <c r="H1277" s="144">
        <f>bargiri[[#This Row],[میزان بارگیری شده]]*bargiri[[#This Row],[فی]]</f>
        <v>3341625000</v>
      </c>
      <c r="I1277" s="360">
        <f>IF(year=bargiri[[#This Row],[سال]],1,0)</f>
        <v>0</v>
      </c>
      <c r="J1277" s="360" t="str">
        <f>VLOOKUP(bargiri[[#This Row],[شماره پیش فاکتور]],invoice[],16,0)</f>
        <v>بورس</v>
      </c>
      <c r="K1277" s="252">
        <f>bargiri[[#This Row],[فی]]*bargiri[[#This Row],[میزان بارگیری شده]]</f>
        <v>3341625000</v>
      </c>
    </row>
    <row r="1278" spans="1:11" ht="18.600000000000001">
      <c r="A1278" s="360" t="s">
        <v>791</v>
      </c>
      <c r="B1278" s="360" t="s">
        <v>118</v>
      </c>
      <c r="C1278" s="355" t="s">
        <v>84</v>
      </c>
      <c r="D1278">
        <v>20485</v>
      </c>
      <c r="E1278" s="143">
        <v>57273</v>
      </c>
      <c r="F1278" s="117">
        <v>1404</v>
      </c>
      <c r="G1278" s="360" t="s">
        <v>301</v>
      </c>
      <c r="H1278" s="144">
        <f>bargiri[[#This Row],[میزان بارگیری شده]]*bargiri[[#This Row],[فی]]</f>
        <v>1173237405</v>
      </c>
      <c r="I1278" s="360">
        <f>IF(year=bargiri[[#This Row],[سال]],1,0)</f>
        <v>0</v>
      </c>
      <c r="J1278" s="360" t="str">
        <f>VLOOKUP(bargiri[[#This Row],[شماره پیش فاکتور]],invoice[],16,0)</f>
        <v>عادی</v>
      </c>
      <c r="K1278" s="252">
        <f>bargiri[[#This Row],[فی]]*bargiri[[#This Row],[میزان بارگیری شده]]</f>
        <v>1173237405</v>
      </c>
    </row>
    <row r="1279" spans="1:11" ht="18.600000000000001">
      <c r="A1279" s="360" t="s">
        <v>791</v>
      </c>
      <c r="B1279" s="360" t="s">
        <v>118</v>
      </c>
      <c r="C1279" s="355" t="s">
        <v>84</v>
      </c>
      <c r="D1279">
        <v>20605</v>
      </c>
      <c r="E1279" s="143">
        <v>57273</v>
      </c>
      <c r="F1279" s="117">
        <v>1404</v>
      </c>
      <c r="G1279" s="360" t="s">
        <v>301</v>
      </c>
      <c r="H1279" s="144">
        <f>bargiri[[#This Row],[میزان بارگیری شده]]*bargiri[[#This Row],[فی]]</f>
        <v>1180110165</v>
      </c>
      <c r="I1279" s="360">
        <f>IF(year=bargiri[[#This Row],[سال]],1,0)</f>
        <v>0</v>
      </c>
      <c r="J1279" s="360" t="str">
        <f>VLOOKUP(bargiri[[#This Row],[شماره پیش فاکتور]],invoice[],16,0)</f>
        <v>عادی</v>
      </c>
      <c r="K1279" s="252">
        <f>bargiri[[#This Row],[فی]]*bargiri[[#This Row],[میزان بارگیری شده]]</f>
        <v>1180110165</v>
      </c>
    </row>
    <row r="1280" spans="1:11" ht="18.600000000000001">
      <c r="A1280" s="360" t="s">
        <v>791</v>
      </c>
      <c r="B1280" s="360" t="s">
        <v>118</v>
      </c>
      <c r="C1280" s="355" t="s">
        <v>84</v>
      </c>
      <c r="D1280">
        <v>20885</v>
      </c>
      <c r="E1280" s="143">
        <v>57273</v>
      </c>
      <c r="F1280" s="117">
        <v>1404</v>
      </c>
      <c r="G1280" s="360" t="s">
        <v>301</v>
      </c>
      <c r="H1280" s="144">
        <f>bargiri[[#This Row],[میزان بارگیری شده]]*bargiri[[#This Row],[فی]]</f>
        <v>1196146605</v>
      </c>
      <c r="I1280" s="360">
        <f>IF(year=bargiri[[#This Row],[سال]],1,0)</f>
        <v>0</v>
      </c>
      <c r="J1280" s="360" t="str">
        <f>VLOOKUP(bargiri[[#This Row],[شماره پیش فاکتور]],invoice[],16,0)</f>
        <v>عادی</v>
      </c>
      <c r="K1280" s="252">
        <f>bargiri[[#This Row],[فی]]*bargiri[[#This Row],[میزان بارگیری شده]]</f>
        <v>1196146605</v>
      </c>
    </row>
    <row r="1281" spans="1:11" ht="18.600000000000001">
      <c r="A1281" s="360" t="s">
        <v>791</v>
      </c>
      <c r="B1281" s="360" t="s">
        <v>118</v>
      </c>
      <c r="C1281" s="355" t="s">
        <v>84</v>
      </c>
      <c r="D1281">
        <v>20965</v>
      </c>
      <c r="E1281" s="143">
        <v>57273</v>
      </c>
      <c r="F1281" s="117">
        <v>1404</v>
      </c>
      <c r="G1281" s="360" t="s">
        <v>301</v>
      </c>
      <c r="H1281" s="144">
        <f>bargiri[[#This Row],[میزان بارگیری شده]]*bargiri[[#This Row],[فی]]</f>
        <v>1200728445</v>
      </c>
      <c r="I1281" s="360">
        <f>IF(year=bargiri[[#This Row],[سال]],1,0)</f>
        <v>0</v>
      </c>
      <c r="J1281" s="360" t="str">
        <f>VLOOKUP(bargiri[[#This Row],[شماره پیش فاکتور]],invoice[],16,0)</f>
        <v>عادی</v>
      </c>
      <c r="K1281" s="252">
        <f>bargiri[[#This Row],[فی]]*bargiri[[#This Row],[میزان بارگیری شده]]</f>
        <v>1200728445</v>
      </c>
    </row>
    <row r="1282" spans="1:11" ht="18.600000000000001">
      <c r="A1282" s="360" t="s">
        <v>791</v>
      </c>
      <c r="B1282" s="360" t="s">
        <v>118</v>
      </c>
      <c r="C1282" s="355" t="s">
        <v>84</v>
      </c>
      <c r="D1282">
        <v>20975</v>
      </c>
      <c r="E1282" s="143">
        <v>57273</v>
      </c>
      <c r="F1282" s="117">
        <v>1404</v>
      </c>
      <c r="G1282" s="360" t="s">
        <v>301</v>
      </c>
      <c r="H1282" s="144">
        <f>bargiri[[#This Row],[میزان بارگیری شده]]*bargiri[[#This Row],[فی]]</f>
        <v>1201301175</v>
      </c>
      <c r="I1282" s="360">
        <f>IF(year=bargiri[[#This Row],[سال]],1,0)</f>
        <v>0</v>
      </c>
      <c r="J1282" s="360" t="str">
        <f>VLOOKUP(bargiri[[#This Row],[شماره پیش فاکتور]],invoice[],16,0)</f>
        <v>عادی</v>
      </c>
      <c r="K1282" s="252">
        <f>bargiri[[#This Row],[فی]]*bargiri[[#This Row],[میزان بارگیری شده]]</f>
        <v>1201301175</v>
      </c>
    </row>
    <row r="1283" spans="1:11" ht="18.600000000000001">
      <c r="A1283" s="360" t="s">
        <v>791</v>
      </c>
      <c r="B1283" s="360" t="s">
        <v>105</v>
      </c>
      <c r="C1283" s="355" t="s">
        <v>553</v>
      </c>
      <c r="D1283">
        <v>19600</v>
      </c>
      <c r="E1283" s="143">
        <v>142000</v>
      </c>
      <c r="F1283" s="117">
        <v>1404</v>
      </c>
      <c r="G1283" s="360" t="s">
        <v>301</v>
      </c>
      <c r="H1283" s="144">
        <f>bargiri[[#This Row],[میزان بارگیری شده]]*bargiri[[#This Row],[فی]]</f>
        <v>2783200000</v>
      </c>
      <c r="I1283" s="360">
        <f>IF(year=bargiri[[#This Row],[سال]],1,0)</f>
        <v>0</v>
      </c>
      <c r="J1283" s="360" t="str">
        <f>VLOOKUP(bargiri[[#This Row],[شماره پیش فاکتور]],invoice[],16,0)</f>
        <v>انجمن</v>
      </c>
      <c r="K1283" s="252">
        <f>bargiri[[#This Row],[فی]]*bargiri[[#This Row],[میزان بارگیری شده]]</f>
        <v>2783200000</v>
      </c>
    </row>
    <row r="1284" spans="1:11" ht="18.600000000000001">
      <c r="A1284" s="360" t="s">
        <v>791</v>
      </c>
      <c r="B1284" s="360" t="s">
        <v>123</v>
      </c>
      <c r="C1284" s="355" t="s">
        <v>569</v>
      </c>
      <c r="D1284">
        <v>7795</v>
      </c>
      <c r="E1284" s="143">
        <v>142000</v>
      </c>
      <c r="F1284" s="117">
        <v>1404</v>
      </c>
      <c r="G1284" s="360" t="s">
        <v>301</v>
      </c>
      <c r="H1284" s="144">
        <f>bargiri[[#This Row],[میزان بارگیری شده]]*bargiri[[#This Row],[فی]]</f>
        <v>1106890000</v>
      </c>
      <c r="I1284" s="360">
        <f>IF(year=bargiri[[#This Row],[سال]],1,0)</f>
        <v>0</v>
      </c>
      <c r="J1284" s="360" t="str">
        <f>VLOOKUP(bargiri[[#This Row],[شماره پیش فاکتور]],invoice[],16,0)</f>
        <v>انجمن</v>
      </c>
      <c r="K1284" s="252">
        <f>bargiri[[#This Row],[فی]]*bargiri[[#This Row],[میزان بارگیری شده]]</f>
        <v>1106890000</v>
      </c>
    </row>
    <row r="1285" spans="1:11" ht="18.600000000000001">
      <c r="A1285" s="360" t="s">
        <v>792</v>
      </c>
      <c r="B1285" s="360" t="s">
        <v>99</v>
      </c>
      <c r="C1285" s="355" t="s">
        <v>12</v>
      </c>
      <c r="D1285">
        <v>20085</v>
      </c>
      <c r="E1285" s="143">
        <v>86500</v>
      </c>
      <c r="F1285" s="117">
        <v>1404</v>
      </c>
      <c r="G1285" s="360" t="s">
        <v>301</v>
      </c>
      <c r="H1285" s="144">
        <f>bargiri[[#This Row],[میزان بارگیری شده]]*bargiri[[#This Row],[فی]]</f>
        <v>1737352500</v>
      </c>
      <c r="I1285" s="360">
        <f>IF(year=bargiri[[#This Row],[سال]],1,0)</f>
        <v>0</v>
      </c>
      <c r="J1285" s="360" t="str">
        <f>VLOOKUP(bargiri[[#This Row],[شماره پیش فاکتور]],invoice[],16,0)</f>
        <v>عادی</v>
      </c>
      <c r="K1285" s="252">
        <f>bargiri[[#This Row],[فی]]*bargiri[[#This Row],[میزان بارگیری شده]]</f>
        <v>1737352500</v>
      </c>
    </row>
    <row r="1286" spans="1:11" ht="18.600000000000001">
      <c r="A1286" s="360" t="s">
        <v>792</v>
      </c>
      <c r="B1286" s="360" t="s">
        <v>104</v>
      </c>
      <c r="C1286" s="355" t="s">
        <v>562</v>
      </c>
      <c r="D1286">
        <v>19850</v>
      </c>
      <c r="E1286" s="143">
        <v>142000</v>
      </c>
      <c r="F1286" s="117">
        <v>1404</v>
      </c>
      <c r="G1286" s="360" t="s">
        <v>301</v>
      </c>
      <c r="H1286" s="144">
        <f>bargiri[[#This Row],[میزان بارگیری شده]]*bargiri[[#This Row],[فی]]</f>
        <v>2818700000</v>
      </c>
      <c r="I1286" s="360">
        <f>IF(year=bargiri[[#This Row],[سال]],1,0)</f>
        <v>0</v>
      </c>
      <c r="J1286" s="360" t="str">
        <f>VLOOKUP(bargiri[[#This Row],[شماره پیش فاکتور]],invoice[],16,0)</f>
        <v>انجمن</v>
      </c>
      <c r="K1286" s="252">
        <f>bargiri[[#This Row],[فی]]*bargiri[[#This Row],[میزان بارگیری شده]]</f>
        <v>2818700000</v>
      </c>
    </row>
    <row r="1287" spans="1:11" ht="18.600000000000001">
      <c r="A1287" s="360" t="s">
        <v>792</v>
      </c>
      <c r="B1287" s="360" t="s">
        <v>106</v>
      </c>
      <c r="C1287" s="355" t="s">
        <v>44</v>
      </c>
      <c r="D1287">
        <v>20210</v>
      </c>
      <c r="E1287" s="143">
        <v>80000</v>
      </c>
      <c r="F1287" s="117">
        <v>1404</v>
      </c>
      <c r="G1287" s="360" t="s">
        <v>301</v>
      </c>
      <c r="H1287" s="144">
        <f>bargiri[[#This Row],[میزان بارگیری شده]]*bargiri[[#This Row],[فی]]</f>
        <v>1616800000</v>
      </c>
      <c r="I1287" s="360">
        <f>IF(year=bargiri[[#This Row],[سال]],1,0)</f>
        <v>0</v>
      </c>
      <c r="J1287" s="360" t="str">
        <f>VLOOKUP(bargiri[[#This Row],[شماره پیش فاکتور]],invoice[],16,0)</f>
        <v>عادی</v>
      </c>
      <c r="K1287" s="252">
        <f>bargiri[[#This Row],[فی]]*bargiri[[#This Row],[میزان بارگیری شده]]</f>
        <v>1616800000</v>
      </c>
    </row>
    <row r="1288" spans="1:11" ht="18.600000000000001">
      <c r="A1288" s="360" t="s">
        <v>785</v>
      </c>
      <c r="B1288" s="360" t="s">
        <v>105</v>
      </c>
      <c r="C1288" s="355" t="s">
        <v>553</v>
      </c>
      <c r="D1288">
        <v>18930</v>
      </c>
      <c r="E1288" s="143">
        <v>142000</v>
      </c>
      <c r="F1288" s="117">
        <v>1404</v>
      </c>
      <c r="G1288" s="360" t="s">
        <v>301</v>
      </c>
      <c r="H1288" s="144">
        <f>bargiri[[#This Row],[میزان بارگیری شده]]*bargiri[[#This Row],[فی]]</f>
        <v>2688060000</v>
      </c>
      <c r="I1288" s="360">
        <f>IF(year=bargiri[[#This Row],[سال]],1,0)</f>
        <v>0</v>
      </c>
      <c r="J1288" s="360" t="str">
        <f>VLOOKUP(bargiri[[#This Row],[شماره پیش فاکتور]],invoice[],16,0)</f>
        <v>انجمن</v>
      </c>
      <c r="K1288" s="252">
        <f>bargiri[[#This Row],[فی]]*bargiri[[#This Row],[میزان بارگیری شده]]</f>
        <v>2688060000</v>
      </c>
    </row>
    <row r="1289" spans="1:11" ht="18.600000000000001">
      <c r="A1289" s="360" t="s">
        <v>785</v>
      </c>
      <c r="B1289" s="360" t="s">
        <v>116</v>
      </c>
      <c r="C1289" s="355" t="s">
        <v>608</v>
      </c>
      <c r="D1289">
        <v>20115</v>
      </c>
      <c r="E1289" s="143">
        <v>95000</v>
      </c>
      <c r="F1289" s="117">
        <v>1404</v>
      </c>
      <c r="G1289" s="360" t="s">
        <v>301</v>
      </c>
      <c r="H1289" s="144">
        <f>bargiri[[#This Row],[میزان بارگیری شده]]*bargiri[[#This Row],[فی]]</f>
        <v>1910925000</v>
      </c>
      <c r="I1289" s="360">
        <f>IF(year=bargiri[[#This Row],[سال]],1,0)</f>
        <v>0</v>
      </c>
      <c r="J1289" s="360" t="str">
        <f>VLOOKUP(bargiri[[#This Row],[شماره پیش فاکتور]],invoice[],16,0)</f>
        <v>عادی</v>
      </c>
      <c r="K1289" s="252">
        <f>bargiri[[#This Row],[فی]]*bargiri[[#This Row],[میزان بارگیری شده]]</f>
        <v>1910925000</v>
      </c>
    </row>
    <row r="1290" spans="1:11" ht="18.600000000000001">
      <c r="A1290" s="360" t="s">
        <v>785</v>
      </c>
      <c r="B1290" s="360" t="s">
        <v>102</v>
      </c>
      <c r="C1290" s="355" t="s">
        <v>24</v>
      </c>
      <c r="D1290">
        <v>11455</v>
      </c>
      <c r="E1290" s="143">
        <v>70000</v>
      </c>
      <c r="F1290" s="117">
        <v>1404</v>
      </c>
      <c r="G1290" s="360" t="s">
        <v>301</v>
      </c>
      <c r="H1290" s="144">
        <f>bargiri[[#This Row],[میزان بارگیری شده]]*bargiri[[#This Row],[فی]]</f>
        <v>801850000</v>
      </c>
      <c r="I1290" s="360">
        <f>IF(year=bargiri[[#This Row],[سال]],1,0)</f>
        <v>0</v>
      </c>
      <c r="J1290" s="360" t="str">
        <f>VLOOKUP(bargiri[[#This Row],[شماره پیش فاکتور]],invoice[],16,0)</f>
        <v>عادی</v>
      </c>
      <c r="K1290" s="252">
        <f>bargiri[[#This Row],[فی]]*bargiri[[#This Row],[میزان بارگیری شده]]</f>
        <v>801850000</v>
      </c>
    </row>
    <row r="1291" spans="1:11" ht="18.600000000000001">
      <c r="A1291" s="360" t="s">
        <v>774</v>
      </c>
      <c r="B1291" s="360" t="s">
        <v>118</v>
      </c>
      <c r="C1291" s="355" t="s">
        <v>84</v>
      </c>
      <c r="D1291">
        <v>21175</v>
      </c>
      <c r="E1291" s="143">
        <v>57273</v>
      </c>
      <c r="F1291" s="117">
        <v>1404</v>
      </c>
      <c r="G1291" s="360" t="s">
        <v>302</v>
      </c>
      <c r="H1291" s="144">
        <f>bargiri[[#This Row],[میزان بارگیری شده]]*bargiri[[#This Row],[فی]]</f>
        <v>1212755775</v>
      </c>
      <c r="I1291" s="360">
        <f>IF(year=bargiri[[#This Row],[سال]],1,0)</f>
        <v>0</v>
      </c>
      <c r="J1291" s="360" t="str">
        <f>VLOOKUP(bargiri[[#This Row],[شماره پیش فاکتور]],invoice[],16,0)</f>
        <v>عادی</v>
      </c>
      <c r="K1291" s="252">
        <f>bargiri[[#This Row],[فی]]*bargiri[[#This Row],[میزان بارگیری شده]]</f>
        <v>1212755775</v>
      </c>
    </row>
    <row r="1292" spans="1:11" ht="18.600000000000001">
      <c r="A1292" s="360" t="s">
        <v>774</v>
      </c>
      <c r="B1292" s="360" t="s">
        <v>118</v>
      </c>
      <c r="C1292" s="355" t="s">
        <v>84</v>
      </c>
      <c r="D1292">
        <v>21105</v>
      </c>
      <c r="E1292" s="143">
        <v>57273</v>
      </c>
      <c r="F1292" s="117">
        <v>1404</v>
      </c>
      <c r="G1292" s="360" t="s">
        <v>302</v>
      </c>
      <c r="H1292" s="144">
        <f>bargiri[[#This Row],[میزان بارگیری شده]]*bargiri[[#This Row],[فی]]</f>
        <v>1208746665</v>
      </c>
      <c r="I1292" s="360">
        <f>IF(year=bargiri[[#This Row],[سال]],1,0)</f>
        <v>0</v>
      </c>
      <c r="J1292" s="360" t="str">
        <f>VLOOKUP(bargiri[[#This Row],[شماره پیش فاکتور]],invoice[],16,0)</f>
        <v>عادی</v>
      </c>
      <c r="K1292" s="252">
        <f>bargiri[[#This Row],[فی]]*bargiri[[#This Row],[میزان بارگیری شده]]</f>
        <v>1208746665</v>
      </c>
    </row>
    <row r="1293" spans="1:11" ht="18.600000000000001">
      <c r="A1293" s="360" t="s">
        <v>774</v>
      </c>
      <c r="B1293" s="360" t="s">
        <v>116</v>
      </c>
      <c r="C1293" s="355" t="s">
        <v>565</v>
      </c>
      <c r="D1293">
        <v>19950</v>
      </c>
      <c r="E1293" s="143">
        <v>142000</v>
      </c>
      <c r="F1293" s="117">
        <v>1404</v>
      </c>
      <c r="G1293" s="360" t="s">
        <v>302</v>
      </c>
      <c r="H1293" s="144">
        <f>bargiri[[#This Row],[میزان بارگیری شده]]*bargiri[[#This Row],[فی]]</f>
        <v>2832900000</v>
      </c>
      <c r="I1293" s="360">
        <f>IF(year=bargiri[[#This Row],[سال]],1,0)</f>
        <v>0</v>
      </c>
      <c r="J1293" s="360" t="str">
        <f>VLOOKUP(bargiri[[#This Row],[شماره پیش فاکتور]],invoice[],16,0)</f>
        <v>انجمن</v>
      </c>
      <c r="K1293" s="252">
        <f>bargiri[[#This Row],[فی]]*bargiri[[#This Row],[میزان بارگیری شده]]</f>
        <v>2832900000</v>
      </c>
    </row>
    <row r="1294" spans="1:11" ht="18.600000000000001">
      <c r="A1294" s="360" t="s">
        <v>774</v>
      </c>
      <c r="B1294" s="360" t="s">
        <v>98</v>
      </c>
      <c r="C1294" s="355" t="s">
        <v>539</v>
      </c>
      <c r="D1294">
        <v>22170</v>
      </c>
      <c r="E1294" s="143">
        <v>75000</v>
      </c>
      <c r="F1294" s="117">
        <v>1404</v>
      </c>
      <c r="G1294" s="360" t="s">
        <v>302</v>
      </c>
      <c r="H1294" s="144">
        <f>bargiri[[#This Row],[میزان بارگیری شده]]*bargiri[[#This Row],[فی]]</f>
        <v>1662750000</v>
      </c>
      <c r="I1294" s="360">
        <f>IF(year=bargiri[[#This Row],[سال]],1,0)</f>
        <v>0</v>
      </c>
      <c r="J1294" s="360" t="str">
        <f>VLOOKUP(bargiri[[#This Row],[شماره پیش فاکتور]],invoice[],16,0)</f>
        <v>تعادلی</v>
      </c>
      <c r="K1294" s="252">
        <f>bargiri[[#This Row],[فی]]*bargiri[[#This Row],[میزان بارگیری شده]]</f>
        <v>1662750000</v>
      </c>
    </row>
    <row r="1295" spans="1:11" ht="18.600000000000001">
      <c r="A1295" s="360" t="s">
        <v>774</v>
      </c>
      <c r="B1295" s="360" t="s">
        <v>118</v>
      </c>
      <c r="C1295" s="355" t="s">
        <v>84</v>
      </c>
      <c r="D1295">
        <v>21230</v>
      </c>
      <c r="E1295" s="143">
        <v>57273</v>
      </c>
      <c r="F1295" s="117">
        <v>1404</v>
      </c>
      <c r="G1295" s="360" t="s">
        <v>302</v>
      </c>
      <c r="H1295" s="144">
        <f>bargiri[[#This Row],[میزان بارگیری شده]]*bargiri[[#This Row],[فی]]</f>
        <v>1215905790</v>
      </c>
      <c r="I1295" s="360">
        <f>IF(year=bargiri[[#This Row],[سال]],1,0)</f>
        <v>0</v>
      </c>
      <c r="J1295" s="360" t="str">
        <f>VLOOKUP(bargiri[[#This Row],[شماره پیش فاکتور]],invoice[],16,0)</f>
        <v>عادی</v>
      </c>
      <c r="K1295" s="252">
        <f>bargiri[[#This Row],[فی]]*bargiri[[#This Row],[میزان بارگیری شده]]</f>
        <v>1215905790</v>
      </c>
    </row>
    <row r="1296" spans="1:11" ht="18.600000000000001">
      <c r="A1296" s="360" t="s">
        <v>774</v>
      </c>
      <c r="B1296" s="360" t="s">
        <v>118</v>
      </c>
      <c r="C1296" s="355" t="s">
        <v>84</v>
      </c>
      <c r="D1296">
        <v>21435</v>
      </c>
      <c r="E1296" s="143">
        <v>57273</v>
      </c>
      <c r="F1296" s="117">
        <v>1404</v>
      </c>
      <c r="G1296" s="360" t="s">
        <v>302</v>
      </c>
      <c r="H1296" s="144">
        <f>bargiri[[#This Row],[میزان بارگیری شده]]*bargiri[[#This Row],[فی]]</f>
        <v>1227646755</v>
      </c>
      <c r="I1296" s="360">
        <f>IF(year=bargiri[[#This Row],[سال]],1,0)</f>
        <v>0</v>
      </c>
      <c r="J1296" s="360" t="str">
        <f>VLOOKUP(bargiri[[#This Row],[شماره پیش فاکتور]],invoice[],16,0)</f>
        <v>عادی</v>
      </c>
      <c r="K1296" s="252">
        <f>bargiri[[#This Row],[فی]]*bargiri[[#This Row],[میزان بارگیری شده]]</f>
        <v>1227646755</v>
      </c>
    </row>
    <row r="1297" spans="1:11" ht="18.600000000000001">
      <c r="A1297" s="360" t="s">
        <v>774</v>
      </c>
      <c r="B1297" s="360" t="s">
        <v>109</v>
      </c>
      <c r="C1297" s="355" t="s">
        <v>563</v>
      </c>
      <c r="D1297">
        <v>20330</v>
      </c>
      <c r="E1297" s="143">
        <v>142000</v>
      </c>
      <c r="F1297" s="117">
        <v>1404</v>
      </c>
      <c r="G1297" s="360" t="s">
        <v>302</v>
      </c>
      <c r="H1297" s="144">
        <f>bargiri[[#This Row],[میزان بارگیری شده]]*bargiri[[#This Row],[فی]]</f>
        <v>2886860000</v>
      </c>
      <c r="I1297" s="360">
        <f>IF(year=bargiri[[#This Row],[سال]],1,0)</f>
        <v>0</v>
      </c>
      <c r="J1297" s="360" t="str">
        <f>VLOOKUP(bargiri[[#This Row],[شماره پیش فاکتور]],invoice[],16,0)</f>
        <v>انجمن</v>
      </c>
      <c r="K1297" s="252">
        <f>bargiri[[#This Row],[فی]]*bargiri[[#This Row],[میزان بارگیری شده]]</f>
        <v>2886860000</v>
      </c>
    </row>
    <row r="1298" spans="1:11" ht="18.600000000000001">
      <c r="A1298" s="360" t="s">
        <v>774</v>
      </c>
      <c r="B1298" s="360" t="s">
        <v>101</v>
      </c>
      <c r="C1298" s="355" t="s">
        <v>542</v>
      </c>
      <c r="D1298">
        <v>20000</v>
      </c>
      <c r="E1298" s="143">
        <v>151200</v>
      </c>
      <c r="F1298" s="117">
        <v>1404</v>
      </c>
      <c r="G1298" s="360" t="s">
        <v>302</v>
      </c>
      <c r="H1298" s="144">
        <f>bargiri[[#This Row],[میزان بارگیری شده]]*bargiri[[#This Row],[فی]]</f>
        <v>3024000000</v>
      </c>
      <c r="I1298" s="360">
        <f>IF(year=bargiri[[#This Row],[سال]],1,0)</f>
        <v>0</v>
      </c>
      <c r="J1298" s="360" t="str">
        <f>VLOOKUP(bargiri[[#This Row],[شماره پیش فاکتور]],invoice[],16,0)</f>
        <v>بورس</v>
      </c>
      <c r="K1298" s="252">
        <f>bargiri[[#This Row],[فی]]*bargiri[[#This Row],[میزان بارگیری شده]]</f>
        <v>3024000000</v>
      </c>
    </row>
    <row r="1299" spans="1:11" ht="18.600000000000001">
      <c r="A1299" s="360" t="s">
        <v>774</v>
      </c>
      <c r="B1299" s="360" t="s">
        <v>101</v>
      </c>
      <c r="C1299" s="355" t="s">
        <v>19</v>
      </c>
      <c r="D1299">
        <v>1085</v>
      </c>
      <c r="E1299" s="143">
        <v>75000</v>
      </c>
      <c r="F1299" s="117">
        <v>1404</v>
      </c>
      <c r="G1299" s="360" t="s">
        <v>302</v>
      </c>
      <c r="H1299" s="144">
        <f>bargiri[[#This Row],[میزان بارگیری شده]]*bargiri[[#This Row],[فی]]</f>
        <v>81375000</v>
      </c>
      <c r="I1299" s="360">
        <f>IF(year=bargiri[[#This Row],[سال]],1,0)</f>
        <v>0</v>
      </c>
      <c r="J1299" s="360" t="str">
        <f>VLOOKUP(bargiri[[#This Row],[شماره پیش فاکتور]],invoice[],16,0)</f>
        <v>عادی</v>
      </c>
      <c r="K1299" s="252">
        <f>bargiri[[#This Row],[فی]]*bargiri[[#This Row],[میزان بارگیری شده]]</f>
        <v>81375000</v>
      </c>
    </row>
    <row r="1300" spans="1:11" ht="18.600000000000001">
      <c r="A1300" s="360" t="s">
        <v>774</v>
      </c>
      <c r="B1300" s="360" t="s">
        <v>122</v>
      </c>
      <c r="C1300" s="355" t="s">
        <v>568</v>
      </c>
      <c r="D1300">
        <v>22040</v>
      </c>
      <c r="E1300" s="143">
        <v>142000</v>
      </c>
      <c r="F1300" s="117">
        <v>1404</v>
      </c>
      <c r="G1300" s="360" t="s">
        <v>302</v>
      </c>
      <c r="H1300" s="144">
        <f>bargiri[[#This Row],[میزان بارگیری شده]]*bargiri[[#This Row],[فی]]</f>
        <v>3129680000</v>
      </c>
      <c r="I1300" s="360">
        <f>IF(year=bargiri[[#This Row],[سال]],1,0)</f>
        <v>0</v>
      </c>
      <c r="J1300" s="360" t="str">
        <f>VLOOKUP(bargiri[[#This Row],[شماره پیش فاکتور]],invoice[],16,0)</f>
        <v>انجمن</v>
      </c>
      <c r="K1300" s="252">
        <f>bargiri[[#This Row],[فی]]*bargiri[[#This Row],[میزان بارگیری شده]]</f>
        <v>3129680000</v>
      </c>
    </row>
    <row r="1301" spans="1:11" ht="18.600000000000001">
      <c r="A1301" s="360" t="s">
        <v>774</v>
      </c>
      <c r="B1301" s="360" t="s">
        <v>116</v>
      </c>
      <c r="C1301" s="355" t="s">
        <v>616</v>
      </c>
      <c r="D1301">
        <v>10145</v>
      </c>
      <c r="E1301" s="143">
        <v>167500</v>
      </c>
      <c r="F1301" s="117">
        <v>1404</v>
      </c>
      <c r="G1301" s="360" t="s">
        <v>302</v>
      </c>
      <c r="H1301" s="144">
        <f>bargiri[[#This Row],[میزان بارگیری شده]]*bargiri[[#This Row],[فی]]</f>
        <v>1699287500</v>
      </c>
      <c r="I1301" s="360">
        <f>IF(year=bargiri[[#This Row],[سال]],1,0)</f>
        <v>0</v>
      </c>
      <c r="J1301" s="360" t="str">
        <f>VLOOKUP(bargiri[[#This Row],[شماره پیش فاکتور]],invoice[],16,0)</f>
        <v>بورس</v>
      </c>
      <c r="K1301" s="252">
        <f>bargiri[[#This Row],[فی]]*bargiri[[#This Row],[میزان بارگیری شده]]</f>
        <v>1699287500</v>
      </c>
    </row>
    <row r="1302" spans="1:11" ht="18.600000000000001">
      <c r="A1302" s="360" t="s">
        <v>774</v>
      </c>
      <c r="B1302" s="360" t="s">
        <v>116</v>
      </c>
      <c r="C1302" s="355" t="s">
        <v>718</v>
      </c>
      <c r="D1302">
        <v>5415</v>
      </c>
      <c r="E1302" s="143">
        <v>167500</v>
      </c>
      <c r="F1302" s="117">
        <v>1404</v>
      </c>
      <c r="G1302" s="360" t="s">
        <v>302</v>
      </c>
      <c r="H1302" s="144">
        <f>bargiri[[#This Row],[میزان بارگیری شده]]*bargiri[[#This Row],[فی]]</f>
        <v>907012500</v>
      </c>
      <c r="I1302" s="360">
        <f>IF(year=bargiri[[#This Row],[سال]],1,0)</f>
        <v>0</v>
      </c>
      <c r="J1302" s="360" t="str">
        <f>VLOOKUP(bargiri[[#This Row],[شماره پیش فاکتور]],invoice[],16,0)</f>
        <v>بورس</v>
      </c>
      <c r="K1302" s="252">
        <f>bargiri[[#This Row],[فی]]*bargiri[[#This Row],[میزان بارگیری شده]]</f>
        <v>907012500</v>
      </c>
    </row>
    <row r="1303" spans="1:11" ht="18.600000000000001">
      <c r="A1303" s="360" t="s">
        <v>774</v>
      </c>
      <c r="B1303" s="360" t="s">
        <v>103</v>
      </c>
      <c r="C1303" s="355" t="s">
        <v>560</v>
      </c>
      <c r="D1303">
        <v>7255</v>
      </c>
      <c r="E1303" s="143">
        <v>142000</v>
      </c>
      <c r="F1303" s="117">
        <v>1404</v>
      </c>
      <c r="G1303" s="360" t="s">
        <v>302</v>
      </c>
      <c r="H1303" s="144">
        <f>bargiri[[#This Row],[میزان بارگیری شده]]*bargiri[[#This Row],[فی]]</f>
        <v>1030210000</v>
      </c>
      <c r="I1303" s="360">
        <f>IF(year=bargiri[[#This Row],[سال]],1,0)</f>
        <v>0</v>
      </c>
      <c r="J1303" s="360" t="str">
        <f>VLOOKUP(bargiri[[#This Row],[شماره پیش فاکتور]],invoice[],16,0)</f>
        <v>انجمن</v>
      </c>
      <c r="K1303" s="252">
        <f>bargiri[[#This Row],[فی]]*bargiri[[#This Row],[میزان بارگیری شده]]</f>
        <v>1030210000</v>
      </c>
    </row>
    <row r="1304" spans="1:11" ht="18.600000000000001">
      <c r="A1304" s="360" t="s">
        <v>774</v>
      </c>
      <c r="B1304" s="360" t="s">
        <v>98</v>
      </c>
      <c r="C1304" s="355" t="s">
        <v>539</v>
      </c>
      <c r="D1304">
        <v>22230</v>
      </c>
      <c r="E1304" s="143">
        <v>75000</v>
      </c>
      <c r="F1304" s="117">
        <v>1404</v>
      </c>
      <c r="G1304" s="360" t="s">
        <v>302</v>
      </c>
      <c r="H1304" s="144">
        <f>bargiri[[#This Row],[میزان بارگیری شده]]*bargiri[[#This Row],[فی]]</f>
        <v>1667250000</v>
      </c>
      <c r="I1304" s="360">
        <f>IF(year=bargiri[[#This Row],[سال]],1,0)</f>
        <v>0</v>
      </c>
      <c r="J1304" s="360" t="str">
        <f>VLOOKUP(bargiri[[#This Row],[شماره پیش فاکتور]],invoice[],16,0)</f>
        <v>تعادلی</v>
      </c>
      <c r="K1304" s="252">
        <f>bargiri[[#This Row],[فی]]*bargiri[[#This Row],[میزان بارگیری شده]]</f>
        <v>1667250000</v>
      </c>
    </row>
    <row r="1305" spans="1:11" ht="18.600000000000001">
      <c r="A1305" s="360" t="s">
        <v>772</v>
      </c>
      <c r="B1305" s="360" t="s">
        <v>104</v>
      </c>
      <c r="C1305" s="355" t="s">
        <v>684</v>
      </c>
      <c r="D1305">
        <v>18580</v>
      </c>
      <c r="E1305" s="143">
        <v>167500</v>
      </c>
      <c r="F1305" s="117">
        <v>1404</v>
      </c>
      <c r="G1305" s="360" t="s">
        <v>302</v>
      </c>
      <c r="H1305" s="144">
        <f>bargiri[[#This Row],[میزان بارگیری شده]]*bargiri[[#This Row],[فی]]</f>
        <v>3112150000</v>
      </c>
      <c r="I1305" s="360">
        <f>IF(year=bargiri[[#This Row],[سال]],1,0)</f>
        <v>0</v>
      </c>
      <c r="J1305" s="360" t="str">
        <f>VLOOKUP(bargiri[[#This Row],[شماره پیش فاکتور]],invoice[],16,0)</f>
        <v>بورس</v>
      </c>
      <c r="K1305" s="252">
        <f>bargiri[[#This Row],[فی]]*bargiri[[#This Row],[میزان بارگیری شده]]</f>
        <v>3112150000</v>
      </c>
    </row>
    <row r="1306" spans="1:11" ht="18.600000000000001">
      <c r="A1306" s="360" t="s">
        <v>772</v>
      </c>
      <c r="B1306" s="360" t="s">
        <v>116</v>
      </c>
      <c r="C1306" s="355" t="s">
        <v>608</v>
      </c>
      <c r="D1306">
        <v>20015</v>
      </c>
      <c r="E1306" s="143">
        <v>95000</v>
      </c>
      <c r="F1306" s="117">
        <v>1404</v>
      </c>
      <c r="G1306" s="360" t="s">
        <v>302</v>
      </c>
      <c r="H1306" s="144">
        <f>bargiri[[#This Row],[میزان بارگیری شده]]*bargiri[[#This Row],[فی]]</f>
        <v>1901425000</v>
      </c>
      <c r="I1306" s="360">
        <f>IF(year=bargiri[[#This Row],[سال]],1,0)</f>
        <v>0</v>
      </c>
      <c r="J1306" s="360" t="str">
        <f>VLOOKUP(bargiri[[#This Row],[شماره پیش فاکتور]],invoice[],16,0)</f>
        <v>عادی</v>
      </c>
      <c r="K1306" s="252">
        <f>bargiri[[#This Row],[فی]]*bargiri[[#This Row],[میزان بارگیری شده]]</f>
        <v>1901425000</v>
      </c>
    </row>
    <row r="1307" spans="1:11" ht="18.600000000000001">
      <c r="A1307" s="360" t="s">
        <v>772</v>
      </c>
      <c r="B1307" s="360" t="s">
        <v>116</v>
      </c>
      <c r="C1307" s="355" t="s">
        <v>565</v>
      </c>
      <c r="D1307">
        <v>20060</v>
      </c>
      <c r="E1307" s="143">
        <v>142000</v>
      </c>
      <c r="F1307" s="117">
        <v>1404</v>
      </c>
      <c r="G1307" s="360" t="s">
        <v>302</v>
      </c>
      <c r="H1307" s="144">
        <f>bargiri[[#This Row],[میزان بارگیری شده]]*bargiri[[#This Row],[فی]]</f>
        <v>2848520000</v>
      </c>
      <c r="I1307" s="360">
        <f>IF(year=bargiri[[#This Row],[سال]],1,0)</f>
        <v>0</v>
      </c>
      <c r="J1307" s="360" t="str">
        <f>VLOOKUP(bargiri[[#This Row],[شماره پیش فاکتور]],invoice[],16,0)</f>
        <v>انجمن</v>
      </c>
      <c r="K1307" s="252">
        <f>bargiri[[#This Row],[فی]]*bargiri[[#This Row],[میزان بارگیری شده]]</f>
        <v>2848520000</v>
      </c>
    </row>
    <row r="1308" spans="1:11" ht="18.600000000000001">
      <c r="A1308" s="360" t="s">
        <v>773</v>
      </c>
      <c r="B1308" s="360" t="s">
        <v>101</v>
      </c>
      <c r="C1308" s="355" t="s">
        <v>542</v>
      </c>
      <c r="D1308">
        <v>20000</v>
      </c>
      <c r="E1308" s="143">
        <v>151200</v>
      </c>
      <c r="F1308" s="117">
        <v>1404</v>
      </c>
      <c r="G1308" s="360" t="s">
        <v>302</v>
      </c>
      <c r="H1308" s="144">
        <f>bargiri[[#This Row],[میزان بارگیری شده]]*bargiri[[#This Row],[فی]]</f>
        <v>3024000000</v>
      </c>
      <c r="I1308" s="360">
        <f>IF(year=bargiri[[#This Row],[سال]],1,0)</f>
        <v>0</v>
      </c>
      <c r="J1308" s="360" t="str">
        <f>VLOOKUP(bargiri[[#This Row],[شماره پیش فاکتور]],invoice[],16,0)</f>
        <v>بورس</v>
      </c>
      <c r="K1308" s="252">
        <f>bargiri[[#This Row],[فی]]*bargiri[[#This Row],[میزان بارگیری شده]]</f>
        <v>3024000000</v>
      </c>
    </row>
    <row r="1309" spans="1:11" ht="18.600000000000001">
      <c r="A1309" s="360" t="s">
        <v>773</v>
      </c>
      <c r="B1309" s="360" t="s">
        <v>102</v>
      </c>
      <c r="C1309" s="355" t="s">
        <v>24</v>
      </c>
      <c r="D1309">
        <v>11960</v>
      </c>
      <c r="E1309" s="143">
        <v>70000</v>
      </c>
      <c r="F1309" s="117">
        <v>1404</v>
      </c>
      <c r="G1309" s="360" t="s">
        <v>302</v>
      </c>
      <c r="H1309" s="144">
        <f>bargiri[[#This Row],[میزان بارگیری شده]]*bargiri[[#This Row],[فی]]</f>
        <v>837200000</v>
      </c>
      <c r="I1309" s="360">
        <f>IF(year=bargiri[[#This Row],[سال]],1,0)</f>
        <v>0</v>
      </c>
      <c r="J1309" s="360" t="str">
        <f>VLOOKUP(bargiri[[#This Row],[شماره پیش فاکتور]],invoice[],16,0)</f>
        <v>عادی</v>
      </c>
      <c r="K1309" s="252">
        <f>bargiri[[#This Row],[فی]]*bargiri[[#This Row],[میزان بارگیری شده]]</f>
        <v>837200000</v>
      </c>
    </row>
    <row r="1310" spans="1:11" ht="18.600000000000001">
      <c r="A1310" s="360" t="s">
        <v>773</v>
      </c>
      <c r="B1310" s="360" t="s">
        <v>116</v>
      </c>
      <c r="C1310" s="355" t="s">
        <v>608</v>
      </c>
      <c r="D1310">
        <v>8035</v>
      </c>
      <c r="E1310" s="143">
        <v>95000</v>
      </c>
      <c r="F1310" s="117">
        <v>1404</v>
      </c>
      <c r="G1310" s="360" t="s">
        <v>302</v>
      </c>
      <c r="H1310" s="144">
        <f>bargiri[[#This Row],[میزان بارگیری شده]]*bargiri[[#This Row],[فی]]</f>
        <v>763325000</v>
      </c>
      <c r="I1310" s="360">
        <f>IF(year=bargiri[[#This Row],[سال]],1,0)</f>
        <v>0</v>
      </c>
      <c r="J1310" s="360" t="str">
        <f>VLOOKUP(bargiri[[#This Row],[شماره پیش فاکتور]],invoice[],16,0)</f>
        <v>عادی</v>
      </c>
      <c r="K1310" s="252">
        <f>bargiri[[#This Row],[فی]]*bargiri[[#This Row],[میزان بارگیری شده]]</f>
        <v>763325000</v>
      </c>
    </row>
    <row r="1311" spans="1:11" ht="18.600000000000001">
      <c r="A1311" s="360" t="s">
        <v>770</v>
      </c>
      <c r="B1311" s="360" t="s">
        <v>102</v>
      </c>
      <c r="C1311" s="355" t="s">
        <v>24</v>
      </c>
      <c r="D1311">
        <v>11285</v>
      </c>
      <c r="E1311" s="143">
        <v>70000</v>
      </c>
      <c r="F1311" s="117">
        <v>1404</v>
      </c>
      <c r="G1311" s="360" t="s">
        <v>302</v>
      </c>
      <c r="H1311" s="144">
        <f>bargiri[[#This Row],[میزان بارگیری شده]]*bargiri[[#This Row],[فی]]</f>
        <v>789950000</v>
      </c>
      <c r="I1311" s="360">
        <f>IF(year=bargiri[[#This Row],[سال]],1,0)</f>
        <v>0</v>
      </c>
      <c r="J1311" s="360" t="str">
        <f>VLOOKUP(bargiri[[#This Row],[شماره پیش فاکتور]],invoice[],16,0)</f>
        <v>عادی</v>
      </c>
      <c r="K1311" s="252">
        <f>bargiri[[#This Row],[فی]]*bargiri[[#This Row],[میزان بارگیری شده]]</f>
        <v>789950000</v>
      </c>
    </row>
    <row r="1312" spans="1:11" ht="18.600000000000001">
      <c r="A1312" s="360" t="s">
        <v>770</v>
      </c>
      <c r="B1312" s="360" t="s">
        <v>103</v>
      </c>
      <c r="C1312" s="355" t="s">
        <v>560</v>
      </c>
      <c r="D1312">
        <v>20550</v>
      </c>
      <c r="E1312" s="143">
        <v>142000</v>
      </c>
      <c r="F1312" s="117">
        <v>1404</v>
      </c>
      <c r="G1312" s="360" t="s">
        <v>302</v>
      </c>
      <c r="H1312" s="144">
        <f>bargiri[[#This Row],[میزان بارگیری شده]]*bargiri[[#This Row],[فی]]</f>
        <v>2918100000</v>
      </c>
      <c r="I1312" s="360">
        <f>IF(year=bargiri[[#This Row],[سال]],1,0)</f>
        <v>0</v>
      </c>
      <c r="J1312" s="360" t="str">
        <f>VLOOKUP(bargiri[[#This Row],[شماره پیش فاکتور]],invoice[],16,0)</f>
        <v>انجمن</v>
      </c>
      <c r="K1312" s="252">
        <f>bargiri[[#This Row],[فی]]*bargiri[[#This Row],[میزان بارگیری شده]]</f>
        <v>2918100000</v>
      </c>
    </row>
    <row r="1313" spans="1:11" ht="18.600000000000001">
      <c r="A1313" s="360" t="s">
        <v>770</v>
      </c>
      <c r="B1313" s="360" t="s">
        <v>98</v>
      </c>
      <c r="C1313" s="355" t="s">
        <v>539</v>
      </c>
      <c r="D1313">
        <v>22145</v>
      </c>
      <c r="E1313" s="143">
        <v>75000</v>
      </c>
      <c r="F1313" s="117">
        <v>1404</v>
      </c>
      <c r="G1313" s="360" t="s">
        <v>302</v>
      </c>
      <c r="H1313" s="144">
        <f>bargiri[[#This Row],[میزان بارگیری شده]]*bargiri[[#This Row],[فی]]</f>
        <v>1660875000</v>
      </c>
      <c r="I1313" s="360">
        <f>IF(year=bargiri[[#This Row],[سال]],1,0)</f>
        <v>0</v>
      </c>
      <c r="J1313" s="360" t="str">
        <f>VLOOKUP(bargiri[[#This Row],[شماره پیش فاکتور]],invoice[],16,0)</f>
        <v>تعادلی</v>
      </c>
      <c r="K1313" s="252">
        <f>bargiri[[#This Row],[فی]]*bargiri[[#This Row],[میزان بارگیری شده]]</f>
        <v>1660875000</v>
      </c>
    </row>
    <row r="1314" spans="1:11" ht="18.600000000000001">
      <c r="A1314" s="360" t="s">
        <v>770</v>
      </c>
      <c r="B1314" s="360" t="s">
        <v>116</v>
      </c>
      <c r="C1314" s="355" t="s">
        <v>616</v>
      </c>
      <c r="D1314">
        <v>20000</v>
      </c>
      <c r="E1314" s="143">
        <v>167500</v>
      </c>
      <c r="F1314" s="117">
        <v>1404</v>
      </c>
      <c r="G1314" s="360" t="s">
        <v>302</v>
      </c>
      <c r="H1314" s="144">
        <f>bargiri[[#This Row],[میزان بارگیری شده]]*bargiri[[#This Row],[فی]]</f>
        <v>3350000000</v>
      </c>
      <c r="I1314" s="360">
        <f>IF(year=bargiri[[#This Row],[سال]],1,0)</f>
        <v>0</v>
      </c>
      <c r="J1314" s="360" t="str">
        <f>VLOOKUP(bargiri[[#This Row],[شماره پیش فاکتور]],invoice[],16,0)</f>
        <v>بورس</v>
      </c>
      <c r="K1314" s="252">
        <f>bargiri[[#This Row],[فی]]*bargiri[[#This Row],[میزان بارگیری شده]]</f>
        <v>3350000000</v>
      </c>
    </row>
    <row r="1315" spans="1:11" ht="18.600000000000001">
      <c r="A1315" s="360" t="s">
        <v>770</v>
      </c>
      <c r="B1315" s="360" t="s">
        <v>99</v>
      </c>
      <c r="C1315" s="355" t="s">
        <v>12</v>
      </c>
      <c r="D1315">
        <v>19090</v>
      </c>
      <c r="E1315" s="143">
        <v>86500</v>
      </c>
      <c r="F1315" s="117">
        <v>1404</v>
      </c>
      <c r="G1315" s="360" t="s">
        <v>302</v>
      </c>
      <c r="H1315" s="144">
        <f>bargiri[[#This Row],[میزان بارگیری شده]]*bargiri[[#This Row],[فی]]</f>
        <v>1651285000</v>
      </c>
      <c r="I1315" s="360">
        <f>IF(year=bargiri[[#This Row],[سال]],1,0)</f>
        <v>0</v>
      </c>
      <c r="J1315" s="360" t="str">
        <f>VLOOKUP(bargiri[[#This Row],[شماره پیش فاکتور]],invoice[],16,0)</f>
        <v>عادی</v>
      </c>
      <c r="K1315" s="252">
        <f>bargiri[[#This Row],[فی]]*bargiri[[#This Row],[میزان بارگیری شده]]</f>
        <v>1651285000</v>
      </c>
    </row>
    <row r="1316" spans="1:11" ht="18.600000000000001">
      <c r="A1316" s="360" t="s">
        <v>771</v>
      </c>
      <c r="B1316" s="360" t="s">
        <v>116</v>
      </c>
      <c r="C1316" s="355" t="s">
        <v>608</v>
      </c>
      <c r="D1316">
        <v>20160</v>
      </c>
      <c r="E1316" s="143">
        <v>95000</v>
      </c>
      <c r="F1316" s="117">
        <v>1404</v>
      </c>
      <c r="G1316" s="360" t="s">
        <v>302</v>
      </c>
      <c r="H1316" s="144">
        <f>bargiri[[#This Row],[میزان بارگیری شده]]*bargiri[[#This Row],[فی]]</f>
        <v>1915200000</v>
      </c>
      <c r="I1316" s="360">
        <f>IF(year=bargiri[[#This Row],[سال]],1,0)</f>
        <v>0</v>
      </c>
      <c r="J1316" s="360" t="str">
        <f>VLOOKUP(bargiri[[#This Row],[شماره پیش فاکتور]],invoice[],16,0)</f>
        <v>عادی</v>
      </c>
      <c r="K1316" s="252">
        <f>bargiri[[#This Row],[فی]]*bargiri[[#This Row],[میزان بارگیری شده]]</f>
        <v>1915200000</v>
      </c>
    </row>
    <row r="1317" spans="1:11" ht="18.600000000000001">
      <c r="A1317" s="360" t="s">
        <v>771</v>
      </c>
      <c r="B1317" s="360" t="s">
        <v>114</v>
      </c>
      <c r="C1317" s="355" t="s">
        <v>62</v>
      </c>
      <c r="D1317">
        <v>21795</v>
      </c>
      <c r="E1317" s="143">
        <v>75000</v>
      </c>
      <c r="F1317" s="117">
        <v>1404</v>
      </c>
      <c r="G1317" s="360" t="s">
        <v>302</v>
      </c>
      <c r="H1317" s="144">
        <f>bargiri[[#This Row],[میزان بارگیری شده]]*bargiri[[#This Row],[فی]]</f>
        <v>1634625000</v>
      </c>
      <c r="I1317" s="360">
        <f>IF(year=bargiri[[#This Row],[سال]],1,0)</f>
        <v>0</v>
      </c>
      <c r="J1317" s="360" t="str">
        <f>VLOOKUP(bargiri[[#This Row],[شماره پیش فاکتور]],invoice[],16,0)</f>
        <v>عادی</v>
      </c>
      <c r="K1317" s="252">
        <f>bargiri[[#This Row],[فی]]*bargiri[[#This Row],[میزان بارگیری شده]]</f>
        <v>1634625000</v>
      </c>
    </row>
    <row r="1318" spans="1:11" ht="18.600000000000001">
      <c r="A1318" s="360" t="s">
        <v>771</v>
      </c>
      <c r="B1318" s="360" t="s">
        <v>118</v>
      </c>
      <c r="C1318" s="355" t="s">
        <v>84</v>
      </c>
      <c r="D1318">
        <v>20640</v>
      </c>
      <c r="E1318" s="143">
        <v>57273</v>
      </c>
      <c r="F1318" s="117">
        <v>1404</v>
      </c>
      <c r="G1318" s="360" t="s">
        <v>302</v>
      </c>
      <c r="H1318" s="144">
        <f>bargiri[[#This Row],[میزان بارگیری شده]]*bargiri[[#This Row],[فی]]</f>
        <v>1182114720</v>
      </c>
      <c r="I1318" s="360">
        <f>IF(year=bargiri[[#This Row],[سال]],1,0)</f>
        <v>0</v>
      </c>
      <c r="J1318" s="360" t="str">
        <f>VLOOKUP(bargiri[[#This Row],[شماره پیش فاکتور]],invoice[],16,0)</f>
        <v>عادی</v>
      </c>
      <c r="K1318" s="252">
        <f>bargiri[[#This Row],[فی]]*bargiri[[#This Row],[میزان بارگیری شده]]</f>
        <v>1182114720</v>
      </c>
    </row>
    <row r="1319" spans="1:11" ht="18.600000000000001">
      <c r="A1319" s="360" t="s">
        <v>771</v>
      </c>
      <c r="B1319" s="360" t="s">
        <v>118</v>
      </c>
      <c r="C1319" s="355" t="s">
        <v>84</v>
      </c>
      <c r="D1319">
        <v>20540</v>
      </c>
      <c r="E1319" s="143">
        <v>57273</v>
      </c>
      <c r="F1319" s="117">
        <v>1404</v>
      </c>
      <c r="G1319" s="360" t="s">
        <v>302</v>
      </c>
      <c r="H1319" s="144">
        <f>bargiri[[#This Row],[میزان بارگیری شده]]*bargiri[[#This Row],[فی]]</f>
        <v>1176387420</v>
      </c>
      <c r="I1319" s="360">
        <f>IF(year=bargiri[[#This Row],[سال]],1,0)</f>
        <v>0</v>
      </c>
      <c r="J1319" s="360" t="str">
        <f>VLOOKUP(bargiri[[#This Row],[شماره پیش فاکتور]],invoice[],16,0)</f>
        <v>عادی</v>
      </c>
      <c r="K1319" s="252">
        <f>bargiri[[#This Row],[فی]]*bargiri[[#This Row],[میزان بارگیری شده]]</f>
        <v>1176387420</v>
      </c>
    </row>
    <row r="1320" spans="1:11" ht="18.600000000000001">
      <c r="A1320" s="360" t="s">
        <v>771</v>
      </c>
      <c r="B1320" s="360" t="s">
        <v>118</v>
      </c>
      <c r="C1320" s="355" t="s">
        <v>84</v>
      </c>
      <c r="D1320">
        <v>20520</v>
      </c>
      <c r="E1320" s="143">
        <v>57273</v>
      </c>
      <c r="F1320" s="117">
        <v>1404</v>
      </c>
      <c r="G1320" s="360" t="s">
        <v>302</v>
      </c>
      <c r="H1320" s="144">
        <f>bargiri[[#This Row],[میزان بارگیری شده]]*bargiri[[#This Row],[فی]]</f>
        <v>1175241960</v>
      </c>
      <c r="I1320" s="360">
        <f>IF(year=bargiri[[#This Row],[سال]],1,0)</f>
        <v>0</v>
      </c>
      <c r="J1320" s="360" t="str">
        <f>VLOOKUP(bargiri[[#This Row],[شماره پیش فاکتور]],invoice[],16,0)</f>
        <v>عادی</v>
      </c>
      <c r="K1320" s="252">
        <f>bargiri[[#This Row],[فی]]*bargiri[[#This Row],[میزان بارگیری شده]]</f>
        <v>1175241960</v>
      </c>
    </row>
    <row r="1321" spans="1:11" ht="18.600000000000001">
      <c r="A1321" s="360" t="s">
        <v>771</v>
      </c>
      <c r="B1321" s="360" t="s">
        <v>102</v>
      </c>
      <c r="C1321" s="355" t="s">
        <v>24</v>
      </c>
      <c r="D1321">
        <v>11295</v>
      </c>
      <c r="E1321" s="143">
        <v>70000</v>
      </c>
      <c r="F1321" s="117">
        <v>1404</v>
      </c>
      <c r="G1321" s="360" t="s">
        <v>302</v>
      </c>
      <c r="H1321" s="144">
        <f>bargiri[[#This Row],[میزان بارگیری شده]]*bargiri[[#This Row],[فی]]</f>
        <v>790650000</v>
      </c>
      <c r="I1321" s="360">
        <f>IF(year=bargiri[[#This Row],[سال]],1,0)</f>
        <v>0</v>
      </c>
      <c r="J1321" s="360" t="str">
        <f>VLOOKUP(bargiri[[#This Row],[شماره پیش فاکتور]],invoice[],16,0)</f>
        <v>عادی</v>
      </c>
      <c r="K1321" s="252">
        <f>bargiri[[#This Row],[فی]]*bargiri[[#This Row],[میزان بارگیری شده]]</f>
        <v>790650000</v>
      </c>
    </row>
    <row r="1322" spans="1:11" ht="18.600000000000001">
      <c r="A1322" s="360" t="s">
        <v>771</v>
      </c>
      <c r="B1322" s="360" t="s">
        <v>104</v>
      </c>
      <c r="C1322" s="355" t="s">
        <v>562</v>
      </c>
      <c r="D1322">
        <v>19045</v>
      </c>
      <c r="E1322" s="143">
        <v>142000</v>
      </c>
      <c r="F1322" s="117">
        <v>1404</v>
      </c>
      <c r="G1322" s="360" t="s">
        <v>302</v>
      </c>
      <c r="H1322" s="144">
        <f>bargiri[[#This Row],[میزان بارگیری شده]]*bargiri[[#This Row],[فی]]</f>
        <v>2704390000</v>
      </c>
      <c r="I1322" s="360">
        <f>IF(year=bargiri[[#This Row],[سال]],1,0)</f>
        <v>0</v>
      </c>
      <c r="J1322" s="360" t="str">
        <f>VLOOKUP(bargiri[[#This Row],[شماره پیش فاکتور]],invoice[],16,0)</f>
        <v>انجمن</v>
      </c>
      <c r="K1322" s="252">
        <f>bargiri[[#This Row],[فی]]*bargiri[[#This Row],[میزان بارگیری شده]]</f>
        <v>2704390000</v>
      </c>
    </row>
    <row r="1323" spans="1:11" ht="18.600000000000001">
      <c r="A1323" s="360" t="s">
        <v>771</v>
      </c>
      <c r="B1323" s="360" t="s">
        <v>125</v>
      </c>
      <c r="C1323" s="355" t="s">
        <v>570</v>
      </c>
      <c r="D1323">
        <v>14355</v>
      </c>
      <c r="E1323" s="143">
        <v>142000</v>
      </c>
      <c r="F1323" s="117">
        <v>1404</v>
      </c>
      <c r="G1323" s="360" t="s">
        <v>302</v>
      </c>
      <c r="H1323" s="144">
        <f>bargiri[[#This Row],[میزان بارگیری شده]]*bargiri[[#This Row],[فی]]</f>
        <v>2038410000</v>
      </c>
      <c r="I1323" s="360">
        <f>IF(year=bargiri[[#This Row],[سال]],1,0)</f>
        <v>0</v>
      </c>
      <c r="J1323" s="360" t="str">
        <f>VLOOKUP(bargiri[[#This Row],[شماره پیش فاکتور]],invoice[],16,0)</f>
        <v>انجمن</v>
      </c>
      <c r="K1323" s="252">
        <f>bargiri[[#This Row],[فی]]*bargiri[[#This Row],[میزان بارگیری شده]]</f>
        <v>2038410000</v>
      </c>
    </row>
    <row r="1324" spans="1:11" ht="18.600000000000001">
      <c r="A1324" s="360" t="s">
        <v>771</v>
      </c>
      <c r="B1324" s="360" t="s">
        <v>122</v>
      </c>
      <c r="C1324" s="355" t="s">
        <v>568</v>
      </c>
      <c r="D1324">
        <v>22020</v>
      </c>
      <c r="E1324" s="143">
        <v>142000</v>
      </c>
      <c r="F1324" s="117">
        <v>1404</v>
      </c>
      <c r="G1324" s="360" t="s">
        <v>302</v>
      </c>
      <c r="H1324" s="144">
        <f>bargiri[[#This Row],[میزان بارگیری شده]]*bargiri[[#This Row],[فی]]</f>
        <v>3126840000</v>
      </c>
      <c r="I1324" s="360">
        <f>IF(year=bargiri[[#This Row],[سال]],1,0)</f>
        <v>0</v>
      </c>
      <c r="J1324" s="360" t="str">
        <f>VLOOKUP(bargiri[[#This Row],[شماره پیش فاکتور]],invoice[],16,0)</f>
        <v>انجمن</v>
      </c>
      <c r="K1324" s="252">
        <f>bargiri[[#This Row],[فی]]*bargiri[[#This Row],[میزان بارگیری شده]]</f>
        <v>3126840000</v>
      </c>
    </row>
    <row r="1325" spans="1:11" ht="18.600000000000001">
      <c r="A1325" s="360" t="s">
        <v>768</v>
      </c>
      <c r="B1325" s="360" t="s">
        <v>116</v>
      </c>
      <c r="C1325" s="355" t="s">
        <v>565</v>
      </c>
      <c r="D1325">
        <v>20035</v>
      </c>
      <c r="E1325" s="143">
        <v>142000</v>
      </c>
      <c r="F1325" s="117">
        <v>1404</v>
      </c>
      <c r="G1325" s="360" t="s">
        <v>302</v>
      </c>
      <c r="H1325" s="144">
        <f>bargiri[[#This Row],[میزان بارگیری شده]]*bargiri[[#This Row],[فی]]</f>
        <v>2844970000</v>
      </c>
      <c r="I1325" s="360">
        <f>IF(year=bargiri[[#This Row],[سال]],1,0)</f>
        <v>0</v>
      </c>
      <c r="J1325" s="360" t="str">
        <f>VLOOKUP(bargiri[[#This Row],[شماره پیش فاکتور]],invoice[],16,0)</f>
        <v>انجمن</v>
      </c>
      <c r="K1325" s="252">
        <f>bargiri[[#This Row],[فی]]*bargiri[[#This Row],[میزان بارگیری شده]]</f>
        <v>2844970000</v>
      </c>
    </row>
    <row r="1326" spans="1:11" ht="18.600000000000001">
      <c r="A1326" s="360" t="s">
        <v>768</v>
      </c>
      <c r="B1326" s="360" t="s">
        <v>106</v>
      </c>
      <c r="C1326" s="355" t="s">
        <v>44</v>
      </c>
      <c r="D1326">
        <v>22225</v>
      </c>
      <c r="E1326" s="143">
        <v>80000</v>
      </c>
      <c r="F1326" s="117">
        <v>1404</v>
      </c>
      <c r="G1326" s="360" t="s">
        <v>302</v>
      </c>
      <c r="H1326" s="144">
        <f>bargiri[[#This Row],[میزان بارگیری شده]]*bargiri[[#This Row],[فی]]</f>
        <v>1778000000</v>
      </c>
      <c r="I1326" s="360">
        <f>IF(year=bargiri[[#This Row],[سال]],1,0)</f>
        <v>0</v>
      </c>
      <c r="J1326" s="360" t="str">
        <f>VLOOKUP(bargiri[[#This Row],[شماره پیش فاکتور]],invoice[],16,0)</f>
        <v>عادی</v>
      </c>
      <c r="K1326" s="252">
        <f>bargiri[[#This Row],[فی]]*bargiri[[#This Row],[میزان بارگیری شده]]</f>
        <v>1778000000</v>
      </c>
    </row>
    <row r="1327" spans="1:11" ht="18.600000000000001">
      <c r="A1327" s="360" t="s">
        <v>768</v>
      </c>
      <c r="B1327" s="360" t="s">
        <v>118</v>
      </c>
      <c r="C1327" s="355" t="s">
        <v>84</v>
      </c>
      <c r="D1327">
        <v>20705</v>
      </c>
      <c r="E1327" s="143">
        <v>57273</v>
      </c>
      <c r="F1327" s="117">
        <v>1404</v>
      </c>
      <c r="G1327" s="360" t="s">
        <v>302</v>
      </c>
      <c r="H1327" s="144">
        <f>bargiri[[#This Row],[میزان بارگیری شده]]*bargiri[[#This Row],[فی]]</f>
        <v>1185837465</v>
      </c>
      <c r="I1327" s="360">
        <f>IF(year=bargiri[[#This Row],[سال]],1,0)</f>
        <v>0</v>
      </c>
      <c r="J1327" s="360" t="str">
        <f>VLOOKUP(bargiri[[#This Row],[شماره پیش فاکتور]],invoice[],16,0)</f>
        <v>عادی</v>
      </c>
      <c r="K1327" s="252">
        <f>bargiri[[#This Row],[فی]]*bargiri[[#This Row],[میزان بارگیری شده]]</f>
        <v>1185837465</v>
      </c>
    </row>
    <row r="1328" spans="1:11" ht="18.600000000000001">
      <c r="A1328" s="360" t="s">
        <v>768</v>
      </c>
      <c r="B1328" s="360" t="s">
        <v>118</v>
      </c>
      <c r="C1328" s="355" t="s">
        <v>84</v>
      </c>
      <c r="D1328">
        <v>20690</v>
      </c>
      <c r="E1328" s="143">
        <v>57273</v>
      </c>
      <c r="F1328" s="117">
        <v>1404</v>
      </c>
      <c r="G1328" s="360" t="s">
        <v>302</v>
      </c>
      <c r="H1328" s="144">
        <f>bargiri[[#This Row],[میزان بارگیری شده]]*bargiri[[#This Row],[فی]]</f>
        <v>1184978370</v>
      </c>
      <c r="I1328" s="360">
        <f>IF(year=bargiri[[#This Row],[سال]],1,0)</f>
        <v>0</v>
      </c>
      <c r="J1328" s="360" t="str">
        <f>VLOOKUP(bargiri[[#This Row],[شماره پیش فاکتور]],invoice[],16,0)</f>
        <v>عادی</v>
      </c>
      <c r="K1328" s="252">
        <f>bargiri[[#This Row],[فی]]*bargiri[[#This Row],[میزان بارگیری شده]]</f>
        <v>1184978370</v>
      </c>
    </row>
    <row r="1329" spans="1:11" ht="18.600000000000001">
      <c r="A1329" s="360" t="s">
        <v>769</v>
      </c>
      <c r="B1329" s="360" t="s">
        <v>101</v>
      </c>
      <c r="C1329" s="355" t="s">
        <v>558</v>
      </c>
      <c r="D1329">
        <v>20225</v>
      </c>
      <c r="E1329" s="143">
        <v>142000</v>
      </c>
      <c r="F1329" s="117">
        <v>1404</v>
      </c>
      <c r="G1329" s="360" t="s">
        <v>302</v>
      </c>
      <c r="H1329" s="144">
        <f>bargiri[[#This Row],[میزان بارگیری شده]]*bargiri[[#This Row],[فی]]</f>
        <v>2871950000</v>
      </c>
      <c r="I1329" s="360">
        <f>IF(year=bargiri[[#This Row],[سال]],1,0)</f>
        <v>0</v>
      </c>
      <c r="J1329" s="360" t="str">
        <f>VLOOKUP(bargiri[[#This Row],[شماره پیش فاکتور]],invoice[],16,0)</f>
        <v>انجمن</v>
      </c>
      <c r="K1329" s="252">
        <f>bargiri[[#This Row],[فی]]*bargiri[[#This Row],[میزان بارگیری شده]]</f>
        <v>2871950000</v>
      </c>
    </row>
    <row r="1330" spans="1:11" ht="18.600000000000001">
      <c r="A1330" s="360" t="s">
        <v>769</v>
      </c>
      <c r="B1330" s="360" t="s">
        <v>123</v>
      </c>
      <c r="C1330" s="355" t="s">
        <v>569</v>
      </c>
      <c r="D1330">
        <v>7750</v>
      </c>
      <c r="E1330" s="143">
        <v>142000</v>
      </c>
      <c r="F1330" s="117">
        <v>1404</v>
      </c>
      <c r="G1330" s="360" t="s">
        <v>302</v>
      </c>
      <c r="H1330" s="144">
        <f>bargiri[[#This Row],[میزان بارگیری شده]]*bargiri[[#This Row],[فی]]</f>
        <v>1100500000</v>
      </c>
      <c r="I1330" s="360">
        <f>IF(year=bargiri[[#This Row],[سال]],1,0)</f>
        <v>0</v>
      </c>
      <c r="J1330" s="360" t="str">
        <f>VLOOKUP(bargiri[[#This Row],[شماره پیش فاکتور]],invoice[],16,0)</f>
        <v>انجمن</v>
      </c>
      <c r="K1330" s="252">
        <f>bargiri[[#This Row],[فی]]*bargiri[[#This Row],[میزان بارگیری شده]]</f>
        <v>1100500000</v>
      </c>
    </row>
    <row r="1331" spans="1:11" ht="18.600000000000001">
      <c r="A1331" s="360" t="s">
        <v>766</v>
      </c>
      <c r="B1331" s="360" t="s">
        <v>122</v>
      </c>
      <c r="C1331" s="355" t="s">
        <v>568</v>
      </c>
      <c r="D1331">
        <v>22110</v>
      </c>
      <c r="E1331" s="143">
        <v>142000</v>
      </c>
      <c r="F1331" s="117">
        <v>1404</v>
      </c>
      <c r="G1331" s="360" t="s">
        <v>302</v>
      </c>
      <c r="H1331" s="144">
        <f>bargiri[[#This Row],[میزان بارگیری شده]]*bargiri[[#This Row],[فی]]</f>
        <v>3139620000</v>
      </c>
      <c r="I1331" s="360">
        <f>IF(year=bargiri[[#This Row],[سال]],1,0)</f>
        <v>0</v>
      </c>
      <c r="J1331" s="360" t="str">
        <f>VLOOKUP(bargiri[[#This Row],[شماره پیش فاکتور]],invoice[],16,0)</f>
        <v>انجمن</v>
      </c>
      <c r="K1331" s="252">
        <f>bargiri[[#This Row],[فی]]*bargiri[[#This Row],[میزان بارگیری شده]]</f>
        <v>3139620000</v>
      </c>
    </row>
    <row r="1332" spans="1:11" ht="18.600000000000001">
      <c r="A1332" s="360" t="s">
        <v>766</v>
      </c>
      <c r="B1332" s="360" t="s">
        <v>117</v>
      </c>
      <c r="C1332" s="355" t="s">
        <v>748</v>
      </c>
      <c r="D1332">
        <v>11115</v>
      </c>
      <c r="E1332" s="143">
        <v>167500</v>
      </c>
      <c r="F1332" s="117">
        <v>1404</v>
      </c>
      <c r="G1332" s="360" t="s">
        <v>302</v>
      </c>
      <c r="H1332" s="144">
        <f>bargiri[[#This Row],[میزان بارگیری شده]]*bargiri[[#This Row],[فی]]</f>
        <v>1861762500</v>
      </c>
      <c r="I1332" s="360">
        <f>IF(year=bargiri[[#This Row],[سال]],1,0)</f>
        <v>0</v>
      </c>
      <c r="J1332" s="360" t="str">
        <f>VLOOKUP(bargiri[[#This Row],[شماره پیش فاکتور]],invoice[],16,0)</f>
        <v>بورس</v>
      </c>
      <c r="K1332" s="252">
        <f>bargiri[[#This Row],[فی]]*bargiri[[#This Row],[میزان بارگیری شده]]</f>
        <v>1861762500</v>
      </c>
    </row>
    <row r="1333" spans="1:11" ht="18.600000000000001">
      <c r="A1333" s="360" t="s">
        <v>766</v>
      </c>
      <c r="B1333" s="360" t="s">
        <v>117</v>
      </c>
      <c r="C1333" s="355" t="s">
        <v>566</v>
      </c>
      <c r="D1333">
        <v>9005</v>
      </c>
      <c r="E1333" s="143">
        <v>142000</v>
      </c>
      <c r="F1333" s="117">
        <v>1404</v>
      </c>
      <c r="G1333" s="360" t="s">
        <v>302</v>
      </c>
      <c r="H1333" s="144">
        <f>bargiri[[#This Row],[میزان بارگیری شده]]*bargiri[[#This Row],[فی]]</f>
        <v>1278710000</v>
      </c>
      <c r="I1333" s="360">
        <f>IF(year=bargiri[[#This Row],[سال]],1,0)</f>
        <v>0</v>
      </c>
      <c r="J1333" s="360" t="str">
        <f>VLOOKUP(bargiri[[#This Row],[شماره پیش فاکتور]],invoice[],16,0)</f>
        <v>انجمن</v>
      </c>
      <c r="K1333" s="252">
        <f>bargiri[[#This Row],[فی]]*bargiri[[#This Row],[میزان بارگیری شده]]</f>
        <v>1278710000</v>
      </c>
    </row>
    <row r="1334" spans="1:11" ht="18.600000000000001">
      <c r="A1334" s="360" t="s">
        <v>767</v>
      </c>
      <c r="B1334" s="360" t="s">
        <v>103</v>
      </c>
      <c r="C1334" s="355" t="s">
        <v>560</v>
      </c>
      <c r="D1334">
        <v>7165</v>
      </c>
      <c r="E1334" s="143">
        <v>142000</v>
      </c>
      <c r="F1334" s="117">
        <v>1404</v>
      </c>
      <c r="G1334" s="360" t="s">
        <v>302</v>
      </c>
      <c r="H1334" s="144">
        <f>bargiri[[#This Row],[میزان بارگیری شده]]*bargiri[[#This Row],[فی]]</f>
        <v>1017430000</v>
      </c>
      <c r="I1334" s="360">
        <f>IF(year=bargiri[[#This Row],[سال]],1,0)</f>
        <v>0</v>
      </c>
      <c r="J1334" s="360" t="str">
        <f>VLOOKUP(bargiri[[#This Row],[شماره پیش فاکتور]],invoice[],16,0)</f>
        <v>انجمن</v>
      </c>
      <c r="K1334" s="252">
        <f>bargiri[[#This Row],[فی]]*bargiri[[#This Row],[میزان بارگیری شده]]</f>
        <v>1017430000</v>
      </c>
    </row>
    <row r="1335" spans="1:11" ht="18.600000000000001">
      <c r="A1335" s="360" t="s">
        <v>763</v>
      </c>
      <c r="B1335" s="360" t="s">
        <v>103</v>
      </c>
      <c r="C1335" s="355" t="s">
        <v>560</v>
      </c>
      <c r="D1335">
        <v>7520</v>
      </c>
      <c r="E1335" s="143">
        <v>142000</v>
      </c>
      <c r="F1335" s="117">
        <v>1404</v>
      </c>
      <c r="G1335" s="360" t="s">
        <v>302</v>
      </c>
      <c r="H1335" s="144">
        <f>bargiri[[#This Row],[میزان بارگیری شده]]*bargiri[[#This Row],[فی]]</f>
        <v>1067840000</v>
      </c>
      <c r="I1335" s="360">
        <f>IF(year=bargiri[[#This Row],[سال]],1,0)</f>
        <v>0</v>
      </c>
      <c r="J1335" s="360" t="str">
        <f>VLOOKUP(bargiri[[#This Row],[شماره پیش فاکتور]],invoice[],16,0)</f>
        <v>انجمن</v>
      </c>
      <c r="K1335" s="252">
        <f>bargiri[[#This Row],[فی]]*bargiri[[#This Row],[میزان بارگیری شده]]</f>
        <v>1067840000</v>
      </c>
    </row>
    <row r="1336" spans="1:11" ht="18.600000000000001">
      <c r="A1336" s="360" t="s">
        <v>763</v>
      </c>
      <c r="B1336" s="360" t="s">
        <v>121</v>
      </c>
      <c r="C1336" s="355" t="s">
        <v>567</v>
      </c>
      <c r="D1336">
        <v>18180</v>
      </c>
      <c r="E1336" s="143">
        <v>142000</v>
      </c>
      <c r="F1336" s="117">
        <v>1404</v>
      </c>
      <c r="G1336" s="360" t="s">
        <v>302</v>
      </c>
      <c r="H1336" s="144">
        <f>bargiri[[#This Row],[میزان بارگیری شده]]*bargiri[[#This Row],[فی]]</f>
        <v>2581560000</v>
      </c>
      <c r="I1336" s="360">
        <f>IF(year=bargiri[[#This Row],[سال]],1,0)</f>
        <v>0</v>
      </c>
      <c r="J1336" s="360" t="str">
        <f>VLOOKUP(bargiri[[#This Row],[شماره پیش فاکتور]],invoice[],16,0)</f>
        <v>انجمن</v>
      </c>
      <c r="K1336" s="252">
        <f>bargiri[[#This Row],[فی]]*bargiri[[#This Row],[میزان بارگیری شده]]</f>
        <v>2581560000</v>
      </c>
    </row>
    <row r="1337" spans="1:11" ht="18.600000000000001">
      <c r="A1337" s="360" t="s">
        <v>763</v>
      </c>
      <c r="B1337" s="360" t="s">
        <v>118</v>
      </c>
      <c r="C1337" s="355" t="s">
        <v>84</v>
      </c>
      <c r="D1337">
        <v>20385</v>
      </c>
      <c r="E1337" s="143">
        <v>57273</v>
      </c>
      <c r="F1337" s="117">
        <v>1404</v>
      </c>
      <c r="G1337" s="360" t="s">
        <v>302</v>
      </c>
      <c r="H1337" s="144">
        <f>bargiri[[#This Row],[میزان بارگیری شده]]*bargiri[[#This Row],[فی]]</f>
        <v>1167510105</v>
      </c>
      <c r="I1337" s="360">
        <f>IF(year=bargiri[[#This Row],[سال]],1,0)</f>
        <v>0</v>
      </c>
      <c r="J1337" s="360" t="str">
        <f>VLOOKUP(bargiri[[#This Row],[شماره پیش فاکتور]],invoice[],16,0)</f>
        <v>عادی</v>
      </c>
      <c r="K1337" s="252">
        <f>bargiri[[#This Row],[فی]]*bargiri[[#This Row],[میزان بارگیری شده]]</f>
        <v>1167510105</v>
      </c>
    </row>
    <row r="1338" spans="1:11" ht="18.600000000000001">
      <c r="A1338" s="360" t="s">
        <v>763</v>
      </c>
      <c r="B1338" s="360" t="s">
        <v>116</v>
      </c>
      <c r="C1338" s="355" t="s">
        <v>608</v>
      </c>
      <c r="D1338">
        <v>18950</v>
      </c>
      <c r="E1338" s="143">
        <v>95000</v>
      </c>
      <c r="F1338" s="117">
        <v>1404</v>
      </c>
      <c r="G1338" s="360" t="s">
        <v>302</v>
      </c>
      <c r="H1338" s="144">
        <f>bargiri[[#This Row],[میزان بارگیری شده]]*bargiri[[#This Row],[فی]]</f>
        <v>1800250000</v>
      </c>
      <c r="I1338" s="360">
        <f>IF(year=bargiri[[#This Row],[سال]],1,0)</f>
        <v>0</v>
      </c>
      <c r="J1338" s="360" t="str">
        <f>VLOOKUP(bargiri[[#This Row],[شماره پیش فاکتور]],invoice[],16,0)</f>
        <v>عادی</v>
      </c>
      <c r="K1338" s="252">
        <f>bargiri[[#This Row],[فی]]*bargiri[[#This Row],[میزان بارگیری شده]]</f>
        <v>1800250000</v>
      </c>
    </row>
    <row r="1339" spans="1:11" ht="18.600000000000001">
      <c r="A1339" s="360" t="s">
        <v>764</v>
      </c>
      <c r="B1339" s="360" t="s">
        <v>114</v>
      </c>
      <c r="C1339" s="355" t="s">
        <v>62</v>
      </c>
      <c r="D1339">
        <v>22085</v>
      </c>
      <c r="E1339" s="143">
        <v>75000</v>
      </c>
      <c r="F1339" s="117">
        <v>1404</v>
      </c>
      <c r="G1339" s="360" t="s">
        <v>302</v>
      </c>
      <c r="H1339" s="144">
        <f>bargiri[[#This Row],[میزان بارگیری شده]]*bargiri[[#This Row],[فی]]</f>
        <v>1656375000</v>
      </c>
      <c r="I1339" s="360">
        <f>IF(year=bargiri[[#This Row],[سال]],1,0)</f>
        <v>0</v>
      </c>
      <c r="J1339" s="360" t="str">
        <f>VLOOKUP(bargiri[[#This Row],[شماره پیش فاکتور]],invoice[],16,0)</f>
        <v>عادی</v>
      </c>
      <c r="K1339" s="252">
        <f>bargiri[[#This Row],[فی]]*bargiri[[#This Row],[میزان بارگیری شده]]</f>
        <v>1656375000</v>
      </c>
    </row>
    <row r="1340" spans="1:11" ht="18.600000000000001">
      <c r="A1340" s="360" t="s">
        <v>764</v>
      </c>
      <c r="B1340" s="360" t="s">
        <v>117</v>
      </c>
      <c r="C1340" s="355" t="s">
        <v>720</v>
      </c>
      <c r="D1340">
        <v>1095</v>
      </c>
      <c r="E1340" s="143">
        <v>167500</v>
      </c>
      <c r="F1340" s="117">
        <v>1404</v>
      </c>
      <c r="G1340" s="360" t="s">
        <v>302</v>
      </c>
      <c r="H1340" s="144">
        <f>bargiri[[#This Row],[میزان بارگیری شده]]*bargiri[[#This Row],[فی]]</f>
        <v>183412500</v>
      </c>
      <c r="I1340" s="360">
        <f>IF(year=bargiri[[#This Row],[سال]],1,0)</f>
        <v>0</v>
      </c>
      <c r="J1340" s="360" t="str">
        <f>VLOOKUP(bargiri[[#This Row],[شماره پیش فاکتور]],invoice[],16,0)</f>
        <v>بورس</v>
      </c>
      <c r="K1340" s="252">
        <f>bargiri[[#This Row],[فی]]*bargiri[[#This Row],[میزان بارگیری شده]]</f>
        <v>183412500</v>
      </c>
    </row>
    <row r="1341" spans="1:11" ht="18.600000000000001">
      <c r="A1341" s="360" t="s">
        <v>764</v>
      </c>
      <c r="B1341" s="360" t="s">
        <v>117</v>
      </c>
      <c r="C1341" s="355" t="s">
        <v>748</v>
      </c>
      <c r="D1341">
        <v>18885</v>
      </c>
      <c r="E1341" s="143">
        <v>167500</v>
      </c>
      <c r="F1341" s="117">
        <v>1404</v>
      </c>
      <c r="G1341" s="360" t="s">
        <v>302</v>
      </c>
      <c r="H1341" s="144">
        <f>bargiri[[#This Row],[میزان بارگیری شده]]*bargiri[[#This Row],[فی]]</f>
        <v>3163237500</v>
      </c>
      <c r="I1341" s="360">
        <f>IF(year=bargiri[[#This Row],[سال]],1,0)</f>
        <v>0</v>
      </c>
      <c r="J1341" s="360" t="str">
        <f>VLOOKUP(bargiri[[#This Row],[شماره پیش فاکتور]],invoice[],16,0)</f>
        <v>بورس</v>
      </c>
      <c r="K1341" s="252">
        <f>bargiri[[#This Row],[فی]]*bargiri[[#This Row],[میزان بارگیری شده]]</f>
        <v>3163237500</v>
      </c>
    </row>
    <row r="1342" spans="1:11" ht="18.600000000000001">
      <c r="A1342" s="360" t="s">
        <v>765</v>
      </c>
      <c r="B1342" s="360" t="s">
        <v>116</v>
      </c>
      <c r="C1342" s="355" t="s">
        <v>565</v>
      </c>
      <c r="D1342">
        <v>19985</v>
      </c>
      <c r="E1342" s="143">
        <v>142000</v>
      </c>
      <c r="F1342" s="117">
        <v>1404</v>
      </c>
      <c r="G1342" s="360" t="s">
        <v>302</v>
      </c>
      <c r="H1342" s="144">
        <f>bargiri[[#This Row],[میزان بارگیری شده]]*bargiri[[#This Row],[فی]]</f>
        <v>2837870000</v>
      </c>
      <c r="I1342" s="360">
        <f>IF(year=bargiri[[#This Row],[سال]],1,0)</f>
        <v>0</v>
      </c>
      <c r="J1342" s="360" t="str">
        <f>VLOOKUP(bargiri[[#This Row],[شماره پیش فاکتور]],invoice[],16,0)</f>
        <v>انجمن</v>
      </c>
      <c r="K1342" s="252">
        <f>bargiri[[#This Row],[فی]]*bargiri[[#This Row],[میزان بارگیری شده]]</f>
        <v>2837870000</v>
      </c>
    </row>
    <row r="1343" spans="1:11" ht="18.600000000000001">
      <c r="A1343" s="360" t="s">
        <v>765</v>
      </c>
      <c r="B1343" s="360" t="s">
        <v>109</v>
      </c>
      <c r="C1343" s="355" t="s">
        <v>563</v>
      </c>
      <c r="D1343">
        <v>7220</v>
      </c>
      <c r="E1343" s="143">
        <v>142000</v>
      </c>
      <c r="F1343" s="117">
        <v>1404</v>
      </c>
      <c r="G1343" s="360" t="s">
        <v>302</v>
      </c>
      <c r="H1343" s="144">
        <f>bargiri[[#This Row],[میزان بارگیری شده]]*bargiri[[#This Row],[فی]]</f>
        <v>1025240000</v>
      </c>
      <c r="I1343" s="360">
        <f>IF(year=bargiri[[#This Row],[سال]],1,0)</f>
        <v>0</v>
      </c>
      <c r="J1343" s="360" t="str">
        <f>VLOOKUP(bargiri[[#This Row],[شماره پیش فاکتور]],invoice[],16,0)</f>
        <v>انجمن</v>
      </c>
      <c r="K1343" s="252">
        <f>bargiri[[#This Row],[فی]]*bargiri[[#This Row],[میزان بارگیری شده]]</f>
        <v>1025240000</v>
      </c>
    </row>
    <row r="1344" spans="1:11" ht="18.600000000000001">
      <c r="A1344" s="360" t="s">
        <v>765</v>
      </c>
      <c r="B1344" s="360" t="s">
        <v>102</v>
      </c>
      <c r="C1344" s="355" t="s">
        <v>24</v>
      </c>
      <c r="D1344">
        <v>11935</v>
      </c>
      <c r="E1344" s="143">
        <v>70000</v>
      </c>
      <c r="F1344" s="117">
        <v>1404</v>
      </c>
      <c r="G1344" s="360" t="s">
        <v>302</v>
      </c>
      <c r="H1344" s="144">
        <f>bargiri[[#This Row],[میزان بارگیری شده]]*bargiri[[#This Row],[فی]]</f>
        <v>835450000</v>
      </c>
      <c r="I1344" s="360">
        <f>IF(year=bargiri[[#This Row],[سال]],1,0)</f>
        <v>0</v>
      </c>
      <c r="J1344" s="360" t="str">
        <f>VLOOKUP(bargiri[[#This Row],[شماره پیش فاکتور]],invoice[],16,0)</f>
        <v>عادی</v>
      </c>
      <c r="K1344" s="252">
        <f>bargiri[[#This Row],[فی]]*bargiri[[#This Row],[میزان بارگیری شده]]</f>
        <v>835450000</v>
      </c>
    </row>
    <row r="1345" spans="1:11" ht="18.600000000000001">
      <c r="A1345" s="360" t="s">
        <v>765</v>
      </c>
      <c r="B1345" s="360" t="s">
        <v>118</v>
      </c>
      <c r="C1345" s="355" t="s">
        <v>84</v>
      </c>
      <c r="D1345">
        <v>20735</v>
      </c>
      <c r="E1345" s="143">
        <v>57273</v>
      </c>
      <c r="F1345" s="117">
        <v>1404</v>
      </c>
      <c r="G1345" s="360" t="s">
        <v>302</v>
      </c>
      <c r="H1345" s="144">
        <f>bargiri[[#This Row],[میزان بارگیری شده]]*bargiri[[#This Row],[فی]]</f>
        <v>1187555655</v>
      </c>
      <c r="I1345" s="360">
        <f>IF(year=bargiri[[#This Row],[سال]],1,0)</f>
        <v>0</v>
      </c>
      <c r="J1345" s="360" t="str">
        <f>VLOOKUP(bargiri[[#This Row],[شماره پیش فاکتور]],invoice[],16,0)</f>
        <v>عادی</v>
      </c>
      <c r="K1345" s="252">
        <f>bargiri[[#This Row],[فی]]*bargiri[[#This Row],[میزان بارگیری شده]]</f>
        <v>1187555655</v>
      </c>
    </row>
    <row r="1346" spans="1:11" ht="18.600000000000001">
      <c r="A1346" s="360" t="s">
        <v>765</v>
      </c>
      <c r="B1346" s="360" t="s">
        <v>118</v>
      </c>
      <c r="C1346" s="355" t="s">
        <v>84</v>
      </c>
      <c r="D1346">
        <v>20590</v>
      </c>
      <c r="E1346" s="143">
        <v>57273</v>
      </c>
      <c r="F1346" s="117">
        <v>1404</v>
      </c>
      <c r="G1346" s="360" t="s">
        <v>302</v>
      </c>
      <c r="H1346" s="144">
        <f>bargiri[[#This Row],[میزان بارگیری شده]]*bargiri[[#This Row],[فی]]</f>
        <v>1179251070</v>
      </c>
      <c r="I1346" s="360">
        <f>IF(year=bargiri[[#This Row],[سال]],1,0)</f>
        <v>0</v>
      </c>
      <c r="J1346" s="360" t="str">
        <f>VLOOKUP(bargiri[[#This Row],[شماره پیش فاکتور]],invoice[],16,0)</f>
        <v>عادی</v>
      </c>
      <c r="K1346" s="252">
        <f>bargiri[[#This Row],[فی]]*bargiri[[#This Row],[میزان بارگیری شده]]</f>
        <v>1179251070</v>
      </c>
    </row>
    <row r="1347" spans="1:11" ht="18.600000000000001">
      <c r="A1347" s="360" t="s">
        <v>765</v>
      </c>
      <c r="B1347" s="360" t="s">
        <v>98</v>
      </c>
      <c r="C1347" s="355" t="s">
        <v>539</v>
      </c>
      <c r="D1347">
        <v>22260</v>
      </c>
      <c r="E1347" s="143">
        <v>75000</v>
      </c>
      <c r="F1347" s="117">
        <v>1404</v>
      </c>
      <c r="G1347" s="360" t="s">
        <v>302</v>
      </c>
      <c r="H1347" s="144">
        <f>bargiri[[#This Row],[میزان بارگیری شده]]*bargiri[[#This Row],[فی]]</f>
        <v>1669500000</v>
      </c>
      <c r="I1347" s="360">
        <f>IF(year=bargiri[[#This Row],[سال]],1,0)</f>
        <v>0</v>
      </c>
      <c r="J1347" s="360" t="str">
        <f>VLOOKUP(bargiri[[#This Row],[شماره پیش فاکتور]],invoice[],16,0)</f>
        <v>تعادلی</v>
      </c>
      <c r="K1347" s="252">
        <f>bargiri[[#This Row],[فی]]*bargiri[[#This Row],[میزان بارگیری شده]]</f>
        <v>1669500000</v>
      </c>
    </row>
    <row r="1348" spans="1:11" ht="18.600000000000001">
      <c r="A1348" s="360" t="s">
        <v>761</v>
      </c>
      <c r="B1348" s="360" t="s">
        <v>105</v>
      </c>
      <c r="C1348" s="355" t="s">
        <v>553</v>
      </c>
      <c r="D1348">
        <v>18965</v>
      </c>
      <c r="E1348" s="143">
        <v>142000</v>
      </c>
      <c r="F1348" s="117">
        <v>1404</v>
      </c>
      <c r="G1348" s="360" t="s">
        <v>302</v>
      </c>
      <c r="H1348" s="144">
        <f>bargiri[[#This Row],[میزان بارگیری شده]]*bargiri[[#This Row],[فی]]</f>
        <v>2693030000</v>
      </c>
      <c r="I1348" s="360">
        <f>IF(year=bargiri[[#This Row],[سال]],1,0)</f>
        <v>0</v>
      </c>
      <c r="J1348" s="360" t="str">
        <f>VLOOKUP(bargiri[[#This Row],[شماره پیش فاکتور]],invoice[],16,0)</f>
        <v>انجمن</v>
      </c>
      <c r="K1348" s="252">
        <f>bargiri[[#This Row],[فی]]*bargiri[[#This Row],[میزان بارگیری شده]]</f>
        <v>2693030000</v>
      </c>
    </row>
    <row r="1349" spans="1:11" ht="18.600000000000001">
      <c r="A1349" s="360" t="s">
        <v>761</v>
      </c>
      <c r="B1349" s="360" t="s">
        <v>118</v>
      </c>
      <c r="C1349" s="355" t="s">
        <v>84</v>
      </c>
      <c r="D1349">
        <v>20280</v>
      </c>
      <c r="E1349" s="143">
        <v>57273</v>
      </c>
      <c r="F1349" s="117">
        <v>1404</v>
      </c>
      <c r="G1349" s="360" t="s">
        <v>302</v>
      </c>
      <c r="H1349" s="144">
        <f>bargiri[[#This Row],[میزان بارگیری شده]]*bargiri[[#This Row],[فی]]</f>
        <v>1161496440</v>
      </c>
      <c r="I1349" s="360">
        <f>IF(year=bargiri[[#This Row],[سال]],1,0)</f>
        <v>0</v>
      </c>
      <c r="J1349" s="360" t="str">
        <f>VLOOKUP(bargiri[[#This Row],[شماره پیش فاکتور]],invoice[],16,0)</f>
        <v>عادی</v>
      </c>
      <c r="K1349" s="252">
        <f>bargiri[[#This Row],[فی]]*bargiri[[#This Row],[میزان بارگیری شده]]</f>
        <v>1161496440</v>
      </c>
    </row>
    <row r="1350" spans="1:11" ht="18.600000000000001">
      <c r="A1350" s="360" t="s">
        <v>761</v>
      </c>
      <c r="B1350" s="360" t="s">
        <v>118</v>
      </c>
      <c r="C1350" s="355" t="s">
        <v>84</v>
      </c>
      <c r="D1350">
        <v>19775</v>
      </c>
      <c r="E1350" s="143">
        <v>57273</v>
      </c>
      <c r="F1350" s="117">
        <v>1404</v>
      </c>
      <c r="G1350" s="360" t="s">
        <v>302</v>
      </c>
      <c r="H1350" s="144">
        <f>bargiri[[#This Row],[میزان بارگیری شده]]*bargiri[[#This Row],[فی]]</f>
        <v>1132573575</v>
      </c>
      <c r="I1350" s="360">
        <f>IF(year=bargiri[[#This Row],[سال]],1,0)</f>
        <v>0</v>
      </c>
      <c r="J1350" s="360" t="str">
        <f>VLOOKUP(bargiri[[#This Row],[شماره پیش فاکتور]],invoice[],16,0)</f>
        <v>عادی</v>
      </c>
      <c r="K1350" s="252">
        <f>bargiri[[#This Row],[فی]]*bargiri[[#This Row],[میزان بارگیری شده]]</f>
        <v>1132573575</v>
      </c>
    </row>
    <row r="1351" spans="1:11" ht="18.600000000000001">
      <c r="A1351" s="360" t="s">
        <v>761</v>
      </c>
      <c r="B1351" s="360" t="s">
        <v>99</v>
      </c>
      <c r="C1351" s="355" t="s">
        <v>12</v>
      </c>
      <c r="D1351">
        <v>19120</v>
      </c>
      <c r="E1351" s="143">
        <v>86500</v>
      </c>
      <c r="F1351" s="117">
        <v>1404</v>
      </c>
      <c r="G1351" s="360" t="s">
        <v>302</v>
      </c>
      <c r="H1351" s="144">
        <f>bargiri[[#This Row],[میزان بارگیری شده]]*bargiri[[#This Row],[فی]]</f>
        <v>1653880000</v>
      </c>
      <c r="I1351" s="360">
        <f>IF(year=bargiri[[#This Row],[سال]],1,0)</f>
        <v>0</v>
      </c>
      <c r="J1351" s="360" t="str">
        <f>VLOOKUP(bargiri[[#This Row],[شماره پیش فاکتور]],invoice[],16,0)</f>
        <v>عادی</v>
      </c>
      <c r="K1351" s="252">
        <f>bargiri[[#This Row],[فی]]*bargiri[[#This Row],[میزان بارگیری شده]]</f>
        <v>1653880000</v>
      </c>
    </row>
    <row r="1352" spans="1:11" ht="18.600000000000001">
      <c r="A1352" s="360" t="s">
        <v>761</v>
      </c>
      <c r="B1352" s="360" t="s">
        <v>122</v>
      </c>
      <c r="C1352" s="355" t="s">
        <v>568</v>
      </c>
      <c r="D1352">
        <v>22245</v>
      </c>
      <c r="E1352" s="143">
        <v>142000</v>
      </c>
      <c r="F1352" s="117">
        <v>1404</v>
      </c>
      <c r="G1352" s="360" t="s">
        <v>302</v>
      </c>
      <c r="H1352" s="144">
        <f>bargiri[[#This Row],[میزان بارگیری شده]]*bargiri[[#This Row],[فی]]</f>
        <v>3158790000</v>
      </c>
      <c r="I1352" s="360">
        <f>IF(year=bargiri[[#This Row],[سال]],1,0)</f>
        <v>0</v>
      </c>
      <c r="J1352" s="360" t="str">
        <f>VLOOKUP(bargiri[[#This Row],[شماره پیش فاکتور]],invoice[],16,0)</f>
        <v>انجمن</v>
      </c>
      <c r="K1352" s="252">
        <f>bargiri[[#This Row],[فی]]*bargiri[[#This Row],[میزان بارگیری شده]]</f>
        <v>3158790000</v>
      </c>
    </row>
    <row r="1353" spans="1:11" ht="18.600000000000001">
      <c r="A1353" s="360" t="s">
        <v>762</v>
      </c>
      <c r="B1353" s="360" t="s">
        <v>103</v>
      </c>
      <c r="C1353" s="355" t="s">
        <v>560</v>
      </c>
      <c r="D1353">
        <v>7570</v>
      </c>
      <c r="E1353" s="143">
        <v>142000</v>
      </c>
      <c r="F1353" s="117">
        <v>1404</v>
      </c>
      <c r="G1353" s="360" t="s">
        <v>302</v>
      </c>
      <c r="H1353" s="144">
        <f>bargiri[[#This Row],[میزان بارگیری شده]]*bargiri[[#This Row],[فی]]</f>
        <v>1074940000</v>
      </c>
      <c r="I1353" s="360">
        <f>IF(year=bargiri[[#This Row],[سال]],1,0)</f>
        <v>0</v>
      </c>
      <c r="J1353" s="360" t="str">
        <f>VLOOKUP(bargiri[[#This Row],[شماره پیش فاکتور]],invoice[],16,0)</f>
        <v>انجمن</v>
      </c>
      <c r="K1353" s="252">
        <f>bargiri[[#This Row],[فی]]*bargiri[[#This Row],[میزان بارگیری شده]]</f>
        <v>1074940000</v>
      </c>
    </row>
    <row r="1354" spans="1:11" ht="18.600000000000001">
      <c r="A1354" s="360" t="s">
        <v>762</v>
      </c>
      <c r="B1354" s="360" t="s">
        <v>123</v>
      </c>
      <c r="C1354" s="355" t="s">
        <v>569</v>
      </c>
      <c r="D1354">
        <v>7770</v>
      </c>
      <c r="E1354" s="143">
        <v>142000</v>
      </c>
      <c r="F1354" s="117">
        <v>1404</v>
      </c>
      <c r="G1354" s="360" t="s">
        <v>302</v>
      </c>
      <c r="H1354" s="144">
        <f>bargiri[[#This Row],[میزان بارگیری شده]]*bargiri[[#This Row],[فی]]</f>
        <v>1103340000</v>
      </c>
      <c r="I1354" s="360">
        <f>IF(year=bargiri[[#This Row],[سال]],1,0)</f>
        <v>0</v>
      </c>
      <c r="J1354" s="360" t="str">
        <f>VLOOKUP(bargiri[[#This Row],[شماره پیش فاکتور]],invoice[],16,0)</f>
        <v>انجمن</v>
      </c>
      <c r="K1354" s="252">
        <f>bargiri[[#This Row],[فی]]*bargiri[[#This Row],[میزان بارگیری شده]]</f>
        <v>1103340000</v>
      </c>
    </row>
    <row r="1355" spans="1:11" ht="18.600000000000001">
      <c r="A1355" s="360" t="s">
        <v>760</v>
      </c>
      <c r="B1355" s="360" t="s">
        <v>103</v>
      </c>
      <c r="C1355" s="355" t="s">
        <v>560</v>
      </c>
      <c r="D1355">
        <v>7440</v>
      </c>
      <c r="E1355" s="143">
        <v>142000</v>
      </c>
      <c r="F1355" s="117">
        <v>1404</v>
      </c>
      <c r="G1355" s="360" t="s">
        <v>302</v>
      </c>
      <c r="H1355" s="144">
        <f>bargiri[[#This Row],[میزان بارگیری شده]]*bargiri[[#This Row],[فی]]</f>
        <v>1056480000</v>
      </c>
      <c r="I1355" s="360">
        <f>IF(year=bargiri[[#This Row],[سال]],1,0)</f>
        <v>0</v>
      </c>
      <c r="J1355" s="360" t="str">
        <f>VLOOKUP(bargiri[[#This Row],[شماره پیش فاکتور]],invoice[],16,0)</f>
        <v>انجمن</v>
      </c>
      <c r="K1355" s="252">
        <f>bargiri[[#This Row],[فی]]*bargiri[[#This Row],[میزان بارگیری شده]]</f>
        <v>1056480000</v>
      </c>
    </row>
    <row r="1356" spans="1:11" ht="18.600000000000001">
      <c r="A1356" s="360" t="s">
        <v>760</v>
      </c>
      <c r="B1356" s="360" t="s">
        <v>104</v>
      </c>
      <c r="C1356" s="355" t="s">
        <v>34</v>
      </c>
      <c r="D1356">
        <v>8830</v>
      </c>
      <c r="E1356" s="143">
        <v>66200</v>
      </c>
      <c r="F1356" s="117">
        <v>1404</v>
      </c>
      <c r="G1356" s="360" t="s">
        <v>302</v>
      </c>
      <c r="H1356" s="144">
        <f>bargiri[[#This Row],[میزان بارگیری شده]]*bargiri[[#This Row],[فی]]</f>
        <v>584546000</v>
      </c>
      <c r="I1356" s="360">
        <f>IF(year=bargiri[[#This Row],[سال]],1,0)</f>
        <v>0</v>
      </c>
      <c r="J1356" s="360" t="str">
        <f>VLOOKUP(bargiri[[#This Row],[شماره پیش فاکتور]],invoice[],16,0)</f>
        <v>تعادلی</v>
      </c>
      <c r="K1356" s="252">
        <f>bargiri[[#This Row],[فی]]*bargiri[[#This Row],[میزان بارگیری شده]]</f>
        <v>584546000</v>
      </c>
    </row>
    <row r="1357" spans="1:11" ht="18.600000000000001">
      <c r="A1357" s="360" t="s">
        <v>760</v>
      </c>
      <c r="B1357" s="360" t="s">
        <v>104</v>
      </c>
      <c r="C1357" s="355" t="s">
        <v>684</v>
      </c>
      <c r="D1357">
        <v>9775</v>
      </c>
      <c r="E1357" s="143">
        <v>167500</v>
      </c>
      <c r="F1357" s="117">
        <v>1404</v>
      </c>
      <c r="G1357" s="360" t="s">
        <v>302</v>
      </c>
      <c r="H1357" s="144">
        <f>bargiri[[#This Row],[میزان بارگیری شده]]*bargiri[[#This Row],[فی]]</f>
        <v>1637312500</v>
      </c>
      <c r="I1357" s="360">
        <f>IF(year=bargiri[[#This Row],[سال]],1,0)</f>
        <v>0</v>
      </c>
      <c r="J1357" s="360" t="str">
        <f>VLOOKUP(bargiri[[#This Row],[شماره پیش فاکتور]],invoice[],16,0)</f>
        <v>بورس</v>
      </c>
      <c r="K1357" s="252">
        <f>bargiri[[#This Row],[فی]]*bargiri[[#This Row],[میزان بارگیری شده]]</f>
        <v>1637312500</v>
      </c>
    </row>
    <row r="1358" spans="1:11" ht="18.600000000000001">
      <c r="A1358" s="360" t="s">
        <v>760</v>
      </c>
      <c r="B1358" s="360" t="s">
        <v>125</v>
      </c>
      <c r="C1358" s="355" t="s">
        <v>570</v>
      </c>
      <c r="D1358">
        <v>14180</v>
      </c>
      <c r="E1358" s="143">
        <v>142000</v>
      </c>
      <c r="F1358" s="117">
        <v>1404</v>
      </c>
      <c r="G1358" s="360" t="s">
        <v>302</v>
      </c>
      <c r="H1358" s="144">
        <f>bargiri[[#This Row],[میزان بارگیری شده]]*bargiri[[#This Row],[فی]]</f>
        <v>2013560000</v>
      </c>
      <c r="I1358" s="360">
        <f>IF(year=bargiri[[#This Row],[سال]],1,0)</f>
        <v>0</v>
      </c>
      <c r="J1358" s="360" t="str">
        <f>VLOOKUP(bargiri[[#This Row],[شماره پیش فاکتور]],invoice[],16,0)</f>
        <v>انجمن</v>
      </c>
      <c r="K1358" s="252">
        <f>bargiri[[#This Row],[فی]]*bargiri[[#This Row],[میزان بارگیری شده]]</f>
        <v>2013560000</v>
      </c>
    </row>
    <row r="1359" spans="1:11" ht="18.600000000000001">
      <c r="A1359" s="360" t="s">
        <v>760</v>
      </c>
      <c r="B1359" s="360" t="s">
        <v>103</v>
      </c>
      <c r="C1359" s="355" t="s">
        <v>560</v>
      </c>
      <c r="D1359">
        <v>7320</v>
      </c>
      <c r="E1359" s="143">
        <v>142000</v>
      </c>
      <c r="F1359" s="117">
        <v>1404</v>
      </c>
      <c r="G1359" s="360" t="s">
        <v>302</v>
      </c>
      <c r="H1359" s="144">
        <f>bargiri[[#This Row],[میزان بارگیری شده]]*bargiri[[#This Row],[فی]]</f>
        <v>1039440000</v>
      </c>
      <c r="I1359" s="360">
        <f>IF(year=bargiri[[#This Row],[سال]],1,0)</f>
        <v>0</v>
      </c>
      <c r="J1359" s="360" t="str">
        <f>VLOOKUP(bargiri[[#This Row],[شماره پیش فاکتور]],invoice[],16,0)</f>
        <v>انجمن</v>
      </c>
      <c r="K1359" s="252">
        <f>bargiri[[#This Row],[فی]]*bargiri[[#This Row],[میزان بارگیری شده]]</f>
        <v>1039440000</v>
      </c>
    </row>
    <row r="1360" spans="1:11" ht="18.600000000000001">
      <c r="A1360" s="360" t="s">
        <v>760</v>
      </c>
      <c r="B1360" s="360" t="s">
        <v>116</v>
      </c>
      <c r="C1360" s="355" t="s">
        <v>642</v>
      </c>
      <c r="D1360">
        <v>170</v>
      </c>
      <c r="E1360" s="143">
        <v>201000</v>
      </c>
      <c r="F1360" s="117">
        <v>1404</v>
      </c>
      <c r="G1360" s="360" t="s">
        <v>302</v>
      </c>
      <c r="H1360" s="144">
        <f>bargiri[[#This Row],[میزان بارگیری شده]]*bargiri[[#This Row],[فی]]</f>
        <v>34170000</v>
      </c>
      <c r="I1360" s="360">
        <f>IF(year=bargiri[[#This Row],[سال]],1,0)</f>
        <v>0</v>
      </c>
      <c r="J1360" s="360" t="str">
        <f>VLOOKUP(bargiri[[#This Row],[شماره پیش فاکتور]],invoice[],16,0)</f>
        <v>بورس</v>
      </c>
      <c r="K1360" s="252">
        <f>bargiri[[#This Row],[فی]]*bargiri[[#This Row],[میزان بارگیری شده]]</f>
        <v>34170000</v>
      </c>
    </row>
    <row r="1361" spans="1:11" ht="18.600000000000001">
      <c r="A1361" s="360" t="s">
        <v>760</v>
      </c>
      <c r="B1361" s="360" t="s">
        <v>116</v>
      </c>
      <c r="C1361" s="355" t="s">
        <v>616</v>
      </c>
      <c r="D1361">
        <v>19855</v>
      </c>
      <c r="E1361" s="143">
        <v>167500</v>
      </c>
      <c r="F1361" s="117">
        <v>1404</v>
      </c>
      <c r="G1361" s="360" t="s">
        <v>302</v>
      </c>
      <c r="H1361" s="144">
        <f>bargiri[[#This Row],[میزان بارگیری شده]]*bargiri[[#This Row],[فی]]</f>
        <v>3325712500</v>
      </c>
      <c r="I1361" s="360">
        <f>IF(year=bargiri[[#This Row],[سال]],1,0)</f>
        <v>0</v>
      </c>
      <c r="J1361" s="360" t="str">
        <f>VLOOKUP(bargiri[[#This Row],[شماره پیش فاکتور]],invoice[],16,0)</f>
        <v>بورس</v>
      </c>
      <c r="K1361" s="252">
        <f>bargiri[[#This Row],[فی]]*bargiri[[#This Row],[میزان بارگیری شده]]</f>
        <v>3325712500</v>
      </c>
    </row>
    <row r="1362" spans="1:11" ht="18.600000000000001">
      <c r="A1362" s="360" t="s">
        <v>759</v>
      </c>
      <c r="B1362" s="360" t="s">
        <v>118</v>
      </c>
      <c r="C1362" s="355" t="s">
        <v>84</v>
      </c>
      <c r="D1362">
        <v>21015</v>
      </c>
      <c r="E1362" s="143">
        <v>57273</v>
      </c>
      <c r="F1362" s="117">
        <v>1404</v>
      </c>
      <c r="G1362" s="360" t="s">
        <v>302</v>
      </c>
      <c r="H1362" s="144">
        <f>bargiri[[#This Row],[میزان بارگیری شده]]*bargiri[[#This Row],[فی]]</f>
        <v>1203592095</v>
      </c>
      <c r="I1362" s="360">
        <f>IF(year=bargiri[[#This Row],[سال]],1,0)</f>
        <v>0</v>
      </c>
      <c r="J1362" s="360" t="str">
        <f>VLOOKUP(bargiri[[#This Row],[شماره پیش فاکتور]],invoice[],16,0)</f>
        <v>عادی</v>
      </c>
      <c r="K1362" s="252">
        <f>bargiri[[#This Row],[فی]]*bargiri[[#This Row],[میزان بارگیری شده]]</f>
        <v>1203592095</v>
      </c>
    </row>
    <row r="1363" spans="1:11" ht="18.600000000000001">
      <c r="A1363" s="360" t="s">
        <v>759</v>
      </c>
      <c r="B1363" s="360" t="s">
        <v>118</v>
      </c>
      <c r="C1363" s="355" t="s">
        <v>84</v>
      </c>
      <c r="D1363">
        <v>20625</v>
      </c>
      <c r="E1363" s="143">
        <v>57273</v>
      </c>
      <c r="F1363" s="117">
        <v>1404</v>
      </c>
      <c r="G1363" s="360" t="s">
        <v>302</v>
      </c>
      <c r="H1363" s="144">
        <f>bargiri[[#This Row],[میزان بارگیری شده]]*bargiri[[#This Row],[فی]]</f>
        <v>1181255625</v>
      </c>
      <c r="I1363" s="360">
        <f>IF(year=bargiri[[#This Row],[سال]],1,0)</f>
        <v>0</v>
      </c>
      <c r="J1363" s="360" t="str">
        <f>VLOOKUP(bargiri[[#This Row],[شماره پیش فاکتور]],invoice[],16,0)</f>
        <v>عادی</v>
      </c>
      <c r="K1363" s="252">
        <f>bargiri[[#This Row],[فی]]*bargiri[[#This Row],[میزان بارگیری شده]]</f>
        <v>1181255625</v>
      </c>
    </row>
    <row r="1364" spans="1:11" ht="18.600000000000001">
      <c r="A1364" s="360" t="s">
        <v>759</v>
      </c>
      <c r="B1364" s="360" t="s">
        <v>118</v>
      </c>
      <c r="C1364" s="355" t="s">
        <v>84</v>
      </c>
      <c r="D1364">
        <v>20590</v>
      </c>
      <c r="E1364" s="143">
        <v>57273</v>
      </c>
      <c r="F1364" s="117">
        <v>1404</v>
      </c>
      <c r="G1364" s="360" t="s">
        <v>302</v>
      </c>
      <c r="H1364" s="144">
        <f>bargiri[[#This Row],[میزان بارگیری شده]]*bargiri[[#This Row],[فی]]</f>
        <v>1179251070</v>
      </c>
      <c r="I1364" s="360">
        <f>IF(year=bargiri[[#This Row],[سال]],1,0)</f>
        <v>0</v>
      </c>
      <c r="J1364" s="360" t="str">
        <f>VLOOKUP(bargiri[[#This Row],[شماره پیش فاکتور]],invoice[],16,0)</f>
        <v>عادی</v>
      </c>
      <c r="K1364" s="252">
        <f>bargiri[[#This Row],[فی]]*bargiri[[#This Row],[میزان بارگیری شده]]</f>
        <v>1179251070</v>
      </c>
    </row>
    <row r="1365" spans="1:11" ht="18.600000000000001">
      <c r="A1365" s="360" t="s">
        <v>759</v>
      </c>
      <c r="B1365" s="360" t="s">
        <v>118</v>
      </c>
      <c r="C1365" s="355" t="s">
        <v>84</v>
      </c>
      <c r="D1365">
        <v>20560</v>
      </c>
      <c r="E1365" s="143">
        <v>57273</v>
      </c>
      <c r="F1365" s="117">
        <v>1404</v>
      </c>
      <c r="G1365" s="360" t="s">
        <v>302</v>
      </c>
      <c r="H1365" s="144">
        <f>bargiri[[#This Row],[میزان بارگیری شده]]*bargiri[[#This Row],[فی]]</f>
        <v>1177532880</v>
      </c>
      <c r="I1365" s="360">
        <f>IF(year=bargiri[[#This Row],[سال]],1,0)</f>
        <v>0</v>
      </c>
      <c r="J1365" s="360" t="str">
        <f>VLOOKUP(bargiri[[#This Row],[شماره پیش فاکتور]],invoice[],16,0)</f>
        <v>عادی</v>
      </c>
      <c r="K1365" s="252">
        <f>bargiri[[#This Row],[فی]]*bargiri[[#This Row],[میزان بارگیری شده]]</f>
        <v>1177532880</v>
      </c>
    </row>
    <row r="1366" spans="1:11" ht="18.600000000000001">
      <c r="A1366" s="360" t="s">
        <v>759</v>
      </c>
      <c r="B1366" s="360" t="s">
        <v>106</v>
      </c>
      <c r="C1366" s="355" t="s">
        <v>44</v>
      </c>
      <c r="D1366">
        <v>22160</v>
      </c>
      <c r="E1366" s="143">
        <v>80000</v>
      </c>
      <c r="F1366" s="117">
        <v>1404</v>
      </c>
      <c r="G1366" s="360" t="s">
        <v>302</v>
      </c>
      <c r="H1366" s="144">
        <f>bargiri[[#This Row],[میزان بارگیری شده]]*bargiri[[#This Row],[فی]]</f>
        <v>1772800000</v>
      </c>
      <c r="I1366" s="360">
        <f>IF(year=bargiri[[#This Row],[سال]],1,0)</f>
        <v>0</v>
      </c>
      <c r="J1366" s="360" t="str">
        <f>VLOOKUP(bargiri[[#This Row],[شماره پیش فاکتور]],invoice[],16,0)</f>
        <v>عادی</v>
      </c>
      <c r="K1366" s="252">
        <f>bargiri[[#This Row],[فی]]*bargiri[[#This Row],[میزان بارگیری شده]]</f>
        <v>1772800000</v>
      </c>
    </row>
    <row r="1367" spans="1:11" ht="18.600000000000001">
      <c r="A1367" s="360" t="s">
        <v>759</v>
      </c>
      <c r="B1367" s="360" t="s">
        <v>100</v>
      </c>
      <c r="C1367" s="355" t="s">
        <v>555</v>
      </c>
      <c r="D1367">
        <v>20100</v>
      </c>
      <c r="E1367" s="143">
        <v>142000</v>
      </c>
      <c r="F1367" s="117">
        <v>1404</v>
      </c>
      <c r="G1367" s="360" t="s">
        <v>302</v>
      </c>
      <c r="H1367" s="144">
        <f>bargiri[[#This Row],[میزان بارگیری شده]]*bargiri[[#This Row],[فی]]</f>
        <v>2854200000</v>
      </c>
      <c r="I1367" s="360">
        <f>IF(year=bargiri[[#This Row],[سال]],1,0)</f>
        <v>0</v>
      </c>
      <c r="J1367" s="360" t="str">
        <f>VLOOKUP(bargiri[[#This Row],[شماره پیش فاکتور]],invoice[],16,0)</f>
        <v>انجمن</v>
      </c>
      <c r="K1367" s="252">
        <f>bargiri[[#This Row],[فی]]*bargiri[[#This Row],[میزان بارگیری شده]]</f>
        <v>2854200000</v>
      </c>
    </row>
    <row r="1368" spans="1:11" ht="18.600000000000001">
      <c r="A1368" s="360" t="s">
        <v>759</v>
      </c>
      <c r="B1368" s="360" t="s">
        <v>116</v>
      </c>
      <c r="C1368" s="355" t="s">
        <v>565</v>
      </c>
      <c r="D1368">
        <v>20020</v>
      </c>
      <c r="E1368" s="143">
        <v>142000</v>
      </c>
      <c r="F1368" s="117">
        <v>1404</v>
      </c>
      <c r="G1368" s="360" t="s">
        <v>302</v>
      </c>
      <c r="H1368" s="144">
        <f>bargiri[[#This Row],[میزان بارگیری شده]]*bargiri[[#This Row],[فی]]</f>
        <v>2842840000</v>
      </c>
      <c r="I1368" s="360">
        <f>IF(year=bargiri[[#This Row],[سال]],1,0)</f>
        <v>0</v>
      </c>
      <c r="J1368" s="360" t="str">
        <f>VLOOKUP(bargiri[[#This Row],[شماره پیش فاکتور]],invoice[],16,0)</f>
        <v>انجمن</v>
      </c>
      <c r="K1368" s="252">
        <f>bargiri[[#This Row],[فی]]*bargiri[[#This Row],[میزان بارگیری شده]]</f>
        <v>2842840000</v>
      </c>
    </row>
    <row r="1369" spans="1:11" ht="18.600000000000001">
      <c r="A1369" s="360" t="s">
        <v>758</v>
      </c>
      <c r="B1369" s="360" t="s">
        <v>116</v>
      </c>
      <c r="C1369" s="355" t="s">
        <v>608</v>
      </c>
      <c r="D1369">
        <v>7090</v>
      </c>
      <c r="E1369" s="143">
        <v>95000</v>
      </c>
      <c r="F1369" s="117">
        <v>1404</v>
      </c>
      <c r="G1369" s="360" t="s">
        <v>302</v>
      </c>
      <c r="H1369" s="144">
        <f>bargiri[[#This Row],[میزان بارگیری شده]]*bargiri[[#This Row],[فی]]</f>
        <v>673550000</v>
      </c>
      <c r="I1369" s="360">
        <f>IF(year=bargiri[[#This Row],[سال]],1,0)</f>
        <v>0</v>
      </c>
      <c r="J1369" s="360" t="str">
        <f>VLOOKUP(bargiri[[#This Row],[شماره پیش فاکتور]],invoice[],16,0)</f>
        <v>عادی</v>
      </c>
      <c r="K1369" s="252">
        <f>bargiri[[#This Row],[فی]]*bargiri[[#This Row],[میزان بارگیری شده]]</f>
        <v>673550000</v>
      </c>
    </row>
    <row r="1370" spans="1:11" ht="18.600000000000001">
      <c r="A1370" s="360" t="s">
        <v>758</v>
      </c>
      <c r="B1370" s="360" t="s">
        <v>116</v>
      </c>
      <c r="C1370" s="355" t="s">
        <v>565</v>
      </c>
      <c r="D1370">
        <v>11935</v>
      </c>
      <c r="E1370" s="143">
        <v>142000</v>
      </c>
      <c r="F1370" s="117">
        <v>1404</v>
      </c>
      <c r="G1370" s="360" t="s">
        <v>302</v>
      </c>
      <c r="H1370" s="144">
        <f>bargiri[[#This Row],[میزان بارگیری شده]]*bargiri[[#This Row],[فی]]</f>
        <v>1694770000</v>
      </c>
      <c r="I1370" s="360">
        <f>IF(year=bargiri[[#This Row],[سال]],1,0)</f>
        <v>0</v>
      </c>
      <c r="J1370" s="360" t="str">
        <f>VLOOKUP(bargiri[[#This Row],[شماره پیش فاکتور]],invoice[],16,0)</f>
        <v>انجمن</v>
      </c>
      <c r="K1370" s="252">
        <f>bargiri[[#This Row],[فی]]*bargiri[[#This Row],[میزان بارگیری شده]]</f>
        <v>1694770000</v>
      </c>
    </row>
    <row r="1371" spans="1:11" ht="18.600000000000001">
      <c r="A1371" s="360" t="s">
        <v>758</v>
      </c>
      <c r="B1371" s="360" t="s">
        <v>98</v>
      </c>
      <c r="C1371" s="355" t="s">
        <v>571</v>
      </c>
      <c r="D1371">
        <v>22045</v>
      </c>
      <c r="E1371" s="143">
        <v>142000</v>
      </c>
      <c r="F1371" s="117">
        <v>1404</v>
      </c>
      <c r="G1371" s="360" t="s">
        <v>302</v>
      </c>
      <c r="H1371" s="144">
        <f>bargiri[[#This Row],[میزان بارگیری شده]]*bargiri[[#This Row],[فی]]</f>
        <v>3130390000</v>
      </c>
      <c r="I1371" s="360">
        <f>IF(year=bargiri[[#This Row],[سال]],1,0)</f>
        <v>0</v>
      </c>
      <c r="J1371" s="360" t="str">
        <f>VLOOKUP(bargiri[[#This Row],[شماره پیش فاکتور]],invoice[],16,0)</f>
        <v>انجمن</v>
      </c>
      <c r="K1371" s="252">
        <f>bargiri[[#This Row],[فی]]*bargiri[[#This Row],[میزان بارگیری شده]]</f>
        <v>3130390000</v>
      </c>
    </row>
    <row r="1372" spans="1:11" ht="18.600000000000001">
      <c r="A1372" s="360" t="s">
        <v>758</v>
      </c>
      <c r="B1372" s="360" t="s">
        <v>98</v>
      </c>
      <c r="C1372" s="355" t="s">
        <v>539</v>
      </c>
      <c r="D1372">
        <v>115</v>
      </c>
      <c r="E1372" s="143">
        <v>75000</v>
      </c>
      <c r="F1372" s="117">
        <v>1404</v>
      </c>
      <c r="G1372" s="360" t="s">
        <v>302</v>
      </c>
      <c r="H1372" s="144">
        <f>bargiri[[#This Row],[میزان بارگیری شده]]*bargiri[[#This Row],[فی]]</f>
        <v>8625000</v>
      </c>
      <c r="I1372" s="360">
        <f>IF(year=bargiri[[#This Row],[سال]],1,0)</f>
        <v>0</v>
      </c>
      <c r="J1372" s="360" t="str">
        <f>VLOOKUP(bargiri[[#This Row],[شماره پیش فاکتور]],invoice[],16,0)</f>
        <v>تعادلی</v>
      </c>
      <c r="K1372" s="252">
        <f>bargiri[[#This Row],[فی]]*bargiri[[#This Row],[میزان بارگیری شده]]</f>
        <v>8625000</v>
      </c>
    </row>
    <row r="1373" spans="1:11" ht="18.600000000000001">
      <c r="A1373" s="360" t="s">
        <v>758</v>
      </c>
      <c r="B1373" s="360" t="s">
        <v>105</v>
      </c>
      <c r="C1373" s="355" t="s">
        <v>553</v>
      </c>
      <c r="D1373">
        <v>19070</v>
      </c>
      <c r="E1373" s="143">
        <v>142000</v>
      </c>
      <c r="F1373" s="117">
        <v>1404</v>
      </c>
      <c r="G1373" s="360" t="s">
        <v>302</v>
      </c>
      <c r="H1373" s="144">
        <f>bargiri[[#This Row],[میزان بارگیری شده]]*bargiri[[#This Row],[فی]]</f>
        <v>2707940000</v>
      </c>
      <c r="I1373" s="360">
        <f>IF(year=bargiri[[#This Row],[سال]],1,0)</f>
        <v>0</v>
      </c>
      <c r="J1373" s="360" t="str">
        <f>VLOOKUP(bargiri[[#This Row],[شماره پیش فاکتور]],invoice[],16,0)</f>
        <v>انجمن</v>
      </c>
      <c r="K1373" s="252">
        <f>bargiri[[#This Row],[فی]]*bargiri[[#This Row],[میزان بارگیری شده]]</f>
        <v>2707940000</v>
      </c>
    </row>
    <row r="1374" spans="1:11" ht="18.600000000000001">
      <c r="A1374" s="360" t="s">
        <v>754</v>
      </c>
      <c r="B1374" s="360" t="s">
        <v>109</v>
      </c>
      <c r="C1374" s="355" t="s">
        <v>563</v>
      </c>
      <c r="D1374">
        <v>7560</v>
      </c>
      <c r="E1374" s="143">
        <v>142000</v>
      </c>
      <c r="F1374" s="117">
        <v>1404</v>
      </c>
      <c r="G1374" s="360" t="s">
        <v>302</v>
      </c>
      <c r="H1374" s="144">
        <f>bargiri[[#This Row],[میزان بارگیری شده]]*bargiri[[#This Row],[فی]]</f>
        <v>1073520000</v>
      </c>
      <c r="I1374" s="360">
        <f>IF(year=bargiri[[#This Row],[سال]],1,0)</f>
        <v>0</v>
      </c>
      <c r="J1374" s="360" t="str">
        <f>VLOOKUP(bargiri[[#This Row],[شماره پیش فاکتور]],invoice[],16,0)</f>
        <v>انجمن</v>
      </c>
      <c r="K1374" s="252">
        <f>bargiri[[#This Row],[فی]]*bargiri[[#This Row],[میزان بارگیری شده]]</f>
        <v>1073520000</v>
      </c>
    </row>
    <row r="1375" spans="1:11" ht="18.600000000000001">
      <c r="A1375" s="360" t="s">
        <v>754</v>
      </c>
      <c r="B1375" s="360" t="s">
        <v>118</v>
      </c>
      <c r="C1375" s="355" t="s">
        <v>84</v>
      </c>
      <c r="D1375">
        <v>20545</v>
      </c>
      <c r="E1375" s="143">
        <v>57273</v>
      </c>
      <c r="F1375" s="117">
        <v>1404</v>
      </c>
      <c r="G1375" s="360" t="s">
        <v>302</v>
      </c>
      <c r="H1375" s="144">
        <f>bargiri[[#This Row],[میزان بارگیری شده]]*bargiri[[#This Row],[فی]]</f>
        <v>1176673785</v>
      </c>
      <c r="I1375" s="360">
        <f>IF(year=bargiri[[#This Row],[سال]],1,0)</f>
        <v>0</v>
      </c>
      <c r="J1375" s="360" t="str">
        <f>VLOOKUP(bargiri[[#This Row],[شماره پیش فاکتور]],invoice[],16,0)</f>
        <v>عادی</v>
      </c>
      <c r="K1375" s="252">
        <f>bargiri[[#This Row],[فی]]*bargiri[[#This Row],[میزان بارگیری شده]]</f>
        <v>1176673785</v>
      </c>
    </row>
    <row r="1376" spans="1:11" ht="18.600000000000001">
      <c r="A1376" s="360" t="s">
        <v>754</v>
      </c>
      <c r="B1376" s="360" t="s">
        <v>117</v>
      </c>
      <c r="C1376" s="355" t="s">
        <v>696</v>
      </c>
      <c r="D1376">
        <v>1130</v>
      </c>
      <c r="E1376" s="143">
        <v>167500</v>
      </c>
      <c r="F1376" s="117">
        <v>1404</v>
      </c>
      <c r="G1376" s="360" t="s">
        <v>302</v>
      </c>
      <c r="H1376" s="144">
        <f>bargiri[[#This Row],[میزان بارگیری شده]]*bargiri[[#This Row],[فی]]</f>
        <v>189275000</v>
      </c>
      <c r="I1376" s="360">
        <f>IF(year=bargiri[[#This Row],[سال]],1,0)</f>
        <v>0</v>
      </c>
      <c r="J1376" s="360" t="str">
        <f>VLOOKUP(bargiri[[#This Row],[شماره پیش فاکتور]],invoice[],16,0)</f>
        <v>بورس</v>
      </c>
      <c r="K1376" s="252">
        <f>bargiri[[#This Row],[فی]]*bargiri[[#This Row],[میزان بارگیری شده]]</f>
        <v>189275000</v>
      </c>
    </row>
    <row r="1377" spans="1:11" ht="18.600000000000001">
      <c r="A1377" s="360" t="s">
        <v>754</v>
      </c>
      <c r="B1377" s="360" t="s">
        <v>117</v>
      </c>
      <c r="C1377" s="355" t="s">
        <v>720</v>
      </c>
      <c r="D1377">
        <v>18905</v>
      </c>
      <c r="E1377" s="143">
        <v>167500</v>
      </c>
      <c r="F1377" s="117">
        <v>1404</v>
      </c>
      <c r="G1377" s="360" t="s">
        <v>302</v>
      </c>
      <c r="H1377" s="144">
        <f>bargiri[[#This Row],[میزان بارگیری شده]]*bargiri[[#This Row],[فی]]</f>
        <v>3166587500</v>
      </c>
      <c r="I1377" s="360">
        <f>IF(year=bargiri[[#This Row],[سال]],1,0)</f>
        <v>0</v>
      </c>
      <c r="J1377" s="360" t="str">
        <f>VLOOKUP(bargiri[[#This Row],[شماره پیش فاکتور]],invoice[],16,0)</f>
        <v>بورس</v>
      </c>
      <c r="K1377" s="252">
        <f>bargiri[[#This Row],[فی]]*bargiri[[#This Row],[میزان بارگیری شده]]</f>
        <v>3166587500</v>
      </c>
    </row>
    <row r="1378" spans="1:11" ht="18.600000000000001">
      <c r="A1378" s="360" t="s">
        <v>754</v>
      </c>
      <c r="B1378" s="360" t="s">
        <v>118</v>
      </c>
      <c r="C1378" s="355" t="s">
        <v>84</v>
      </c>
      <c r="D1378">
        <v>20635</v>
      </c>
      <c r="E1378" s="143">
        <v>57273</v>
      </c>
      <c r="F1378" s="117">
        <v>1404</v>
      </c>
      <c r="G1378" s="360" t="s">
        <v>302</v>
      </c>
      <c r="H1378" s="144">
        <f>bargiri[[#This Row],[میزان بارگیری شده]]*bargiri[[#This Row],[فی]]</f>
        <v>1181828355</v>
      </c>
      <c r="I1378" s="360">
        <f>IF(year=bargiri[[#This Row],[سال]],1,0)</f>
        <v>0</v>
      </c>
      <c r="J1378" s="360" t="str">
        <f>VLOOKUP(bargiri[[#This Row],[شماره پیش فاکتور]],invoice[],16,0)</f>
        <v>عادی</v>
      </c>
      <c r="K1378" s="252">
        <f>bargiri[[#This Row],[فی]]*bargiri[[#This Row],[میزان بارگیری شده]]</f>
        <v>1181828355</v>
      </c>
    </row>
    <row r="1379" spans="1:11" ht="18.600000000000001">
      <c r="A1379" s="360" t="s">
        <v>752</v>
      </c>
      <c r="B1379" s="360" t="s">
        <v>116</v>
      </c>
      <c r="C1379" s="355" t="s">
        <v>565</v>
      </c>
      <c r="D1379">
        <v>19905</v>
      </c>
      <c r="E1379" s="143">
        <v>142000</v>
      </c>
      <c r="F1379" s="117">
        <v>1404</v>
      </c>
      <c r="G1379" s="360" t="s">
        <v>302</v>
      </c>
      <c r="H1379" s="144">
        <f>bargiri[[#This Row],[میزان بارگیری شده]]*bargiri[[#This Row],[فی]]</f>
        <v>2826510000</v>
      </c>
      <c r="I1379" s="360">
        <f>IF(year=bargiri[[#This Row],[سال]],1,0)</f>
        <v>0</v>
      </c>
      <c r="J1379" s="360" t="str">
        <f>VLOOKUP(bargiri[[#This Row],[شماره پیش فاکتور]],invoice[],16,0)</f>
        <v>انجمن</v>
      </c>
      <c r="K1379" s="252">
        <f>bargiri[[#This Row],[فی]]*bargiri[[#This Row],[میزان بارگیری شده]]</f>
        <v>2826510000</v>
      </c>
    </row>
    <row r="1380" spans="1:11" ht="18.600000000000001">
      <c r="A1380" s="360" t="s">
        <v>752</v>
      </c>
      <c r="B1380" s="360" t="s">
        <v>118</v>
      </c>
      <c r="C1380" s="355" t="s">
        <v>84</v>
      </c>
      <c r="D1380">
        <v>20520</v>
      </c>
      <c r="E1380" s="143">
        <v>57273</v>
      </c>
      <c r="F1380" s="117">
        <v>1404</v>
      </c>
      <c r="G1380" s="360" t="s">
        <v>302</v>
      </c>
      <c r="H1380" s="144">
        <f>bargiri[[#This Row],[میزان بارگیری شده]]*bargiri[[#This Row],[فی]]</f>
        <v>1175241960</v>
      </c>
      <c r="I1380" s="360">
        <f>IF(year=bargiri[[#This Row],[سال]],1,0)</f>
        <v>0</v>
      </c>
      <c r="J1380" s="360" t="str">
        <f>VLOOKUP(bargiri[[#This Row],[شماره پیش فاکتور]],invoice[],16,0)</f>
        <v>عادی</v>
      </c>
      <c r="K1380" s="252">
        <f>bargiri[[#This Row],[فی]]*bargiri[[#This Row],[میزان بارگیری شده]]</f>
        <v>1175241960</v>
      </c>
    </row>
    <row r="1381" spans="1:11" ht="18.600000000000001">
      <c r="A1381" s="360" t="s">
        <v>752</v>
      </c>
      <c r="B1381" s="360" t="s">
        <v>118</v>
      </c>
      <c r="C1381" s="355" t="s">
        <v>84</v>
      </c>
      <c r="D1381">
        <v>20495</v>
      </c>
      <c r="E1381" s="143">
        <v>57273</v>
      </c>
      <c r="F1381" s="117">
        <v>1404</v>
      </c>
      <c r="G1381" s="360" t="s">
        <v>302</v>
      </c>
      <c r="H1381" s="144">
        <f>bargiri[[#This Row],[میزان بارگیری شده]]*bargiri[[#This Row],[فی]]</f>
        <v>1173810135</v>
      </c>
      <c r="I1381" s="360">
        <f>IF(year=bargiri[[#This Row],[سال]],1,0)</f>
        <v>0</v>
      </c>
      <c r="J1381" s="360" t="str">
        <f>VLOOKUP(bargiri[[#This Row],[شماره پیش فاکتور]],invoice[],16,0)</f>
        <v>عادی</v>
      </c>
      <c r="K1381" s="252">
        <f>bargiri[[#This Row],[فی]]*bargiri[[#This Row],[میزان بارگیری شده]]</f>
        <v>1173810135</v>
      </c>
    </row>
    <row r="1382" spans="1:11" ht="18.600000000000001">
      <c r="A1382" s="360" t="s">
        <v>752</v>
      </c>
      <c r="B1382" s="360" t="s">
        <v>99</v>
      </c>
      <c r="C1382" s="355" t="s">
        <v>12</v>
      </c>
      <c r="D1382">
        <v>19075</v>
      </c>
      <c r="E1382" s="143">
        <v>86500</v>
      </c>
      <c r="F1382" s="117">
        <v>1404</v>
      </c>
      <c r="G1382" s="360" t="s">
        <v>302</v>
      </c>
      <c r="H1382" s="144">
        <f>bargiri[[#This Row],[میزان بارگیری شده]]*bargiri[[#This Row],[فی]]</f>
        <v>1649987500</v>
      </c>
      <c r="I1382" s="360">
        <f>IF(year=bargiri[[#This Row],[سال]],1,0)</f>
        <v>0</v>
      </c>
      <c r="J1382" s="360" t="str">
        <f>VLOOKUP(bargiri[[#This Row],[شماره پیش فاکتور]],invoice[],16,0)</f>
        <v>عادی</v>
      </c>
      <c r="K1382" s="252">
        <f>bargiri[[#This Row],[فی]]*bargiri[[#This Row],[میزان بارگیری شده]]</f>
        <v>1649987500</v>
      </c>
    </row>
    <row r="1383" spans="1:11" ht="18.600000000000001">
      <c r="A1383" s="360" t="s">
        <v>752</v>
      </c>
      <c r="B1383" s="360" t="s">
        <v>123</v>
      </c>
      <c r="C1383" s="355" t="s">
        <v>569</v>
      </c>
      <c r="D1383">
        <v>7785</v>
      </c>
      <c r="E1383" s="143">
        <v>142000</v>
      </c>
      <c r="F1383" s="117">
        <v>1404</v>
      </c>
      <c r="G1383" s="360" t="s">
        <v>302</v>
      </c>
      <c r="H1383" s="144">
        <f>bargiri[[#This Row],[میزان بارگیری شده]]*bargiri[[#This Row],[فی]]</f>
        <v>1105470000</v>
      </c>
      <c r="I1383" s="360">
        <f>IF(year=bargiri[[#This Row],[سال]],1,0)</f>
        <v>0</v>
      </c>
      <c r="J1383" s="360" t="str">
        <f>VLOOKUP(bargiri[[#This Row],[شماره پیش فاکتور]],invoice[],16,0)</f>
        <v>انجمن</v>
      </c>
      <c r="K1383" s="252">
        <f>bargiri[[#This Row],[فی]]*bargiri[[#This Row],[میزان بارگیری شده]]</f>
        <v>1105470000</v>
      </c>
    </row>
    <row r="1384" spans="1:11" ht="18.600000000000001">
      <c r="A1384" s="360" t="s">
        <v>753</v>
      </c>
      <c r="B1384" s="360" t="s">
        <v>103</v>
      </c>
      <c r="C1384" s="355" t="s">
        <v>560</v>
      </c>
      <c r="D1384">
        <v>6965</v>
      </c>
      <c r="E1384" s="143">
        <v>142000</v>
      </c>
      <c r="F1384" s="117">
        <v>1404</v>
      </c>
      <c r="G1384" s="360" t="s">
        <v>302</v>
      </c>
      <c r="H1384" s="144">
        <f>bargiri[[#This Row],[میزان بارگیری شده]]*bargiri[[#This Row],[فی]]</f>
        <v>989030000</v>
      </c>
      <c r="I1384" s="360">
        <f>IF(year=bargiri[[#This Row],[سال]],1,0)</f>
        <v>0</v>
      </c>
      <c r="J1384" s="360" t="str">
        <f>VLOOKUP(bargiri[[#This Row],[شماره پیش فاکتور]],invoice[],16,0)</f>
        <v>انجمن</v>
      </c>
      <c r="K1384" s="252">
        <f>bargiri[[#This Row],[فی]]*bargiri[[#This Row],[میزان بارگیری شده]]</f>
        <v>989030000</v>
      </c>
    </row>
    <row r="1385" spans="1:11" ht="18.600000000000001">
      <c r="A1385" s="360" t="s">
        <v>753</v>
      </c>
      <c r="B1385" s="360" t="s">
        <v>102</v>
      </c>
      <c r="C1385" s="355" t="s">
        <v>24</v>
      </c>
      <c r="D1385">
        <v>11525</v>
      </c>
      <c r="E1385" s="143">
        <v>70000</v>
      </c>
      <c r="F1385" s="117">
        <v>1404</v>
      </c>
      <c r="G1385" s="360" t="s">
        <v>302</v>
      </c>
      <c r="H1385" s="144">
        <f>bargiri[[#This Row],[میزان بارگیری شده]]*bargiri[[#This Row],[فی]]</f>
        <v>806750000</v>
      </c>
      <c r="I1385" s="360">
        <f>IF(year=bargiri[[#This Row],[سال]],1,0)</f>
        <v>0</v>
      </c>
      <c r="J1385" s="360" t="str">
        <f>VLOOKUP(bargiri[[#This Row],[شماره پیش فاکتور]],invoice[],16,0)</f>
        <v>عادی</v>
      </c>
      <c r="K1385" s="252">
        <f>bargiri[[#This Row],[فی]]*bargiri[[#This Row],[میزان بارگیری شده]]</f>
        <v>806750000</v>
      </c>
    </row>
    <row r="1386" spans="1:11" ht="18.600000000000001">
      <c r="A1386" s="360" t="s">
        <v>751</v>
      </c>
      <c r="B1386" s="360" t="s">
        <v>116</v>
      </c>
      <c r="C1386" s="355" t="s">
        <v>608</v>
      </c>
      <c r="D1386">
        <v>8340</v>
      </c>
      <c r="E1386" s="143">
        <v>95000</v>
      </c>
      <c r="F1386" s="117">
        <v>1404</v>
      </c>
      <c r="G1386" s="360" t="s">
        <v>302</v>
      </c>
      <c r="H1386" s="144">
        <f>bargiri[[#This Row],[میزان بارگیری شده]]*bargiri[[#This Row],[فی]]</f>
        <v>792300000</v>
      </c>
      <c r="I1386" s="360">
        <f>IF(year=bargiri[[#This Row],[سال]],1,0)</f>
        <v>0</v>
      </c>
      <c r="J1386" s="360" t="str">
        <f>VLOOKUP(bargiri[[#This Row],[شماره پیش فاکتور]],invoice[],16,0)</f>
        <v>عادی</v>
      </c>
      <c r="K1386" s="252">
        <f>bargiri[[#This Row],[فی]]*bargiri[[#This Row],[میزان بارگیری شده]]</f>
        <v>792300000</v>
      </c>
    </row>
    <row r="1387" spans="1:11" ht="18.600000000000001">
      <c r="A1387" s="360" t="s">
        <v>751</v>
      </c>
      <c r="B1387" s="360" t="s">
        <v>118</v>
      </c>
      <c r="C1387" s="355" t="s">
        <v>84</v>
      </c>
      <c r="D1387">
        <v>21040</v>
      </c>
      <c r="E1387" s="143">
        <v>57273</v>
      </c>
      <c r="F1387" s="117">
        <v>1404</v>
      </c>
      <c r="G1387" s="360" t="s">
        <v>302</v>
      </c>
      <c r="H1387" s="144">
        <f>bargiri[[#This Row],[میزان بارگیری شده]]*bargiri[[#This Row],[فی]]</f>
        <v>1205023920</v>
      </c>
      <c r="I1387" s="360">
        <f>IF(year=bargiri[[#This Row],[سال]],1,0)</f>
        <v>0</v>
      </c>
      <c r="J1387" s="360" t="str">
        <f>VLOOKUP(bargiri[[#This Row],[شماره پیش فاکتور]],invoice[],16,0)</f>
        <v>عادی</v>
      </c>
      <c r="K1387" s="252">
        <f>bargiri[[#This Row],[فی]]*bargiri[[#This Row],[میزان بارگیری شده]]</f>
        <v>1205023920</v>
      </c>
    </row>
    <row r="1388" spans="1:11" ht="18.600000000000001">
      <c r="A1388" s="360" t="s">
        <v>749</v>
      </c>
      <c r="B1388" s="360" t="s">
        <v>118</v>
      </c>
      <c r="C1388" s="355" t="s">
        <v>84</v>
      </c>
      <c r="D1388">
        <v>20525</v>
      </c>
      <c r="E1388" s="143">
        <v>57273</v>
      </c>
      <c r="F1388" s="117">
        <v>1404</v>
      </c>
      <c r="G1388" s="360" t="s">
        <v>302</v>
      </c>
      <c r="H1388" s="144">
        <f>bargiri[[#This Row],[میزان بارگیری شده]]*bargiri[[#This Row],[فی]]</f>
        <v>1175528325</v>
      </c>
      <c r="I1388" s="360">
        <f>IF(year=bargiri[[#This Row],[سال]],1,0)</f>
        <v>0</v>
      </c>
      <c r="J1388" s="360" t="str">
        <f>VLOOKUP(bargiri[[#This Row],[شماره پیش فاکتور]],invoice[],16,0)</f>
        <v>عادی</v>
      </c>
      <c r="K1388" s="252">
        <f>bargiri[[#This Row],[فی]]*bargiri[[#This Row],[میزان بارگیری شده]]</f>
        <v>1175528325</v>
      </c>
    </row>
    <row r="1389" spans="1:11" ht="18.600000000000001">
      <c r="A1389" s="360" t="s">
        <v>750</v>
      </c>
      <c r="B1389" s="360" t="s">
        <v>116</v>
      </c>
      <c r="C1389" s="355" t="s">
        <v>565</v>
      </c>
      <c r="D1389">
        <v>19825</v>
      </c>
      <c r="E1389" s="143">
        <v>142000</v>
      </c>
      <c r="F1389" s="117">
        <v>1404</v>
      </c>
      <c r="G1389" s="360" t="s">
        <v>302</v>
      </c>
      <c r="H1389" s="144">
        <f>bargiri[[#This Row],[میزان بارگیری شده]]*bargiri[[#This Row],[فی]]</f>
        <v>2815150000</v>
      </c>
      <c r="I1389" s="360">
        <f>IF(year=bargiri[[#This Row],[سال]],1,0)</f>
        <v>0</v>
      </c>
      <c r="J1389" s="360" t="str">
        <f>VLOOKUP(bargiri[[#This Row],[شماره پیش فاکتور]],invoice[],16,0)</f>
        <v>انجمن</v>
      </c>
      <c r="K1389" s="252">
        <f>bargiri[[#This Row],[فی]]*bargiri[[#This Row],[میزان بارگیری شده]]</f>
        <v>2815150000</v>
      </c>
    </row>
    <row r="1390" spans="1:11" ht="18.600000000000001">
      <c r="A1390" s="360" t="s">
        <v>750</v>
      </c>
      <c r="B1390" s="360" t="s">
        <v>103</v>
      </c>
      <c r="C1390" s="355" t="s">
        <v>560</v>
      </c>
      <c r="D1390">
        <v>7815</v>
      </c>
      <c r="E1390" s="143">
        <v>142000</v>
      </c>
      <c r="F1390" s="117">
        <v>1404</v>
      </c>
      <c r="G1390" s="360" t="s">
        <v>302</v>
      </c>
      <c r="H1390" s="144">
        <f>bargiri[[#This Row],[میزان بارگیری شده]]*bargiri[[#This Row],[فی]]</f>
        <v>1109730000</v>
      </c>
      <c r="I1390" s="360">
        <f>IF(year=bargiri[[#This Row],[سال]],1,0)</f>
        <v>0</v>
      </c>
      <c r="J1390" s="360" t="str">
        <f>VLOOKUP(bargiri[[#This Row],[شماره پیش فاکتور]],invoice[],16,0)</f>
        <v>انجمن</v>
      </c>
      <c r="K1390" s="252">
        <f>bargiri[[#This Row],[فی]]*bargiri[[#This Row],[میزان بارگیری شده]]</f>
        <v>1109730000</v>
      </c>
    </row>
    <row r="1391" spans="1:11" ht="18.600000000000001">
      <c r="A1391" s="360" t="s">
        <v>750</v>
      </c>
      <c r="B1391" s="360" t="s">
        <v>122</v>
      </c>
      <c r="C1391" s="355" t="s">
        <v>568</v>
      </c>
      <c r="D1391">
        <v>21675</v>
      </c>
      <c r="E1391" s="143">
        <v>142000</v>
      </c>
      <c r="F1391" s="117">
        <v>1404</v>
      </c>
      <c r="G1391" s="360" t="s">
        <v>302</v>
      </c>
      <c r="H1391" s="144">
        <f>bargiri[[#This Row],[میزان بارگیری شده]]*bargiri[[#This Row],[فی]]</f>
        <v>3077850000</v>
      </c>
      <c r="I1391" s="360">
        <f>IF(year=bargiri[[#This Row],[سال]],1,0)</f>
        <v>0</v>
      </c>
      <c r="J1391" s="360" t="str">
        <f>VLOOKUP(bargiri[[#This Row],[شماره پیش فاکتور]],invoice[],16,0)</f>
        <v>انجمن</v>
      </c>
      <c r="K1391" s="252">
        <f>bargiri[[#This Row],[فی]]*bargiri[[#This Row],[میزان بارگیری شده]]</f>
        <v>3077850000</v>
      </c>
    </row>
    <row r="1392" spans="1:11" ht="18.600000000000001">
      <c r="A1392" s="360" t="s">
        <v>750</v>
      </c>
      <c r="B1392" s="360" t="s">
        <v>100</v>
      </c>
      <c r="C1392" s="355" t="s">
        <v>555</v>
      </c>
      <c r="D1392">
        <v>19980</v>
      </c>
      <c r="E1392" s="143">
        <v>142000</v>
      </c>
      <c r="F1392" s="117">
        <v>1404</v>
      </c>
      <c r="G1392" s="360" t="s">
        <v>302</v>
      </c>
      <c r="H1392" s="144">
        <f>bargiri[[#This Row],[میزان بارگیری شده]]*bargiri[[#This Row],[فی]]</f>
        <v>2837160000</v>
      </c>
      <c r="I1392" s="360">
        <f>IF(year=bargiri[[#This Row],[سال]],1,0)</f>
        <v>0</v>
      </c>
      <c r="J1392" s="360" t="str">
        <f>VLOOKUP(bargiri[[#This Row],[شماره پیش فاکتور]],invoice[],16,0)</f>
        <v>انجمن</v>
      </c>
      <c r="K1392" s="252">
        <f>bargiri[[#This Row],[فی]]*bargiri[[#This Row],[میزان بارگیری شده]]</f>
        <v>2837160000</v>
      </c>
    </row>
    <row r="1393" spans="1:11" ht="18.600000000000001">
      <c r="A1393" s="360" t="s">
        <v>750</v>
      </c>
      <c r="B1393" s="360" t="s">
        <v>118</v>
      </c>
      <c r="C1393" s="355" t="s">
        <v>84</v>
      </c>
      <c r="D1393">
        <v>20630</v>
      </c>
      <c r="E1393" s="143">
        <v>57273</v>
      </c>
      <c r="F1393" s="117">
        <v>1404</v>
      </c>
      <c r="G1393" s="360" t="s">
        <v>302</v>
      </c>
      <c r="H1393" s="144">
        <f>bargiri[[#This Row],[میزان بارگیری شده]]*bargiri[[#This Row],[فی]]</f>
        <v>1181541990</v>
      </c>
      <c r="I1393" s="360">
        <f>IF(year=bargiri[[#This Row],[سال]],1,0)</f>
        <v>0</v>
      </c>
      <c r="J1393" s="360" t="str">
        <f>VLOOKUP(bargiri[[#This Row],[شماره پیش فاکتور]],invoice[],16,0)</f>
        <v>عادی</v>
      </c>
      <c r="K1393" s="252">
        <f>bargiri[[#This Row],[فی]]*bargiri[[#This Row],[میزان بارگیری شده]]</f>
        <v>1181541990</v>
      </c>
    </row>
    <row r="1394" spans="1:11" ht="18.600000000000001">
      <c r="A1394" s="360" t="s">
        <v>750</v>
      </c>
      <c r="B1394" s="360" t="s">
        <v>118</v>
      </c>
      <c r="C1394" s="355" t="s">
        <v>84</v>
      </c>
      <c r="D1394">
        <v>20605</v>
      </c>
      <c r="E1394" s="143">
        <v>57273</v>
      </c>
      <c r="F1394" s="117">
        <v>1404</v>
      </c>
      <c r="G1394" s="360" t="s">
        <v>302</v>
      </c>
      <c r="H1394" s="144">
        <f>bargiri[[#This Row],[میزان بارگیری شده]]*bargiri[[#This Row],[فی]]</f>
        <v>1180110165</v>
      </c>
      <c r="I1394" s="360">
        <f>IF(year=bargiri[[#This Row],[سال]],1,0)</f>
        <v>0</v>
      </c>
      <c r="J1394" s="360" t="str">
        <f>VLOOKUP(bargiri[[#This Row],[شماره پیش فاکتور]],invoice[],16,0)</f>
        <v>عادی</v>
      </c>
      <c r="K1394" s="252">
        <f>bargiri[[#This Row],[فی]]*bargiri[[#This Row],[میزان بارگیری شده]]</f>
        <v>1180110165</v>
      </c>
    </row>
    <row r="1395" spans="1:11" ht="18.600000000000001">
      <c r="A1395" s="360" t="s">
        <v>750</v>
      </c>
      <c r="B1395" s="360" t="s">
        <v>105</v>
      </c>
      <c r="C1395" s="355" t="s">
        <v>553</v>
      </c>
      <c r="D1395">
        <v>18525</v>
      </c>
      <c r="E1395" s="143">
        <v>142000</v>
      </c>
      <c r="F1395" s="117">
        <v>1404</v>
      </c>
      <c r="G1395" s="360" t="s">
        <v>302</v>
      </c>
      <c r="H1395" s="144">
        <f>bargiri[[#This Row],[میزان بارگیری شده]]*bargiri[[#This Row],[فی]]</f>
        <v>2630550000</v>
      </c>
      <c r="I1395" s="360">
        <f>IF(year=bargiri[[#This Row],[سال]],1,0)</f>
        <v>0</v>
      </c>
      <c r="J1395" s="360" t="str">
        <f>VLOOKUP(bargiri[[#This Row],[شماره پیش فاکتور]],invoice[],16,0)</f>
        <v>انجمن</v>
      </c>
      <c r="K1395" s="252">
        <f>bargiri[[#This Row],[فی]]*bargiri[[#This Row],[میزان بارگیری شده]]</f>
        <v>2630550000</v>
      </c>
    </row>
    <row r="1396" spans="1:11" ht="18.600000000000001">
      <c r="A1396" s="360" t="s">
        <v>744</v>
      </c>
      <c r="B1396" s="360" t="s">
        <v>98</v>
      </c>
      <c r="C1396" s="355" t="s">
        <v>571</v>
      </c>
      <c r="D1396">
        <v>22100</v>
      </c>
      <c r="E1396" s="143">
        <v>142000</v>
      </c>
      <c r="F1396" s="117">
        <v>1404</v>
      </c>
      <c r="G1396" s="360" t="s">
        <v>302</v>
      </c>
      <c r="H1396" s="144">
        <f>bargiri[[#This Row],[میزان بارگیری شده]]*bargiri[[#This Row],[فی]]</f>
        <v>3138200000</v>
      </c>
      <c r="I1396" s="360">
        <f>IF(year=bargiri[[#This Row],[سال]],1,0)</f>
        <v>0</v>
      </c>
      <c r="J1396" s="360" t="str">
        <f>VLOOKUP(bargiri[[#This Row],[شماره پیش فاکتور]],invoice[],16,0)</f>
        <v>انجمن</v>
      </c>
      <c r="K1396" s="252">
        <f>bargiri[[#This Row],[فی]]*bargiri[[#This Row],[میزان بارگیری شده]]</f>
        <v>3138200000</v>
      </c>
    </row>
    <row r="1397" spans="1:11" ht="18.600000000000001">
      <c r="A1397" s="360" t="s">
        <v>744</v>
      </c>
      <c r="B1397" s="360" t="s">
        <v>105</v>
      </c>
      <c r="C1397" s="355" t="s">
        <v>553</v>
      </c>
      <c r="D1397">
        <v>18955</v>
      </c>
      <c r="E1397" s="143">
        <v>142000</v>
      </c>
      <c r="F1397" s="117">
        <v>1404</v>
      </c>
      <c r="G1397" s="360" t="s">
        <v>302</v>
      </c>
      <c r="H1397" s="144">
        <f>bargiri[[#This Row],[میزان بارگیری شده]]*bargiri[[#This Row],[فی]]</f>
        <v>2691610000</v>
      </c>
      <c r="I1397" s="360">
        <f>IF(year=bargiri[[#This Row],[سال]],1,0)</f>
        <v>0</v>
      </c>
      <c r="J1397" s="360" t="str">
        <f>VLOOKUP(bargiri[[#This Row],[شماره پیش فاکتور]],invoice[],16,0)</f>
        <v>انجمن</v>
      </c>
      <c r="K1397" s="252">
        <f>bargiri[[#This Row],[فی]]*bargiri[[#This Row],[میزان بارگیری شده]]</f>
        <v>2691610000</v>
      </c>
    </row>
    <row r="1398" spans="1:11" ht="18.600000000000001">
      <c r="A1398" s="360" t="s">
        <v>744</v>
      </c>
      <c r="B1398" s="360" t="s">
        <v>117</v>
      </c>
      <c r="C1398" s="355" t="s">
        <v>696</v>
      </c>
      <c r="D1398">
        <v>18935</v>
      </c>
      <c r="E1398" s="143">
        <v>167500</v>
      </c>
      <c r="F1398" s="117">
        <v>1404</v>
      </c>
      <c r="G1398" s="360" t="s">
        <v>302</v>
      </c>
      <c r="H1398" s="144">
        <f>bargiri[[#This Row],[میزان بارگیری شده]]*bargiri[[#This Row],[فی]]</f>
        <v>3171612500</v>
      </c>
      <c r="I1398" s="360">
        <f>IF(year=bargiri[[#This Row],[سال]],1,0)</f>
        <v>0</v>
      </c>
      <c r="J1398" s="360" t="str">
        <f>VLOOKUP(bargiri[[#This Row],[شماره پیش فاکتور]],invoice[],16,0)</f>
        <v>بورس</v>
      </c>
      <c r="K1398" s="252">
        <f>bargiri[[#This Row],[فی]]*bargiri[[#This Row],[میزان بارگیری شده]]</f>
        <v>3171612500</v>
      </c>
    </row>
    <row r="1399" spans="1:11" ht="18.600000000000001">
      <c r="A1399" s="360" t="s">
        <v>744</v>
      </c>
      <c r="B1399" s="360" t="s">
        <v>116</v>
      </c>
      <c r="C1399" s="355" t="s">
        <v>642</v>
      </c>
      <c r="D1399">
        <v>19955</v>
      </c>
      <c r="E1399" s="143">
        <v>201000</v>
      </c>
      <c r="F1399" s="117">
        <v>1404</v>
      </c>
      <c r="G1399" s="360" t="s">
        <v>302</v>
      </c>
      <c r="H1399" s="144">
        <f>bargiri[[#This Row],[میزان بارگیری شده]]*bargiri[[#This Row],[فی]]</f>
        <v>4010955000</v>
      </c>
      <c r="I1399" s="360">
        <f>IF(year=bargiri[[#This Row],[سال]],1,0)</f>
        <v>0</v>
      </c>
      <c r="J1399" s="360" t="str">
        <f>VLOOKUP(bargiri[[#This Row],[شماره پیش فاکتور]],invoice[],16,0)</f>
        <v>بورس</v>
      </c>
      <c r="K1399" s="252">
        <f>bargiri[[#This Row],[فی]]*bargiri[[#This Row],[میزان بارگیری شده]]</f>
        <v>4010955000</v>
      </c>
    </row>
    <row r="1400" spans="1:11" ht="18.600000000000001">
      <c r="A1400" s="360" t="s">
        <v>744</v>
      </c>
      <c r="B1400" s="360" t="s">
        <v>118</v>
      </c>
      <c r="C1400" s="355" t="s">
        <v>84</v>
      </c>
      <c r="D1400">
        <v>20490</v>
      </c>
      <c r="E1400" s="143">
        <v>57273</v>
      </c>
      <c r="F1400" s="117">
        <v>1404</v>
      </c>
      <c r="G1400" s="360" t="s">
        <v>302</v>
      </c>
      <c r="H1400" s="144">
        <f>bargiri[[#This Row],[میزان بارگیری شده]]*bargiri[[#This Row],[فی]]</f>
        <v>1173523770</v>
      </c>
      <c r="I1400" s="360">
        <f>IF(year=bargiri[[#This Row],[سال]],1,0)</f>
        <v>0</v>
      </c>
      <c r="J1400" s="360" t="str">
        <f>VLOOKUP(bargiri[[#This Row],[شماره پیش فاکتور]],invoice[],16,0)</f>
        <v>عادی</v>
      </c>
      <c r="K1400" s="252">
        <f>bargiri[[#This Row],[فی]]*bargiri[[#This Row],[میزان بارگیری شده]]</f>
        <v>1173523770</v>
      </c>
    </row>
    <row r="1401" spans="1:11" ht="18.600000000000001">
      <c r="A1401" s="360" t="s">
        <v>744</v>
      </c>
      <c r="B1401" s="360" t="s">
        <v>118</v>
      </c>
      <c r="C1401" s="355" t="s">
        <v>84</v>
      </c>
      <c r="D1401">
        <v>20735</v>
      </c>
      <c r="E1401" s="143">
        <v>57273</v>
      </c>
      <c r="F1401" s="117">
        <v>1404</v>
      </c>
      <c r="G1401" s="360" t="s">
        <v>302</v>
      </c>
      <c r="H1401" s="144">
        <f>bargiri[[#This Row],[میزان بارگیری شده]]*bargiri[[#This Row],[فی]]</f>
        <v>1187555655</v>
      </c>
      <c r="I1401" s="360">
        <f>IF(year=bargiri[[#This Row],[سال]],1,0)</f>
        <v>0</v>
      </c>
      <c r="J1401" s="360" t="str">
        <f>VLOOKUP(bargiri[[#This Row],[شماره پیش فاکتور]],invoice[],16,0)</f>
        <v>عادی</v>
      </c>
      <c r="K1401" s="252">
        <f>bargiri[[#This Row],[فی]]*bargiri[[#This Row],[میزان بارگیری شده]]</f>
        <v>1187555655</v>
      </c>
    </row>
    <row r="1402" spans="1:11" ht="18.600000000000001">
      <c r="A1402" s="360" t="s">
        <v>744</v>
      </c>
      <c r="B1402" s="360" t="s">
        <v>104</v>
      </c>
      <c r="C1402" s="355" t="s">
        <v>562</v>
      </c>
      <c r="D1402">
        <v>18575</v>
      </c>
      <c r="E1402" s="143">
        <v>142000</v>
      </c>
      <c r="F1402" s="117">
        <v>1404</v>
      </c>
      <c r="G1402" s="360" t="s">
        <v>302</v>
      </c>
      <c r="H1402" s="144">
        <f>bargiri[[#This Row],[میزان بارگیری شده]]*bargiri[[#This Row],[فی]]</f>
        <v>2637650000</v>
      </c>
      <c r="I1402" s="360">
        <f>IF(year=bargiri[[#This Row],[سال]],1,0)</f>
        <v>0</v>
      </c>
      <c r="J1402" s="360" t="str">
        <f>VLOOKUP(bargiri[[#This Row],[شماره پیش فاکتور]],invoice[],16,0)</f>
        <v>انجمن</v>
      </c>
      <c r="K1402" s="252">
        <f>bargiri[[#This Row],[فی]]*bargiri[[#This Row],[میزان بارگیری شده]]</f>
        <v>2637650000</v>
      </c>
    </row>
    <row r="1403" spans="1:11" ht="18.600000000000001">
      <c r="A1403" s="360" t="s">
        <v>743</v>
      </c>
      <c r="B1403" s="360" t="s">
        <v>116</v>
      </c>
      <c r="C1403" s="355" t="s">
        <v>608</v>
      </c>
      <c r="D1403">
        <v>15015</v>
      </c>
      <c r="E1403" s="143">
        <v>95000</v>
      </c>
      <c r="F1403" s="117">
        <v>1404</v>
      </c>
      <c r="G1403" s="360" t="s">
        <v>302</v>
      </c>
      <c r="H1403" s="144">
        <f>bargiri[[#This Row],[میزان بارگیری شده]]*bargiri[[#This Row],[فی]]</f>
        <v>1426425000</v>
      </c>
      <c r="I1403" s="360">
        <f>IF(year=bargiri[[#This Row],[سال]],1,0)</f>
        <v>0</v>
      </c>
      <c r="J1403" s="360" t="str">
        <f>VLOOKUP(bargiri[[#This Row],[شماره پیش فاکتور]],invoice[],16,0)</f>
        <v>عادی</v>
      </c>
      <c r="K1403" s="252">
        <f>bargiri[[#This Row],[فی]]*bargiri[[#This Row],[میزان بارگیری شده]]</f>
        <v>1426425000</v>
      </c>
    </row>
    <row r="1404" spans="1:11" ht="18.600000000000001">
      <c r="A1404" s="360" t="s">
        <v>743</v>
      </c>
      <c r="B1404" s="360" t="s">
        <v>116</v>
      </c>
      <c r="C1404" s="355" t="s">
        <v>608</v>
      </c>
      <c r="D1404">
        <v>8370</v>
      </c>
      <c r="E1404" s="143">
        <v>95000</v>
      </c>
      <c r="F1404" s="117">
        <v>1404</v>
      </c>
      <c r="G1404" s="360" t="s">
        <v>302</v>
      </c>
      <c r="H1404" s="144">
        <f>bargiri[[#This Row],[میزان بارگیری شده]]*bargiri[[#This Row],[فی]]</f>
        <v>795150000</v>
      </c>
      <c r="I1404" s="360">
        <f>IF(year=bargiri[[#This Row],[سال]],1,0)</f>
        <v>0</v>
      </c>
      <c r="J1404" s="360" t="str">
        <f>VLOOKUP(bargiri[[#This Row],[شماره پیش فاکتور]],invoice[],16,0)</f>
        <v>عادی</v>
      </c>
      <c r="K1404" s="252">
        <f>bargiri[[#This Row],[فی]]*bargiri[[#This Row],[میزان بارگیری شده]]</f>
        <v>795150000</v>
      </c>
    </row>
    <row r="1405" spans="1:11" ht="18.600000000000001">
      <c r="A1405" s="360" t="s">
        <v>743</v>
      </c>
      <c r="B1405" s="360" t="s">
        <v>125</v>
      </c>
      <c r="C1405" s="355" t="s">
        <v>570</v>
      </c>
      <c r="D1405">
        <v>14490</v>
      </c>
      <c r="E1405" s="143">
        <v>142000</v>
      </c>
      <c r="F1405" s="117">
        <v>1404</v>
      </c>
      <c r="G1405" s="360" t="s">
        <v>302</v>
      </c>
      <c r="H1405" s="144">
        <f>bargiri[[#This Row],[میزان بارگیری شده]]*bargiri[[#This Row],[فی]]</f>
        <v>2057580000</v>
      </c>
      <c r="I1405" s="360">
        <f>IF(year=bargiri[[#This Row],[سال]],1,0)</f>
        <v>0</v>
      </c>
      <c r="J1405" s="360" t="str">
        <f>VLOOKUP(bargiri[[#This Row],[شماره پیش فاکتور]],invoice[],16,0)</f>
        <v>انجمن</v>
      </c>
      <c r="K1405" s="252">
        <f>bargiri[[#This Row],[فی]]*bargiri[[#This Row],[میزان بارگیری شده]]</f>
        <v>2057580000</v>
      </c>
    </row>
    <row r="1406" spans="1:11" ht="18.600000000000001">
      <c r="A1406" s="360" t="s">
        <v>743</v>
      </c>
      <c r="B1406" s="360" t="s">
        <v>104</v>
      </c>
      <c r="C1406" s="355" t="s">
        <v>34</v>
      </c>
      <c r="D1406">
        <v>18525</v>
      </c>
      <c r="E1406" s="143">
        <v>66200</v>
      </c>
      <c r="F1406" s="117">
        <v>1404</v>
      </c>
      <c r="G1406" s="360" t="s">
        <v>302</v>
      </c>
      <c r="H1406" s="144">
        <f>bargiri[[#This Row],[میزان بارگیری شده]]*bargiri[[#This Row],[فی]]</f>
        <v>1226355000</v>
      </c>
      <c r="I1406" s="360">
        <f>IF(year=bargiri[[#This Row],[سال]],1,0)</f>
        <v>0</v>
      </c>
      <c r="J1406" s="360" t="str">
        <f>VLOOKUP(bargiri[[#This Row],[شماره پیش فاکتور]],invoice[],16,0)</f>
        <v>تعادلی</v>
      </c>
      <c r="K1406" s="252">
        <f>bargiri[[#This Row],[فی]]*bargiri[[#This Row],[میزان بارگیری شده]]</f>
        <v>1226355000</v>
      </c>
    </row>
    <row r="1407" spans="1:11" ht="18.600000000000001">
      <c r="A1407" s="360" t="s">
        <v>742</v>
      </c>
      <c r="B1407" s="360" t="s">
        <v>99</v>
      </c>
      <c r="C1407" s="355" t="s">
        <v>12</v>
      </c>
      <c r="D1407">
        <v>19020</v>
      </c>
      <c r="E1407" s="143">
        <v>86500</v>
      </c>
      <c r="F1407" s="117">
        <v>1404</v>
      </c>
      <c r="G1407" s="360" t="s">
        <v>302</v>
      </c>
      <c r="H1407" s="144">
        <f>bargiri[[#This Row],[میزان بارگیری شده]]*bargiri[[#This Row],[فی]]</f>
        <v>1645230000</v>
      </c>
      <c r="I1407" s="360">
        <f>IF(year=bargiri[[#This Row],[سال]],1,0)</f>
        <v>0</v>
      </c>
      <c r="J1407" s="360" t="str">
        <f>VLOOKUP(bargiri[[#This Row],[شماره پیش فاکتور]],invoice[],16,0)</f>
        <v>عادی</v>
      </c>
      <c r="K1407" s="252">
        <f>bargiri[[#This Row],[فی]]*bargiri[[#This Row],[میزان بارگیری شده]]</f>
        <v>1645230000</v>
      </c>
    </row>
    <row r="1408" spans="1:11" ht="18.600000000000001">
      <c r="A1408" s="360" t="s">
        <v>742</v>
      </c>
      <c r="B1408" s="360" t="s">
        <v>102</v>
      </c>
      <c r="C1408" s="355" t="s">
        <v>24</v>
      </c>
      <c r="D1408">
        <v>11615</v>
      </c>
      <c r="E1408" s="143">
        <v>70000</v>
      </c>
      <c r="F1408" s="117">
        <v>1404</v>
      </c>
      <c r="G1408" s="360" t="s">
        <v>302</v>
      </c>
      <c r="H1408" s="144">
        <f>bargiri[[#This Row],[میزان بارگیری شده]]*bargiri[[#This Row],[فی]]</f>
        <v>813050000</v>
      </c>
      <c r="I1408" s="360">
        <f>IF(year=bargiri[[#This Row],[سال]],1,0)</f>
        <v>0</v>
      </c>
      <c r="J1408" s="360" t="str">
        <f>VLOOKUP(bargiri[[#This Row],[شماره پیش فاکتور]],invoice[],16,0)</f>
        <v>عادی</v>
      </c>
      <c r="K1408" s="252">
        <f>bargiri[[#This Row],[فی]]*bargiri[[#This Row],[میزان بارگیری شده]]</f>
        <v>813050000</v>
      </c>
    </row>
    <row r="1409" spans="1:11" ht="18.600000000000001">
      <c r="A1409" s="360" t="s">
        <v>742</v>
      </c>
      <c r="B1409" s="360" t="s">
        <v>116</v>
      </c>
      <c r="C1409" s="355" t="s">
        <v>565</v>
      </c>
      <c r="D1409">
        <v>20045</v>
      </c>
      <c r="E1409" s="143">
        <v>142000</v>
      </c>
      <c r="F1409" s="117">
        <v>1404</v>
      </c>
      <c r="G1409" s="360" t="s">
        <v>302</v>
      </c>
      <c r="H1409" s="144">
        <f>bargiri[[#This Row],[میزان بارگیری شده]]*bargiri[[#This Row],[فی]]</f>
        <v>2846390000</v>
      </c>
      <c r="I1409" s="360">
        <f>IF(year=bargiri[[#This Row],[سال]],1,0)</f>
        <v>0</v>
      </c>
      <c r="J1409" s="360" t="str">
        <f>VLOOKUP(bargiri[[#This Row],[شماره پیش فاکتور]],invoice[],16,0)</f>
        <v>انجمن</v>
      </c>
      <c r="K1409" s="252">
        <f>bargiri[[#This Row],[فی]]*bargiri[[#This Row],[میزان بارگیری شده]]</f>
        <v>2846390000</v>
      </c>
    </row>
    <row r="1410" spans="1:11" ht="18.600000000000001">
      <c r="A1410" s="360" t="s">
        <v>742</v>
      </c>
      <c r="B1410" s="360" t="s">
        <v>123</v>
      </c>
      <c r="C1410" s="355" t="s">
        <v>569</v>
      </c>
      <c r="D1410">
        <v>7755</v>
      </c>
      <c r="E1410" s="143">
        <v>142000</v>
      </c>
      <c r="F1410" s="117">
        <v>1404</v>
      </c>
      <c r="G1410" s="360" t="s">
        <v>302</v>
      </c>
      <c r="H1410" s="144">
        <f>bargiri[[#This Row],[میزان بارگیری شده]]*bargiri[[#This Row],[فی]]</f>
        <v>1101210000</v>
      </c>
      <c r="I1410" s="360">
        <f>IF(year=bargiri[[#This Row],[سال]],1,0)</f>
        <v>0</v>
      </c>
      <c r="J1410" s="360" t="str">
        <f>VLOOKUP(bargiri[[#This Row],[شماره پیش فاکتور]],invoice[],16,0)</f>
        <v>انجمن</v>
      </c>
      <c r="K1410" s="252">
        <f>bargiri[[#This Row],[فی]]*bargiri[[#This Row],[میزان بارگیری شده]]</f>
        <v>1101210000</v>
      </c>
    </row>
    <row r="1411" spans="1:11" ht="18.600000000000001">
      <c r="A1411" s="360" t="s">
        <v>742</v>
      </c>
      <c r="B1411" s="360" t="s">
        <v>118</v>
      </c>
      <c r="C1411" s="355" t="s">
        <v>84</v>
      </c>
      <c r="D1411">
        <v>20565</v>
      </c>
      <c r="E1411" s="143">
        <v>57273</v>
      </c>
      <c r="F1411" s="117">
        <v>1404</v>
      </c>
      <c r="G1411" s="360" t="s">
        <v>302</v>
      </c>
      <c r="H1411" s="144">
        <f>bargiri[[#This Row],[میزان بارگیری شده]]*bargiri[[#This Row],[فی]]</f>
        <v>1177819245</v>
      </c>
      <c r="I1411" s="360">
        <f>IF(year=bargiri[[#This Row],[سال]],1,0)</f>
        <v>0</v>
      </c>
      <c r="J1411" s="360" t="str">
        <f>VLOOKUP(bargiri[[#This Row],[شماره پیش فاکتور]],invoice[],16,0)</f>
        <v>عادی</v>
      </c>
      <c r="K1411" s="252">
        <f>bargiri[[#This Row],[فی]]*bargiri[[#This Row],[میزان بارگیری شده]]</f>
        <v>1177819245</v>
      </c>
    </row>
    <row r="1412" spans="1:11" ht="18.600000000000001">
      <c r="A1412" s="360" t="s">
        <v>742</v>
      </c>
      <c r="B1412" s="360" t="s">
        <v>118</v>
      </c>
      <c r="C1412" s="355" t="s">
        <v>84</v>
      </c>
      <c r="D1412">
        <v>20485</v>
      </c>
      <c r="E1412" s="143">
        <v>57273</v>
      </c>
      <c r="F1412" s="117">
        <v>1404</v>
      </c>
      <c r="G1412" s="360" t="s">
        <v>302</v>
      </c>
      <c r="H1412" s="144">
        <f>bargiri[[#This Row],[میزان بارگیری شده]]*bargiri[[#This Row],[فی]]</f>
        <v>1173237405</v>
      </c>
      <c r="I1412" s="360">
        <f>IF(year=bargiri[[#This Row],[سال]],1,0)</f>
        <v>0</v>
      </c>
      <c r="J1412" s="360" t="str">
        <f>VLOOKUP(bargiri[[#This Row],[شماره پیش فاکتور]],invoice[],16,0)</f>
        <v>عادی</v>
      </c>
      <c r="K1412" s="252">
        <f>bargiri[[#This Row],[فی]]*bargiri[[#This Row],[میزان بارگیری شده]]</f>
        <v>1173237405</v>
      </c>
    </row>
    <row r="1413" spans="1:11" ht="18.600000000000001">
      <c r="A1413" s="360" t="s">
        <v>739</v>
      </c>
      <c r="B1413" s="360" t="s">
        <v>109</v>
      </c>
      <c r="C1413" s="355" t="s">
        <v>563</v>
      </c>
      <c r="D1413">
        <v>7515</v>
      </c>
      <c r="E1413" s="143">
        <v>142000</v>
      </c>
      <c r="F1413" s="117">
        <v>1404</v>
      </c>
      <c r="G1413" s="360" t="s">
        <v>303</v>
      </c>
      <c r="H1413" s="144">
        <f>bargiri[[#This Row],[میزان بارگیری شده]]*bargiri[[#This Row],[فی]]</f>
        <v>1067130000</v>
      </c>
      <c r="I1413" s="360">
        <f>IF(year=bargiri[[#This Row],[سال]],1,0)</f>
        <v>0</v>
      </c>
      <c r="J1413" s="360" t="str">
        <f>VLOOKUP(bargiri[[#This Row],[شماره پیش فاکتور]],invoice[],16,0)</f>
        <v>انجمن</v>
      </c>
      <c r="K1413" s="252">
        <f>bargiri[[#This Row],[فی]]*bargiri[[#This Row],[میزان بارگیری شده]]</f>
        <v>1067130000</v>
      </c>
    </row>
    <row r="1414" spans="1:11" ht="18.600000000000001">
      <c r="A1414" s="360" t="s">
        <v>739</v>
      </c>
      <c r="B1414" s="360" t="s">
        <v>116</v>
      </c>
      <c r="C1414" s="355" t="s">
        <v>642</v>
      </c>
      <c r="D1414">
        <v>19875</v>
      </c>
      <c r="E1414" s="143">
        <v>201000</v>
      </c>
      <c r="F1414" s="117">
        <v>1404</v>
      </c>
      <c r="G1414" s="360" t="s">
        <v>303</v>
      </c>
      <c r="H1414" s="144">
        <f>bargiri[[#This Row],[میزان بارگیری شده]]*bargiri[[#This Row],[فی]]</f>
        <v>3994875000</v>
      </c>
      <c r="I1414" s="360">
        <f>IF(year=bargiri[[#This Row],[سال]],1,0)</f>
        <v>0</v>
      </c>
      <c r="J1414" s="360" t="str">
        <f>VLOOKUP(bargiri[[#This Row],[شماره پیش فاکتور]],invoice[],16,0)</f>
        <v>بورس</v>
      </c>
      <c r="K1414" s="252">
        <f>bargiri[[#This Row],[فی]]*bargiri[[#This Row],[میزان بارگیری شده]]</f>
        <v>3994875000</v>
      </c>
    </row>
    <row r="1415" spans="1:11" ht="18.600000000000001">
      <c r="A1415" s="360" t="s">
        <v>739</v>
      </c>
      <c r="B1415" s="360" t="s">
        <v>102</v>
      </c>
      <c r="C1415" s="355" t="s">
        <v>24</v>
      </c>
      <c r="D1415">
        <v>11510</v>
      </c>
      <c r="E1415" s="143">
        <v>70000</v>
      </c>
      <c r="F1415" s="117">
        <v>1404</v>
      </c>
      <c r="G1415" s="360" t="s">
        <v>303</v>
      </c>
      <c r="H1415" s="144">
        <f>bargiri[[#This Row],[میزان بارگیری شده]]*bargiri[[#This Row],[فی]]</f>
        <v>805700000</v>
      </c>
      <c r="I1415" s="360">
        <f>IF(year=bargiri[[#This Row],[سال]],1,0)</f>
        <v>0</v>
      </c>
      <c r="J1415" s="360" t="str">
        <f>VLOOKUP(bargiri[[#This Row],[شماره پیش فاکتور]],invoice[],16,0)</f>
        <v>عادی</v>
      </c>
      <c r="K1415" s="252">
        <f>bargiri[[#This Row],[فی]]*bargiri[[#This Row],[میزان بارگیری شده]]</f>
        <v>805700000</v>
      </c>
    </row>
    <row r="1416" spans="1:11" ht="18.600000000000001">
      <c r="A1416" s="360" t="s">
        <v>739</v>
      </c>
      <c r="B1416" s="360" t="s">
        <v>104</v>
      </c>
      <c r="C1416" s="355" t="s">
        <v>562</v>
      </c>
      <c r="D1416">
        <v>18475</v>
      </c>
      <c r="E1416" s="143">
        <v>142000</v>
      </c>
      <c r="F1416" s="117">
        <v>1404</v>
      </c>
      <c r="G1416" s="360" t="s">
        <v>303</v>
      </c>
      <c r="H1416" s="144">
        <f>bargiri[[#This Row],[میزان بارگیری شده]]*bargiri[[#This Row],[فی]]</f>
        <v>2623450000</v>
      </c>
      <c r="I1416" s="360">
        <f>IF(year=bargiri[[#This Row],[سال]],1,0)</f>
        <v>0</v>
      </c>
      <c r="J1416" s="360" t="str">
        <f>VLOOKUP(bargiri[[#This Row],[شماره پیش فاکتور]],invoice[],16,0)</f>
        <v>انجمن</v>
      </c>
      <c r="K1416" s="252">
        <f>bargiri[[#This Row],[فی]]*bargiri[[#This Row],[میزان بارگیری شده]]</f>
        <v>2623450000</v>
      </c>
    </row>
    <row r="1417" spans="1:11" ht="18.600000000000001">
      <c r="A1417" s="360" t="s">
        <v>739</v>
      </c>
      <c r="B1417" s="360" t="s">
        <v>117</v>
      </c>
      <c r="C1417" s="355" t="s">
        <v>696</v>
      </c>
      <c r="D1417">
        <v>19935</v>
      </c>
      <c r="E1417" s="143">
        <v>167500</v>
      </c>
      <c r="F1417" s="117">
        <v>1404</v>
      </c>
      <c r="G1417" s="360" t="s">
        <v>303</v>
      </c>
      <c r="H1417" s="144">
        <f>bargiri[[#This Row],[میزان بارگیری شده]]*bargiri[[#This Row],[فی]]</f>
        <v>3339112500</v>
      </c>
      <c r="I1417" s="360">
        <f>IF(year=bargiri[[#This Row],[سال]],1,0)</f>
        <v>0</v>
      </c>
      <c r="J1417" s="360" t="str">
        <f>VLOOKUP(bargiri[[#This Row],[شماره پیش فاکتور]],invoice[],16,0)</f>
        <v>بورس</v>
      </c>
      <c r="K1417" s="252">
        <f>bargiri[[#This Row],[فی]]*bargiri[[#This Row],[میزان بارگیری شده]]</f>
        <v>3339112500</v>
      </c>
    </row>
    <row r="1418" spans="1:11" ht="18.600000000000001">
      <c r="A1418" s="360" t="s">
        <v>739</v>
      </c>
      <c r="B1418" s="360" t="s">
        <v>106</v>
      </c>
      <c r="C1418" s="355" t="s">
        <v>44</v>
      </c>
      <c r="D1418">
        <v>22270</v>
      </c>
      <c r="E1418" s="143">
        <v>80000</v>
      </c>
      <c r="F1418" s="117">
        <v>1404</v>
      </c>
      <c r="G1418" s="360" t="s">
        <v>303</v>
      </c>
      <c r="H1418" s="144">
        <f>bargiri[[#This Row],[میزان بارگیری شده]]*bargiri[[#This Row],[فی]]</f>
        <v>1781600000</v>
      </c>
      <c r="I1418" s="360">
        <f>IF(year=bargiri[[#This Row],[سال]],1,0)</f>
        <v>0</v>
      </c>
      <c r="J1418" s="360" t="str">
        <f>VLOOKUP(bargiri[[#This Row],[شماره پیش فاکتور]],invoice[],16,0)</f>
        <v>عادی</v>
      </c>
      <c r="K1418" s="252">
        <f>bargiri[[#This Row],[فی]]*bargiri[[#This Row],[میزان بارگیری شده]]</f>
        <v>1781600000</v>
      </c>
    </row>
    <row r="1419" spans="1:11" ht="18.600000000000001">
      <c r="A1419" s="360" t="s">
        <v>739</v>
      </c>
      <c r="B1419" s="360" t="s">
        <v>122</v>
      </c>
      <c r="C1419" s="355" t="s">
        <v>568</v>
      </c>
      <c r="D1419">
        <v>22055</v>
      </c>
      <c r="E1419" s="143">
        <v>142000</v>
      </c>
      <c r="F1419" s="117">
        <v>1404</v>
      </c>
      <c r="G1419" s="360" t="s">
        <v>303</v>
      </c>
      <c r="H1419" s="144">
        <f>bargiri[[#This Row],[میزان بارگیری شده]]*bargiri[[#This Row],[فی]]</f>
        <v>3131810000</v>
      </c>
      <c r="I1419" s="360">
        <f>IF(year=bargiri[[#This Row],[سال]],1,0)</f>
        <v>0</v>
      </c>
      <c r="J1419" s="360" t="str">
        <f>VLOOKUP(bargiri[[#This Row],[شماره پیش فاکتور]],invoice[],16,0)</f>
        <v>انجمن</v>
      </c>
      <c r="K1419" s="252">
        <f>bargiri[[#This Row],[فی]]*bargiri[[#This Row],[میزان بارگیری شده]]</f>
        <v>3131810000</v>
      </c>
    </row>
    <row r="1420" spans="1:11" ht="18.600000000000001">
      <c r="A1420" s="360" t="s">
        <v>740</v>
      </c>
      <c r="B1420" s="360" t="s">
        <v>118</v>
      </c>
      <c r="C1420" s="355" t="s">
        <v>84</v>
      </c>
      <c r="D1420">
        <v>20595</v>
      </c>
      <c r="E1420" s="143">
        <v>57273</v>
      </c>
      <c r="F1420" s="117">
        <v>1404</v>
      </c>
      <c r="G1420" s="360" t="s">
        <v>303</v>
      </c>
      <c r="H1420" s="144">
        <f>bargiri[[#This Row],[میزان بارگیری شده]]*bargiri[[#This Row],[فی]]</f>
        <v>1179537435</v>
      </c>
      <c r="I1420" s="360">
        <f>IF(year=bargiri[[#This Row],[سال]],1,0)</f>
        <v>0</v>
      </c>
      <c r="J1420" s="360" t="str">
        <f>VLOOKUP(bargiri[[#This Row],[شماره پیش فاکتور]],invoice[],16,0)</f>
        <v>عادی</v>
      </c>
      <c r="K1420" s="252">
        <f>bargiri[[#This Row],[فی]]*bargiri[[#This Row],[میزان بارگیری شده]]</f>
        <v>1179537435</v>
      </c>
    </row>
    <row r="1421" spans="1:11" ht="18.600000000000001">
      <c r="A1421" s="360" t="s">
        <v>740</v>
      </c>
      <c r="B1421" s="360" t="s">
        <v>118</v>
      </c>
      <c r="C1421" s="355" t="s">
        <v>84</v>
      </c>
      <c r="D1421">
        <v>20640</v>
      </c>
      <c r="E1421" s="143">
        <v>57273</v>
      </c>
      <c r="F1421" s="117">
        <v>1404</v>
      </c>
      <c r="G1421" s="360" t="s">
        <v>303</v>
      </c>
      <c r="H1421" s="144">
        <f>bargiri[[#This Row],[میزان بارگیری شده]]*bargiri[[#This Row],[فی]]</f>
        <v>1182114720</v>
      </c>
      <c r="I1421" s="360">
        <f>IF(year=bargiri[[#This Row],[سال]],1,0)</f>
        <v>0</v>
      </c>
      <c r="J1421" s="360" t="str">
        <f>VLOOKUP(bargiri[[#This Row],[شماره پیش فاکتور]],invoice[],16,0)</f>
        <v>عادی</v>
      </c>
      <c r="K1421" s="252">
        <f>bargiri[[#This Row],[فی]]*bargiri[[#This Row],[میزان بارگیری شده]]</f>
        <v>1182114720</v>
      </c>
    </row>
    <row r="1422" spans="1:11" ht="18.600000000000001">
      <c r="A1422" s="360" t="s">
        <v>740</v>
      </c>
      <c r="B1422" s="360" t="s">
        <v>118</v>
      </c>
      <c r="C1422" s="355" t="s">
        <v>84</v>
      </c>
      <c r="D1422">
        <v>20315</v>
      </c>
      <c r="E1422" s="143">
        <v>57273</v>
      </c>
      <c r="F1422" s="117">
        <v>1404</v>
      </c>
      <c r="G1422" s="360" t="s">
        <v>303</v>
      </c>
      <c r="H1422" s="144">
        <f>bargiri[[#This Row],[میزان بارگیری شده]]*bargiri[[#This Row],[فی]]</f>
        <v>1163500995</v>
      </c>
      <c r="I1422" s="360">
        <f>IF(year=bargiri[[#This Row],[سال]],1,0)</f>
        <v>0</v>
      </c>
      <c r="J1422" s="360" t="str">
        <f>VLOOKUP(bargiri[[#This Row],[شماره پیش فاکتور]],invoice[],16,0)</f>
        <v>عادی</v>
      </c>
      <c r="K1422" s="252">
        <f>bargiri[[#This Row],[فی]]*bargiri[[#This Row],[میزان بارگیری شده]]</f>
        <v>1163500995</v>
      </c>
    </row>
    <row r="1423" spans="1:11" ht="18.600000000000001">
      <c r="A1423" s="360" t="s">
        <v>740</v>
      </c>
      <c r="B1423" s="360" t="s">
        <v>116</v>
      </c>
      <c r="C1423" s="355" t="s">
        <v>565</v>
      </c>
      <c r="D1423">
        <v>19660</v>
      </c>
      <c r="E1423" s="143">
        <v>142000</v>
      </c>
      <c r="F1423" s="117">
        <v>1404</v>
      </c>
      <c r="G1423" s="360" t="s">
        <v>303</v>
      </c>
      <c r="H1423" s="144">
        <f>bargiri[[#This Row],[میزان بارگیری شده]]*bargiri[[#This Row],[فی]]</f>
        <v>2791720000</v>
      </c>
      <c r="I1423" s="360">
        <f>IF(year=bargiri[[#This Row],[سال]],1,0)</f>
        <v>0</v>
      </c>
      <c r="J1423" s="360" t="str">
        <f>VLOOKUP(bargiri[[#This Row],[شماره پیش فاکتور]],invoice[],16,0)</f>
        <v>انجمن</v>
      </c>
      <c r="K1423" s="252">
        <f>bargiri[[#This Row],[فی]]*bargiri[[#This Row],[میزان بارگیری شده]]</f>
        <v>2791720000</v>
      </c>
    </row>
    <row r="1424" spans="1:11" ht="18.600000000000001">
      <c r="A1424" s="360" t="s">
        <v>740</v>
      </c>
      <c r="B1424" s="360" t="s">
        <v>118</v>
      </c>
      <c r="C1424" s="355" t="s">
        <v>84</v>
      </c>
      <c r="D1424">
        <v>20605</v>
      </c>
      <c r="E1424" s="143">
        <v>57273</v>
      </c>
      <c r="F1424" s="117">
        <v>1404</v>
      </c>
      <c r="G1424" s="360" t="s">
        <v>303</v>
      </c>
      <c r="H1424" s="144">
        <f>bargiri[[#This Row],[میزان بارگیری شده]]*bargiri[[#This Row],[فی]]</f>
        <v>1180110165</v>
      </c>
      <c r="I1424" s="360">
        <f>IF(year=bargiri[[#This Row],[سال]],1,0)</f>
        <v>0</v>
      </c>
      <c r="J1424" s="360" t="str">
        <f>VLOOKUP(bargiri[[#This Row],[شماره پیش فاکتور]],invoice[],16,0)</f>
        <v>عادی</v>
      </c>
      <c r="K1424" s="252">
        <f>bargiri[[#This Row],[فی]]*bargiri[[#This Row],[میزان بارگیری شده]]</f>
        <v>1180110165</v>
      </c>
    </row>
    <row r="1425" spans="1:11" ht="18.600000000000001">
      <c r="A1425" s="360" t="s">
        <v>740</v>
      </c>
      <c r="B1425" s="360" t="s">
        <v>118</v>
      </c>
      <c r="C1425" s="355" t="s">
        <v>84</v>
      </c>
      <c r="D1425">
        <v>20500</v>
      </c>
      <c r="E1425" s="143">
        <v>57273</v>
      </c>
      <c r="F1425" s="117">
        <v>1404</v>
      </c>
      <c r="G1425" s="360" t="s">
        <v>303</v>
      </c>
      <c r="H1425" s="144">
        <f>bargiri[[#This Row],[میزان بارگیری شده]]*bargiri[[#This Row],[فی]]</f>
        <v>1174096500</v>
      </c>
      <c r="I1425" s="360">
        <f>IF(year=bargiri[[#This Row],[سال]],1,0)</f>
        <v>0</v>
      </c>
      <c r="J1425" s="360" t="str">
        <f>VLOOKUP(bargiri[[#This Row],[شماره پیش فاکتور]],invoice[],16,0)</f>
        <v>عادی</v>
      </c>
      <c r="K1425" s="252">
        <f>bargiri[[#This Row],[فی]]*bargiri[[#This Row],[میزان بارگیری شده]]</f>
        <v>1174096500</v>
      </c>
    </row>
    <row r="1426" spans="1:11" ht="18.600000000000001">
      <c r="A1426" s="360" t="s">
        <v>738</v>
      </c>
      <c r="B1426" s="360" t="s">
        <v>99</v>
      </c>
      <c r="C1426" s="355" t="s">
        <v>12</v>
      </c>
      <c r="D1426">
        <v>18885</v>
      </c>
      <c r="E1426" s="143">
        <v>86500</v>
      </c>
      <c r="F1426" s="117">
        <v>1404</v>
      </c>
      <c r="G1426" s="360" t="s">
        <v>303</v>
      </c>
      <c r="H1426" s="144">
        <f>bargiri[[#This Row],[میزان بارگیری شده]]*bargiri[[#This Row],[فی]]</f>
        <v>1633552500</v>
      </c>
      <c r="I1426" s="360">
        <f>IF(year=bargiri[[#This Row],[سال]],1,0)</f>
        <v>0</v>
      </c>
      <c r="J1426" s="360" t="str">
        <f>VLOOKUP(bargiri[[#This Row],[شماره پیش فاکتور]],invoice[],16,0)</f>
        <v>عادی</v>
      </c>
      <c r="K1426" s="252">
        <f>bargiri[[#This Row],[فی]]*bargiri[[#This Row],[میزان بارگیری شده]]</f>
        <v>1633552500</v>
      </c>
    </row>
    <row r="1427" spans="1:11" ht="18.600000000000001">
      <c r="A1427" s="360" t="s">
        <v>738</v>
      </c>
      <c r="B1427" s="360" t="s">
        <v>116</v>
      </c>
      <c r="C1427" s="355" t="s">
        <v>67</v>
      </c>
      <c r="D1427">
        <v>1415</v>
      </c>
      <c r="E1427" s="143">
        <v>65000</v>
      </c>
      <c r="F1427" s="117">
        <v>1404</v>
      </c>
      <c r="G1427" s="360" t="s">
        <v>303</v>
      </c>
      <c r="H1427" s="144">
        <f>bargiri[[#This Row],[میزان بارگیری شده]]*bargiri[[#This Row],[فی]]</f>
        <v>91975000</v>
      </c>
      <c r="I1427" s="360">
        <f>IF(year=bargiri[[#This Row],[سال]],1,0)</f>
        <v>0</v>
      </c>
      <c r="J1427" s="360" t="str">
        <f>VLOOKUP(bargiri[[#This Row],[شماره پیش فاکتور]],invoice[],16,0)</f>
        <v>تعادلی</v>
      </c>
      <c r="K1427" s="252">
        <f>bargiri[[#This Row],[فی]]*bargiri[[#This Row],[میزان بارگیری شده]]</f>
        <v>91975000</v>
      </c>
    </row>
    <row r="1428" spans="1:11" ht="18.600000000000001">
      <c r="A1428" s="360" t="s">
        <v>738</v>
      </c>
      <c r="B1428" s="360" t="s">
        <v>116</v>
      </c>
      <c r="C1428" s="355" t="s">
        <v>608</v>
      </c>
      <c r="D1428">
        <v>18645</v>
      </c>
      <c r="E1428" s="143">
        <v>95000</v>
      </c>
      <c r="F1428" s="117">
        <v>1404</v>
      </c>
      <c r="G1428" s="360" t="s">
        <v>303</v>
      </c>
      <c r="H1428" s="144">
        <f>bargiri[[#This Row],[میزان بارگیری شده]]*bargiri[[#This Row],[فی]]</f>
        <v>1771275000</v>
      </c>
      <c r="I1428" s="360">
        <f>IF(year=bargiri[[#This Row],[سال]],1,0)</f>
        <v>0</v>
      </c>
      <c r="J1428" s="360" t="str">
        <f>VLOOKUP(bargiri[[#This Row],[شماره پیش فاکتور]],invoice[],16,0)</f>
        <v>عادی</v>
      </c>
      <c r="K1428" s="252">
        <f>bargiri[[#This Row],[فی]]*bargiri[[#This Row],[میزان بارگیری شده]]</f>
        <v>1771275000</v>
      </c>
    </row>
    <row r="1429" spans="1:11" ht="18.600000000000001">
      <c r="A1429" s="360" t="s">
        <v>738</v>
      </c>
      <c r="B1429" s="360" t="s">
        <v>103</v>
      </c>
      <c r="C1429" s="355" t="s">
        <v>560</v>
      </c>
      <c r="D1429">
        <v>7355</v>
      </c>
      <c r="E1429" s="143">
        <v>142000</v>
      </c>
      <c r="F1429" s="117">
        <v>1404</v>
      </c>
      <c r="G1429" s="360" t="s">
        <v>303</v>
      </c>
      <c r="H1429" s="144">
        <f>bargiri[[#This Row],[میزان بارگیری شده]]*bargiri[[#This Row],[فی]]</f>
        <v>1044410000</v>
      </c>
      <c r="I1429" s="360">
        <f>IF(year=bargiri[[#This Row],[سال]],1,0)</f>
        <v>0</v>
      </c>
      <c r="J1429" s="360" t="str">
        <f>VLOOKUP(bargiri[[#This Row],[شماره پیش فاکتور]],invoice[],16,0)</f>
        <v>انجمن</v>
      </c>
      <c r="K1429" s="252">
        <f>bargiri[[#This Row],[فی]]*bargiri[[#This Row],[میزان بارگیری شده]]</f>
        <v>1044410000</v>
      </c>
    </row>
    <row r="1430" spans="1:11" ht="18.600000000000001">
      <c r="A1430" s="360" t="s">
        <v>738</v>
      </c>
      <c r="B1430" s="360" t="s">
        <v>98</v>
      </c>
      <c r="C1430" s="355" t="s">
        <v>571</v>
      </c>
      <c r="D1430">
        <v>22030</v>
      </c>
      <c r="E1430" s="143">
        <v>142000</v>
      </c>
      <c r="F1430" s="117">
        <v>1404</v>
      </c>
      <c r="G1430" s="360" t="s">
        <v>303</v>
      </c>
      <c r="H1430" s="144">
        <f>bargiri[[#This Row],[میزان بارگیری شده]]*bargiri[[#This Row],[فی]]</f>
        <v>3128260000</v>
      </c>
      <c r="I1430" s="360">
        <f>IF(year=bargiri[[#This Row],[سال]],1,0)</f>
        <v>0</v>
      </c>
      <c r="J1430" s="360" t="str">
        <f>VLOOKUP(bargiri[[#This Row],[شماره پیش فاکتور]],invoice[],16,0)</f>
        <v>انجمن</v>
      </c>
      <c r="K1430" s="252">
        <f>bargiri[[#This Row],[فی]]*bargiri[[#This Row],[میزان بارگیری شده]]</f>
        <v>3128260000</v>
      </c>
    </row>
    <row r="1431" spans="1:11" ht="18.600000000000001">
      <c r="A1431" s="360" t="s">
        <v>738</v>
      </c>
      <c r="B1431" s="360" t="s">
        <v>104</v>
      </c>
      <c r="C1431" s="355" t="s">
        <v>34</v>
      </c>
      <c r="D1431">
        <v>18370</v>
      </c>
      <c r="E1431" s="143">
        <v>66200</v>
      </c>
      <c r="F1431" s="117">
        <v>1404</v>
      </c>
      <c r="G1431" s="360" t="s">
        <v>303</v>
      </c>
      <c r="H1431" s="144">
        <f>bargiri[[#This Row],[میزان بارگیری شده]]*bargiri[[#This Row],[فی]]</f>
        <v>1216094000</v>
      </c>
      <c r="I1431" s="360">
        <f>IF(year=bargiri[[#This Row],[سال]],1,0)</f>
        <v>0</v>
      </c>
      <c r="J1431" s="360" t="str">
        <f>VLOOKUP(bargiri[[#This Row],[شماره پیش فاکتور]],invoice[],16,0)</f>
        <v>تعادلی</v>
      </c>
      <c r="K1431" s="252">
        <f>bargiri[[#This Row],[فی]]*bargiri[[#This Row],[میزان بارگیری شده]]</f>
        <v>1216094000</v>
      </c>
    </row>
    <row r="1432" spans="1:11" ht="18.600000000000001">
      <c r="A1432" s="360" t="s">
        <v>737</v>
      </c>
      <c r="B1432" s="360" t="s">
        <v>103</v>
      </c>
      <c r="C1432" s="355" t="s">
        <v>560</v>
      </c>
      <c r="D1432">
        <v>7310</v>
      </c>
      <c r="E1432" s="143">
        <v>142000</v>
      </c>
      <c r="F1432" s="117">
        <v>1404</v>
      </c>
      <c r="G1432" s="360" t="s">
        <v>303</v>
      </c>
      <c r="H1432" s="144">
        <f>bargiri[[#This Row],[میزان بارگیری شده]]*bargiri[[#This Row],[فی]]</f>
        <v>1038020000</v>
      </c>
      <c r="I1432" s="360">
        <f>IF(year=bargiri[[#This Row],[سال]],1,0)</f>
        <v>0</v>
      </c>
      <c r="J1432" s="360" t="str">
        <f>VLOOKUP(bargiri[[#This Row],[شماره پیش فاکتور]],invoice[],16,0)</f>
        <v>انجمن</v>
      </c>
      <c r="K1432" s="252">
        <f>bargiri[[#This Row],[فی]]*bargiri[[#This Row],[میزان بارگیری شده]]</f>
        <v>1038020000</v>
      </c>
    </row>
    <row r="1433" spans="1:11" ht="18.600000000000001">
      <c r="A1433" s="360" t="s">
        <v>737</v>
      </c>
      <c r="B1433" s="360" t="s">
        <v>118</v>
      </c>
      <c r="C1433" s="355" t="s">
        <v>84</v>
      </c>
      <c r="D1433">
        <v>20565</v>
      </c>
      <c r="E1433" s="143">
        <v>57273</v>
      </c>
      <c r="F1433" s="117">
        <v>1404</v>
      </c>
      <c r="G1433" s="360" t="s">
        <v>303</v>
      </c>
      <c r="H1433" s="144">
        <f>bargiri[[#This Row],[میزان بارگیری شده]]*bargiri[[#This Row],[فی]]</f>
        <v>1177819245</v>
      </c>
      <c r="I1433" s="360">
        <f>IF(year=bargiri[[#This Row],[سال]],1,0)</f>
        <v>0</v>
      </c>
      <c r="J1433" s="360" t="str">
        <f>VLOOKUP(bargiri[[#This Row],[شماره پیش فاکتور]],invoice[],16,0)</f>
        <v>عادی</v>
      </c>
      <c r="K1433" s="252">
        <f>bargiri[[#This Row],[فی]]*bargiri[[#This Row],[میزان بارگیری شده]]</f>
        <v>1177819245</v>
      </c>
    </row>
    <row r="1434" spans="1:11" ht="18.600000000000001">
      <c r="A1434" s="360" t="s">
        <v>737</v>
      </c>
      <c r="B1434" s="360" t="s">
        <v>116</v>
      </c>
      <c r="C1434" s="355" t="s">
        <v>67</v>
      </c>
      <c r="D1434">
        <v>20060</v>
      </c>
      <c r="E1434" s="143">
        <v>65000</v>
      </c>
      <c r="F1434" s="117">
        <v>1404</v>
      </c>
      <c r="G1434" s="360" t="s">
        <v>303</v>
      </c>
      <c r="H1434" s="144">
        <f>bargiri[[#This Row],[میزان بارگیری شده]]*bargiri[[#This Row],[فی]]</f>
        <v>1303900000</v>
      </c>
      <c r="I1434" s="360">
        <f>IF(year=bargiri[[#This Row],[سال]],1,0)</f>
        <v>0</v>
      </c>
      <c r="J1434" s="360" t="str">
        <f>VLOOKUP(bargiri[[#This Row],[شماره پیش فاکتور]],invoice[],16,0)</f>
        <v>تعادلی</v>
      </c>
      <c r="K1434" s="252">
        <f>bargiri[[#This Row],[فی]]*bargiri[[#This Row],[میزان بارگیری شده]]</f>
        <v>1303900000</v>
      </c>
    </row>
    <row r="1435" spans="1:11" ht="18.600000000000001">
      <c r="A1435" s="360" t="s">
        <v>737</v>
      </c>
      <c r="B1435" s="360" t="s">
        <v>118</v>
      </c>
      <c r="C1435" s="355" t="s">
        <v>84</v>
      </c>
      <c r="D1435">
        <v>20405</v>
      </c>
      <c r="E1435" s="143">
        <v>57273</v>
      </c>
      <c r="F1435" s="117">
        <v>1404</v>
      </c>
      <c r="G1435" s="360" t="s">
        <v>303</v>
      </c>
      <c r="H1435" s="144">
        <f>bargiri[[#This Row],[میزان بارگیری شده]]*bargiri[[#This Row],[فی]]</f>
        <v>1168655565</v>
      </c>
      <c r="I1435" s="360">
        <f>IF(year=bargiri[[#This Row],[سال]],1,0)</f>
        <v>0</v>
      </c>
      <c r="J1435" s="360" t="str">
        <f>VLOOKUP(bargiri[[#This Row],[شماره پیش فاکتور]],invoice[],16,0)</f>
        <v>عادی</v>
      </c>
      <c r="K1435" s="252">
        <f>bargiri[[#This Row],[فی]]*bargiri[[#This Row],[میزان بارگیری شده]]</f>
        <v>1168655565</v>
      </c>
    </row>
    <row r="1436" spans="1:11" ht="18.600000000000001">
      <c r="A1436" s="360" t="s">
        <v>737</v>
      </c>
      <c r="B1436" s="360" t="s">
        <v>123</v>
      </c>
      <c r="C1436" s="355" t="s">
        <v>569</v>
      </c>
      <c r="D1436">
        <v>7625</v>
      </c>
      <c r="E1436" s="143">
        <v>142000</v>
      </c>
      <c r="F1436" s="117">
        <v>1404</v>
      </c>
      <c r="G1436" s="360" t="s">
        <v>303</v>
      </c>
      <c r="H1436" s="144">
        <f>bargiri[[#This Row],[میزان بارگیری شده]]*bargiri[[#This Row],[فی]]</f>
        <v>1082750000</v>
      </c>
      <c r="I1436" s="360">
        <f>IF(year=bargiri[[#This Row],[سال]],1,0)</f>
        <v>0</v>
      </c>
      <c r="J1436" s="360" t="str">
        <f>VLOOKUP(bargiri[[#This Row],[شماره پیش فاکتور]],invoice[],16,0)</f>
        <v>انجمن</v>
      </c>
      <c r="K1436" s="252">
        <f>bargiri[[#This Row],[فی]]*bargiri[[#This Row],[میزان بارگیری شده]]</f>
        <v>1082750000</v>
      </c>
    </row>
    <row r="1437" spans="1:11" ht="18.600000000000001">
      <c r="A1437" s="360" t="s">
        <v>736</v>
      </c>
      <c r="B1437" s="360" t="s">
        <v>116</v>
      </c>
      <c r="C1437" s="355" t="s">
        <v>67</v>
      </c>
      <c r="D1437">
        <v>10095</v>
      </c>
      <c r="E1437" s="143">
        <v>65000</v>
      </c>
      <c r="F1437" s="117">
        <v>1404</v>
      </c>
      <c r="G1437" s="360" t="s">
        <v>303</v>
      </c>
      <c r="H1437" s="144">
        <f>bargiri[[#This Row],[میزان بارگیری شده]]*bargiri[[#This Row],[فی]]</f>
        <v>656175000</v>
      </c>
      <c r="I1437" s="360">
        <f>IF(year=bargiri[[#This Row],[سال]],1,0)</f>
        <v>0</v>
      </c>
      <c r="J1437" s="360" t="str">
        <f>VLOOKUP(bargiri[[#This Row],[شماره پیش فاکتور]],invoice[],16,0)</f>
        <v>تعادلی</v>
      </c>
      <c r="K1437" s="252">
        <f>bargiri[[#This Row],[فی]]*bargiri[[#This Row],[میزان بارگیری شده]]</f>
        <v>656175000</v>
      </c>
    </row>
    <row r="1438" spans="1:11" ht="18.600000000000001">
      <c r="A1438" s="360" t="s">
        <v>736</v>
      </c>
      <c r="B1438" s="360" t="s">
        <v>109</v>
      </c>
      <c r="C1438" s="355" t="s">
        <v>563</v>
      </c>
      <c r="D1438">
        <v>7460</v>
      </c>
      <c r="E1438" s="143">
        <v>142000</v>
      </c>
      <c r="F1438" s="117">
        <v>1404</v>
      </c>
      <c r="G1438" s="360" t="s">
        <v>303</v>
      </c>
      <c r="H1438" s="144">
        <f>bargiri[[#This Row],[میزان بارگیری شده]]*bargiri[[#This Row],[فی]]</f>
        <v>1059320000</v>
      </c>
      <c r="I1438" s="360">
        <f>IF(year=bargiri[[#This Row],[سال]],1,0)</f>
        <v>0</v>
      </c>
      <c r="J1438" s="360" t="str">
        <f>VLOOKUP(bargiri[[#This Row],[شماره پیش فاکتور]],invoice[],16,0)</f>
        <v>انجمن</v>
      </c>
      <c r="K1438" s="252">
        <f>bargiri[[#This Row],[فی]]*bargiri[[#This Row],[میزان بارگیری شده]]</f>
        <v>1059320000</v>
      </c>
    </row>
    <row r="1439" spans="1:11" ht="18.600000000000001">
      <c r="A1439" s="360" t="s">
        <v>736</v>
      </c>
      <c r="B1439" s="360" t="s">
        <v>116</v>
      </c>
      <c r="C1439" s="355" t="s">
        <v>67</v>
      </c>
      <c r="D1439">
        <v>19970</v>
      </c>
      <c r="E1439" s="143">
        <v>65000</v>
      </c>
      <c r="F1439" s="117">
        <v>1404</v>
      </c>
      <c r="G1439" s="360" t="s">
        <v>303</v>
      </c>
      <c r="H1439" s="144">
        <f>bargiri[[#This Row],[میزان بارگیری شده]]*bargiri[[#This Row],[فی]]</f>
        <v>1298050000</v>
      </c>
      <c r="I1439" s="360">
        <f>IF(year=bargiri[[#This Row],[سال]],1,0)</f>
        <v>0</v>
      </c>
      <c r="J1439" s="360" t="str">
        <f>VLOOKUP(bargiri[[#This Row],[شماره پیش فاکتور]],invoice[],16,0)</f>
        <v>تعادلی</v>
      </c>
      <c r="K1439" s="252">
        <f>bargiri[[#This Row],[فی]]*bargiri[[#This Row],[میزان بارگیری شده]]</f>
        <v>1298050000</v>
      </c>
    </row>
    <row r="1440" spans="1:11" ht="18.600000000000001">
      <c r="A1440" s="360" t="s">
        <v>735</v>
      </c>
      <c r="B1440" s="360" t="s">
        <v>125</v>
      </c>
      <c r="C1440" s="355" t="s">
        <v>570</v>
      </c>
      <c r="D1440">
        <v>14355</v>
      </c>
      <c r="E1440" s="143">
        <v>142000</v>
      </c>
      <c r="F1440" s="117">
        <v>1404</v>
      </c>
      <c r="G1440" s="360" t="s">
        <v>303</v>
      </c>
      <c r="H1440" s="144">
        <f>bargiri[[#This Row],[میزان بارگیری شده]]*bargiri[[#This Row],[فی]]</f>
        <v>2038410000</v>
      </c>
      <c r="I1440" s="360">
        <f>IF(year=bargiri[[#This Row],[سال]],1,0)</f>
        <v>0</v>
      </c>
      <c r="J1440" s="360" t="str">
        <f>VLOOKUP(bargiri[[#This Row],[شماره پیش فاکتور]],invoice[],16,0)</f>
        <v>انجمن</v>
      </c>
      <c r="K1440" s="252">
        <f>bargiri[[#This Row],[فی]]*bargiri[[#This Row],[میزان بارگیری شده]]</f>
        <v>2038410000</v>
      </c>
    </row>
    <row r="1441" spans="1:11" ht="18.600000000000001">
      <c r="A1441" s="360" t="s">
        <v>735</v>
      </c>
      <c r="B1441" s="360" t="s">
        <v>122</v>
      </c>
      <c r="C1441" s="355" t="s">
        <v>568</v>
      </c>
      <c r="D1441">
        <v>22170</v>
      </c>
      <c r="E1441" s="143">
        <v>142000</v>
      </c>
      <c r="F1441" s="117">
        <v>1404</v>
      </c>
      <c r="G1441" s="360" t="s">
        <v>303</v>
      </c>
      <c r="H1441" s="144">
        <f>bargiri[[#This Row],[میزان بارگیری شده]]*bargiri[[#This Row],[فی]]</f>
        <v>3148140000</v>
      </c>
      <c r="I1441" s="360">
        <f>IF(year=bargiri[[#This Row],[سال]],1,0)</f>
        <v>0</v>
      </c>
      <c r="J1441" s="360" t="str">
        <f>VLOOKUP(bargiri[[#This Row],[شماره پیش فاکتور]],invoice[],16,0)</f>
        <v>انجمن</v>
      </c>
      <c r="K1441" s="252">
        <f>bargiri[[#This Row],[فی]]*bargiri[[#This Row],[میزان بارگیری شده]]</f>
        <v>3148140000</v>
      </c>
    </row>
    <row r="1442" spans="1:11" ht="18.600000000000001">
      <c r="A1442" s="360" t="s">
        <v>734</v>
      </c>
      <c r="B1442" s="360" t="s">
        <v>116</v>
      </c>
      <c r="C1442" s="355" t="s">
        <v>565</v>
      </c>
      <c r="D1442">
        <v>19915</v>
      </c>
      <c r="E1442" s="143">
        <v>142000</v>
      </c>
      <c r="F1442" s="117">
        <v>1404</v>
      </c>
      <c r="G1442" s="360" t="s">
        <v>303</v>
      </c>
      <c r="H1442" s="144">
        <f>bargiri[[#This Row],[میزان بارگیری شده]]*bargiri[[#This Row],[فی]]</f>
        <v>2827930000</v>
      </c>
      <c r="I1442" s="360">
        <f>IF(year=bargiri[[#This Row],[سال]],1,0)</f>
        <v>0</v>
      </c>
      <c r="J1442" s="360" t="str">
        <f>VLOOKUP(bargiri[[#This Row],[شماره پیش فاکتور]],invoice[],16,0)</f>
        <v>انجمن</v>
      </c>
      <c r="K1442" s="252">
        <f>bargiri[[#This Row],[فی]]*bargiri[[#This Row],[میزان بارگیری شده]]</f>
        <v>2827930000</v>
      </c>
    </row>
    <row r="1443" spans="1:11" ht="18.600000000000001">
      <c r="A1443" s="360" t="s">
        <v>733</v>
      </c>
      <c r="B1443" s="360" t="s">
        <v>116</v>
      </c>
      <c r="C1443" s="355" t="s">
        <v>565</v>
      </c>
      <c r="D1443">
        <v>20100</v>
      </c>
      <c r="E1443" s="143">
        <v>142000</v>
      </c>
      <c r="F1443" s="117">
        <v>1404</v>
      </c>
      <c r="G1443" s="360" t="s">
        <v>303</v>
      </c>
      <c r="H1443" s="144">
        <f>bargiri[[#This Row],[میزان بارگیری شده]]*bargiri[[#This Row],[فی]]</f>
        <v>2854200000</v>
      </c>
      <c r="I1443" s="360">
        <f>IF(year=bargiri[[#This Row],[سال]],1,0)</f>
        <v>0</v>
      </c>
      <c r="J1443" s="360" t="str">
        <f>VLOOKUP(bargiri[[#This Row],[شماره پیش فاکتور]],invoice[],16,0)</f>
        <v>انجمن</v>
      </c>
      <c r="K1443" s="252">
        <f>bargiri[[#This Row],[فی]]*bargiri[[#This Row],[میزان بارگیری شده]]</f>
        <v>2854200000</v>
      </c>
    </row>
    <row r="1444" spans="1:11" ht="18.600000000000001">
      <c r="A1444" s="360" t="s">
        <v>733</v>
      </c>
      <c r="B1444" s="360" t="s">
        <v>116</v>
      </c>
      <c r="C1444" s="355" t="s">
        <v>565</v>
      </c>
      <c r="D1444">
        <v>20000</v>
      </c>
      <c r="E1444" s="143">
        <v>142000</v>
      </c>
      <c r="F1444" s="117">
        <v>1404</v>
      </c>
      <c r="G1444" s="360" t="s">
        <v>303</v>
      </c>
      <c r="H1444" s="144">
        <f>bargiri[[#This Row],[میزان بارگیری شده]]*bargiri[[#This Row],[فی]]</f>
        <v>2840000000</v>
      </c>
      <c r="I1444" s="360">
        <f>IF(year=bargiri[[#This Row],[سال]],1,0)</f>
        <v>0</v>
      </c>
      <c r="J1444" s="360" t="str">
        <f>VLOOKUP(bargiri[[#This Row],[شماره پیش فاکتور]],invoice[],16,0)</f>
        <v>انجمن</v>
      </c>
      <c r="K1444" s="252">
        <f>bargiri[[#This Row],[فی]]*bargiri[[#This Row],[میزان بارگیری شده]]</f>
        <v>2840000000</v>
      </c>
    </row>
    <row r="1445" spans="1:11" ht="18.600000000000001">
      <c r="A1445" s="360" t="s">
        <v>734</v>
      </c>
      <c r="B1445" s="360" t="s">
        <v>99</v>
      </c>
      <c r="C1445" s="355" t="s">
        <v>12</v>
      </c>
      <c r="D1445">
        <v>19945</v>
      </c>
      <c r="E1445" s="143">
        <v>86500</v>
      </c>
      <c r="F1445" s="117">
        <v>1404</v>
      </c>
      <c r="G1445" s="360" t="s">
        <v>303</v>
      </c>
      <c r="H1445" s="144">
        <f>bargiri[[#This Row],[میزان بارگیری شده]]*bargiri[[#This Row],[فی]]</f>
        <v>1725242500</v>
      </c>
      <c r="I1445" s="360">
        <f>IF(year=bargiri[[#This Row],[سال]],1,0)</f>
        <v>0</v>
      </c>
      <c r="J1445" s="360" t="str">
        <f>VLOOKUP(bargiri[[#This Row],[شماره پیش فاکتور]],invoice[],16,0)</f>
        <v>عادی</v>
      </c>
      <c r="K1445" s="252">
        <f>bargiri[[#This Row],[فی]]*bargiri[[#This Row],[میزان بارگیری شده]]</f>
        <v>1725242500</v>
      </c>
    </row>
    <row r="1446" spans="1:11" ht="18.600000000000001">
      <c r="A1446" s="360" t="s">
        <v>734</v>
      </c>
      <c r="B1446" s="360" t="s">
        <v>118</v>
      </c>
      <c r="C1446" s="355" t="s">
        <v>84</v>
      </c>
      <c r="D1446">
        <v>20470</v>
      </c>
      <c r="E1446" s="143">
        <v>57273</v>
      </c>
      <c r="F1446" s="117">
        <v>1404</v>
      </c>
      <c r="G1446" s="360" t="s">
        <v>303</v>
      </c>
      <c r="H1446" s="144">
        <f>bargiri[[#This Row],[میزان بارگیری شده]]*bargiri[[#This Row],[فی]]</f>
        <v>1172378310</v>
      </c>
      <c r="I1446" s="360">
        <f>IF(year=bargiri[[#This Row],[سال]],1,0)</f>
        <v>0</v>
      </c>
      <c r="J1446" s="360" t="str">
        <f>VLOOKUP(bargiri[[#This Row],[شماره پیش فاکتور]],invoice[],16,0)</f>
        <v>عادی</v>
      </c>
      <c r="K1446" s="252">
        <f>bargiri[[#This Row],[فی]]*bargiri[[#This Row],[میزان بارگیری شده]]</f>
        <v>1172378310</v>
      </c>
    </row>
    <row r="1447" spans="1:11" ht="18.600000000000001">
      <c r="A1447" s="360" t="s">
        <v>734</v>
      </c>
      <c r="B1447" s="360" t="s">
        <v>118</v>
      </c>
      <c r="C1447" s="355" t="s">
        <v>84</v>
      </c>
      <c r="D1447">
        <v>20505</v>
      </c>
      <c r="E1447" s="143">
        <v>57273</v>
      </c>
      <c r="F1447" s="117">
        <v>1404</v>
      </c>
      <c r="G1447" s="360" t="s">
        <v>303</v>
      </c>
      <c r="H1447" s="144">
        <f>bargiri[[#This Row],[میزان بارگیری شده]]*bargiri[[#This Row],[فی]]</f>
        <v>1174382865</v>
      </c>
      <c r="I1447" s="360">
        <f>IF(year=bargiri[[#This Row],[سال]],1,0)</f>
        <v>0</v>
      </c>
      <c r="J1447" s="360" t="str">
        <f>VLOOKUP(bargiri[[#This Row],[شماره پیش فاکتور]],invoice[],16,0)</f>
        <v>عادی</v>
      </c>
      <c r="K1447" s="252">
        <f>bargiri[[#This Row],[فی]]*bargiri[[#This Row],[میزان بارگیری شده]]</f>
        <v>1174382865</v>
      </c>
    </row>
    <row r="1448" spans="1:11" ht="18.600000000000001">
      <c r="A1448" s="360" t="s">
        <v>734</v>
      </c>
      <c r="B1448" s="360" t="s">
        <v>731</v>
      </c>
      <c r="C1448" s="355" t="s">
        <v>732</v>
      </c>
      <c r="D1448">
        <v>8875</v>
      </c>
      <c r="E1448" s="143">
        <v>160000</v>
      </c>
      <c r="F1448" s="117">
        <v>1404</v>
      </c>
      <c r="G1448" s="360" t="s">
        <v>303</v>
      </c>
      <c r="H1448" s="144">
        <f>bargiri[[#This Row],[میزان بارگیری شده]]*bargiri[[#This Row],[فی]]</f>
        <v>1420000000</v>
      </c>
      <c r="I1448" s="360">
        <f>IF(year=bargiri[[#This Row],[سال]],1,0)</f>
        <v>0</v>
      </c>
      <c r="J1448" s="360" t="str">
        <f>VLOOKUP(bargiri[[#This Row],[شماره پیش فاکتور]],invoice[],16,0)</f>
        <v>عادی</v>
      </c>
      <c r="K1448" s="252">
        <f>bargiri[[#This Row],[فی]]*bargiri[[#This Row],[میزان بارگیری شده]]</f>
        <v>1420000000</v>
      </c>
    </row>
    <row r="1449" spans="1:11" ht="18.600000000000001">
      <c r="A1449" s="360" t="s">
        <v>734</v>
      </c>
      <c r="B1449" s="360" t="s">
        <v>99</v>
      </c>
      <c r="C1449" s="355" t="s">
        <v>12</v>
      </c>
      <c r="D1449">
        <v>17970</v>
      </c>
      <c r="E1449" s="143">
        <v>86500</v>
      </c>
      <c r="F1449" s="117">
        <v>1404</v>
      </c>
      <c r="G1449" s="360" t="s">
        <v>303</v>
      </c>
      <c r="H1449" s="144">
        <f>bargiri[[#This Row],[میزان بارگیری شده]]*bargiri[[#This Row],[فی]]</f>
        <v>1554405000</v>
      </c>
      <c r="I1449" s="360">
        <f>IF(year=bargiri[[#This Row],[سال]],1,0)</f>
        <v>0</v>
      </c>
      <c r="J1449" s="360" t="str">
        <f>VLOOKUP(bargiri[[#This Row],[شماره پیش فاکتور]],invoice[],16,0)</f>
        <v>عادی</v>
      </c>
      <c r="K1449" s="252">
        <f>bargiri[[#This Row],[فی]]*bargiri[[#This Row],[میزان بارگیری شده]]</f>
        <v>1554405000</v>
      </c>
    </row>
    <row r="1450" spans="1:11" ht="18.600000000000001">
      <c r="A1450" s="360" t="s">
        <v>727</v>
      </c>
      <c r="B1450" s="360" t="s">
        <v>99</v>
      </c>
      <c r="C1450" s="355" t="s">
        <v>12</v>
      </c>
      <c r="D1450">
        <v>20080</v>
      </c>
      <c r="E1450" s="143">
        <v>86500</v>
      </c>
      <c r="F1450" s="117">
        <v>1404</v>
      </c>
      <c r="G1450" s="360" t="s">
        <v>303</v>
      </c>
      <c r="H1450" s="144">
        <f>bargiri[[#This Row],[میزان بارگیری شده]]*bargiri[[#This Row],[فی]]</f>
        <v>1736920000</v>
      </c>
      <c r="I1450" s="360">
        <f>IF(year=bargiri[[#This Row],[سال]],1,0)</f>
        <v>0</v>
      </c>
      <c r="J1450" s="360" t="str">
        <f>VLOOKUP(bargiri[[#This Row],[شماره پیش فاکتور]],invoice[],16,0)</f>
        <v>عادی</v>
      </c>
      <c r="K1450" s="252">
        <f>bargiri[[#This Row],[فی]]*bargiri[[#This Row],[میزان بارگیری شده]]</f>
        <v>1736920000</v>
      </c>
    </row>
    <row r="1451" spans="1:11" ht="18.600000000000001">
      <c r="A1451" s="360" t="s">
        <v>727</v>
      </c>
      <c r="B1451" s="360" t="s">
        <v>118</v>
      </c>
      <c r="C1451" s="355" t="s">
        <v>84</v>
      </c>
      <c r="D1451">
        <v>21085</v>
      </c>
      <c r="E1451" s="143">
        <v>57273</v>
      </c>
      <c r="F1451" s="117">
        <v>1404</v>
      </c>
      <c r="G1451" s="360" t="s">
        <v>303</v>
      </c>
      <c r="H1451" s="144">
        <f>bargiri[[#This Row],[میزان بارگیری شده]]*bargiri[[#This Row],[فی]]</f>
        <v>1207601205</v>
      </c>
      <c r="I1451" s="360">
        <f>IF(year=bargiri[[#This Row],[سال]],1,0)</f>
        <v>0</v>
      </c>
      <c r="J1451" s="360" t="str">
        <f>VLOOKUP(bargiri[[#This Row],[شماره پیش فاکتور]],invoice[],16,0)</f>
        <v>عادی</v>
      </c>
      <c r="K1451" s="252">
        <f>bargiri[[#This Row],[فی]]*bargiri[[#This Row],[میزان بارگیری شده]]</f>
        <v>1207601205</v>
      </c>
    </row>
    <row r="1452" spans="1:11" ht="18.600000000000001">
      <c r="A1452" s="360" t="s">
        <v>727</v>
      </c>
      <c r="B1452" s="360" t="s">
        <v>118</v>
      </c>
      <c r="C1452" s="355" t="s">
        <v>84</v>
      </c>
      <c r="D1452">
        <v>21035</v>
      </c>
      <c r="E1452" s="143">
        <v>57273</v>
      </c>
      <c r="F1452" s="117">
        <v>1404</v>
      </c>
      <c r="G1452" s="360" t="s">
        <v>303</v>
      </c>
      <c r="H1452" s="144">
        <f>bargiri[[#This Row],[میزان بارگیری شده]]*bargiri[[#This Row],[فی]]</f>
        <v>1204737555</v>
      </c>
      <c r="I1452" s="360">
        <f>IF(year=bargiri[[#This Row],[سال]],1,0)</f>
        <v>0</v>
      </c>
      <c r="J1452" s="360" t="str">
        <f>VLOOKUP(bargiri[[#This Row],[شماره پیش فاکتور]],invoice[],16,0)</f>
        <v>عادی</v>
      </c>
      <c r="K1452" s="252">
        <f>bargiri[[#This Row],[فی]]*bargiri[[#This Row],[میزان بارگیری شده]]</f>
        <v>1204737555</v>
      </c>
    </row>
    <row r="1453" spans="1:11" ht="18.600000000000001">
      <c r="A1453" s="360" t="s">
        <v>727</v>
      </c>
      <c r="B1453" s="360" t="s">
        <v>104</v>
      </c>
      <c r="C1453" s="355" t="s">
        <v>644</v>
      </c>
      <c r="D1453">
        <v>14145</v>
      </c>
      <c r="E1453" s="143">
        <v>201000</v>
      </c>
      <c r="F1453" s="117">
        <v>1404</v>
      </c>
      <c r="G1453" s="360" t="s">
        <v>303</v>
      </c>
      <c r="H1453" s="144">
        <f>bargiri[[#This Row],[میزان بارگیری شده]]*bargiri[[#This Row],[فی]]</f>
        <v>2843145000</v>
      </c>
      <c r="I1453" s="360">
        <f>IF(year=bargiri[[#This Row],[سال]],1,0)</f>
        <v>0</v>
      </c>
      <c r="J1453" s="360" t="str">
        <f>VLOOKUP(bargiri[[#This Row],[شماره پیش فاکتور]],invoice[],16,0)</f>
        <v>بورس</v>
      </c>
      <c r="K1453" s="252">
        <f>bargiri[[#This Row],[فی]]*bargiri[[#This Row],[میزان بارگیری شده]]</f>
        <v>2843145000</v>
      </c>
    </row>
    <row r="1454" spans="1:11" ht="18.600000000000001">
      <c r="A1454" s="360" t="s">
        <v>727</v>
      </c>
      <c r="B1454" s="360" t="s">
        <v>104</v>
      </c>
      <c r="C1454" s="355" t="s">
        <v>34</v>
      </c>
      <c r="D1454">
        <v>4275</v>
      </c>
      <c r="E1454" s="143">
        <v>66200</v>
      </c>
      <c r="F1454" s="117">
        <v>1404</v>
      </c>
      <c r="G1454" s="360" t="s">
        <v>303</v>
      </c>
      <c r="H1454" s="144">
        <f>bargiri[[#This Row],[میزان بارگیری شده]]*bargiri[[#This Row],[فی]]</f>
        <v>283005000</v>
      </c>
      <c r="I1454" s="360">
        <f>IF(year=bargiri[[#This Row],[سال]],1,0)</f>
        <v>0</v>
      </c>
      <c r="J1454" s="360" t="str">
        <f>VLOOKUP(bargiri[[#This Row],[شماره پیش فاکتور]],invoice[],16,0)</f>
        <v>تعادلی</v>
      </c>
      <c r="K1454" s="252">
        <f>bargiri[[#This Row],[فی]]*bargiri[[#This Row],[میزان بارگیری شده]]</f>
        <v>283005000</v>
      </c>
    </row>
    <row r="1455" spans="1:11" ht="18.600000000000001">
      <c r="A1455" s="360" t="s">
        <v>727</v>
      </c>
      <c r="B1455" s="360" t="s">
        <v>117</v>
      </c>
      <c r="C1455" s="355" t="s">
        <v>566</v>
      </c>
      <c r="D1455">
        <v>19930</v>
      </c>
      <c r="E1455" s="143">
        <v>142000</v>
      </c>
      <c r="F1455" s="117">
        <v>1404</v>
      </c>
      <c r="G1455" s="360" t="s">
        <v>303</v>
      </c>
      <c r="H1455" s="144">
        <f>bargiri[[#This Row],[میزان بارگیری شده]]*bargiri[[#This Row],[فی]]</f>
        <v>2830060000</v>
      </c>
      <c r="I1455" s="360">
        <f>IF(year=bargiri[[#This Row],[سال]],1,0)</f>
        <v>0</v>
      </c>
      <c r="J1455" s="360" t="str">
        <f>VLOOKUP(bargiri[[#This Row],[شماره پیش فاکتور]],invoice[],16,0)</f>
        <v>انجمن</v>
      </c>
      <c r="K1455" s="252">
        <f>bargiri[[#This Row],[فی]]*bargiri[[#This Row],[میزان بارگیری شده]]</f>
        <v>2830060000</v>
      </c>
    </row>
    <row r="1456" spans="1:11" ht="18.600000000000001">
      <c r="A1456" s="360" t="s">
        <v>727</v>
      </c>
      <c r="B1456" s="360" t="s">
        <v>116</v>
      </c>
      <c r="C1456" s="355" t="s">
        <v>565</v>
      </c>
      <c r="D1456">
        <v>20085</v>
      </c>
      <c r="E1456" s="143">
        <v>142000</v>
      </c>
      <c r="F1456" s="117">
        <v>1404</v>
      </c>
      <c r="G1456" s="360" t="s">
        <v>303</v>
      </c>
      <c r="H1456" s="144">
        <f>bargiri[[#This Row],[میزان بارگیری شده]]*bargiri[[#This Row],[فی]]</f>
        <v>2852070000</v>
      </c>
      <c r="I1456" s="360">
        <f>IF(year=bargiri[[#This Row],[سال]],1,0)</f>
        <v>0</v>
      </c>
      <c r="J1456" s="360" t="str">
        <f>VLOOKUP(bargiri[[#This Row],[شماره پیش فاکتور]],invoice[],16,0)</f>
        <v>انجمن</v>
      </c>
      <c r="K1456" s="252">
        <f>bargiri[[#This Row],[فی]]*bargiri[[#This Row],[میزان بارگیری شده]]</f>
        <v>2852070000</v>
      </c>
    </row>
    <row r="1457" spans="1:11" ht="18.600000000000001">
      <c r="A1457" s="360" t="s">
        <v>727</v>
      </c>
      <c r="B1457" s="360" t="s">
        <v>122</v>
      </c>
      <c r="C1457" s="355" t="s">
        <v>568</v>
      </c>
      <c r="D1457">
        <v>22145</v>
      </c>
      <c r="E1457" s="143">
        <v>142000</v>
      </c>
      <c r="F1457" s="117">
        <v>1404</v>
      </c>
      <c r="G1457" s="360" t="s">
        <v>303</v>
      </c>
      <c r="H1457" s="144">
        <f>bargiri[[#This Row],[میزان بارگیری شده]]*bargiri[[#This Row],[فی]]</f>
        <v>3144590000</v>
      </c>
      <c r="I1457" s="360">
        <f>IF(year=bargiri[[#This Row],[سال]],1,0)</f>
        <v>0</v>
      </c>
      <c r="J1457" s="360" t="str">
        <f>VLOOKUP(bargiri[[#This Row],[شماره پیش فاکتور]],invoice[],16,0)</f>
        <v>انجمن</v>
      </c>
      <c r="K1457" s="252">
        <f>bargiri[[#This Row],[فی]]*bargiri[[#This Row],[میزان بارگیری شده]]</f>
        <v>3144590000</v>
      </c>
    </row>
    <row r="1458" spans="1:11" ht="18.600000000000001">
      <c r="A1458" s="360" t="s">
        <v>730</v>
      </c>
      <c r="B1458" s="360" t="s">
        <v>109</v>
      </c>
      <c r="C1458" s="355" t="s">
        <v>563</v>
      </c>
      <c r="D1458">
        <v>7525</v>
      </c>
      <c r="E1458" s="143">
        <v>142000</v>
      </c>
      <c r="F1458" s="117">
        <v>1404</v>
      </c>
      <c r="G1458" s="360" t="s">
        <v>303</v>
      </c>
      <c r="H1458" s="144">
        <f>bargiri[[#This Row],[میزان بارگیری شده]]*bargiri[[#This Row],[فی]]</f>
        <v>1068550000</v>
      </c>
      <c r="I1458" s="360">
        <f>IF(year=bargiri[[#This Row],[سال]],1,0)</f>
        <v>0</v>
      </c>
      <c r="J1458" s="360" t="str">
        <f>VLOOKUP(bargiri[[#This Row],[شماره پیش فاکتور]],invoice[],16,0)</f>
        <v>انجمن</v>
      </c>
      <c r="K1458" s="252">
        <f>bargiri[[#This Row],[فی]]*bargiri[[#This Row],[میزان بارگیری شده]]</f>
        <v>1068550000</v>
      </c>
    </row>
    <row r="1459" spans="1:11" ht="18.600000000000001">
      <c r="A1459" s="360" t="s">
        <v>730</v>
      </c>
      <c r="B1459" s="360" t="s">
        <v>121</v>
      </c>
      <c r="C1459" s="355" t="s">
        <v>637</v>
      </c>
      <c r="D1459">
        <v>18910</v>
      </c>
      <c r="E1459" s="143">
        <v>151100</v>
      </c>
      <c r="F1459" s="117">
        <v>1404</v>
      </c>
      <c r="G1459" s="360" t="s">
        <v>303</v>
      </c>
      <c r="H1459" s="144">
        <f>bargiri[[#This Row],[میزان بارگیری شده]]*bargiri[[#This Row],[فی]]</f>
        <v>2857301000</v>
      </c>
      <c r="I1459" s="360">
        <f>IF(year=bargiri[[#This Row],[سال]],1,0)</f>
        <v>0</v>
      </c>
      <c r="J1459" s="360" t="str">
        <f>VLOOKUP(bargiri[[#This Row],[شماره پیش فاکتور]],invoice[],16,0)</f>
        <v>بورس</v>
      </c>
      <c r="K1459" s="252">
        <f>bargiri[[#This Row],[فی]]*bargiri[[#This Row],[میزان بارگیری شده]]</f>
        <v>2857301000</v>
      </c>
    </row>
    <row r="1460" spans="1:11" ht="18.600000000000001">
      <c r="A1460" s="360" t="s">
        <v>730</v>
      </c>
      <c r="B1460" s="360" t="s">
        <v>121</v>
      </c>
      <c r="C1460" s="355" t="s">
        <v>567</v>
      </c>
      <c r="D1460">
        <v>1015</v>
      </c>
      <c r="E1460" s="143">
        <v>142000</v>
      </c>
      <c r="F1460" s="117">
        <v>1404</v>
      </c>
      <c r="G1460" s="360" t="s">
        <v>303</v>
      </c>
      <c r="H1460" s="144">
        <f>bargiri[[#This Row],[میزان بارگیری شده]]*bargiri[[#This Row],[فی]]</f>
        <v>144130000</v>
      </c>
      <c r="I1460" s="360">
        <f>IF(year=bargiri[[#This Row],[سال]],1,0)</f>
        <v>0</v>
      </c>
      <c r="J1460" s="360" t="str">
        <f>VLOOKUP(bargiri[[#This Row],[شماره پیش فاکتور]],invoice[],16,0)</f>
        <v>انجمن</v>
      </c>
      <c r="K1460" s="252">
        <f>bargiri[[#This Row],[فی]]*bargiri[[#This Row],[میزان بارگیری شده]]</f>
        <v>144130000</v>
      </c>
    </row>
    <row r="1461" spans="1:11" ht="18.600000000000001">
      <c r="A1461" s="360" t="s">
        <v>730</v>
      </c>
      <c r="B1461" s="360" t="s">
        <v>118</v>
      </c>
      <c r="C1461" s="355" t="s">
        <v>84</v>
      </c>
      <c r="D1461">
        <v>20580</v>
      </c>
      <c r="E1461" s="143">
        <v>57273</v>
      </c>
      <c r="F1461" s="117">
        <v>1404</v>
      </c>
      <c r="G1461" s="360" t="s">
        <v>303</v>
      </c>
      <c r="H1461" s="144">
        <f>bargiri[[#This Row],[میزان بارگیری شده]]*bargiri[[#This Row],[فی]]</f>
        <v>1178678340</v>
      </c>
      <c r="I1461" s="360">
        <f>IF(year=bargiri[[#This Row],[سال]],1,0)</f>
        <v>0</v>
      </c>
      <c r="J1461" s="360" t="str">
        <f>VLOOKUP(bargiri[[#This Row],[شماره پیش فاکتور]],invoice[],16,0)</f>
        <v>عادی</v>
      </c>
      <c r="K1461" s="252">
        <f>bargiri[[#This Row],[فی]]*bargiri[[#This Row],[میزان بارگیری شده]]</f>
        <v>1178678340</v>
      </c>
    </row>
    <row r="1462" spans="1:11" ht="18.600000000000001">
      <c r="A1462" s="360" t="s">
        <v>730</v>
      </c>
      <c r="B1462" s="360" t="s">
        <v>118</v>
      </c>
      <c r="C1462" s="355" t="s">
        <v>84</v>
      </c>
      <c r="D1462">
        <v>20515</v>
      </c>
      <c r="E1462" s="143">
        <v>57273</v>
      </c>
      <c r="F1462" s="117">
        <v>1404</v>
      </c>
      <c r="G1462" s="360" t="s">
        <v>303</v>
      </c>
      <c r="H1462" s="144">
        <f>bargiri[[#This Row],[میزان بارگیری شده]]*bargiri[[#This Row],[فی]]</f>
        <v>1174955595</v>
      </c>
      <c r="I1462" s="360">
        <f>IF(year=bargiri[[#This Row],[سال]],1,0)</f>
        <v>0</v>
      </c>
      <c r="J1462" s="360" t="str">
        <f>VLOOKUP(bargiri[[#This Row],[شماره پیش فاکتور]],invoice[],16,0)</f>
        <v>عادی</v>
      </c>
      <c r="K1462" s="252">
        <f>bargiri[[#This Row],[فی]]*bargiri[[#This Row],[میزان بارگیری شده]]</f>
        <v>1174955595</v>
      </c>
    </row>
    <row r="1463" spans="1:11" ht="18.600000000000001">
      <c r="A1463" s="360" t="s">
        <v>730</v>
      </c>
      <c r="B1463" s="360" t="s">
        <v>98</v>
      </c>
      <c r="C1463" s="355" t="s">
        <v>571</v>
      </c>
      <c r="D1463">
        <v>18175</v>
      </c>
      <c r="E1463" s="143">
        <v>142000</v>
      </c>
      <c r="F1463" s="117">
        <v>1404</v>
      </c>
      <c r="G1463" s="360" t="s">
        <v>303</v>
      </c>
      <c r="H1463" s="144">
        <f>bargiri[[#This Row],[میزان بارگیری شده]]*bargiri[[#This Row],[فی]]</f>
        <v>2580850000</v>
      </c>
      <c r="I1463" s="360">
        <f>IF(year=bargiri[[#This Row],[سال]],1,0)</f>
        <v>0</v>
      </c>
      <c r="J1463" s="360" t="str">
        <f>VLOOKUP(bargiri[[#This Row],[شماره پیش فاکتور]],invoice[],16,0)</f>
        <v>انجمن</v>
      </c>
      <c r="K1463" s="252">
        <f>bargiri[[#This Row],[فی]]*bargiri[[#This Row],[میزان بارگیری شده]]</f>
        <v>2580850000</v>
      </c>
    </row>
    <row r="1464" spans="1:11" ht="18.600000000000001">
      <c r="A1464" s="360" t="s">
        <v>730</v>
      </c>
      <c r="B1464" s="360" t="s">
        <v>109</v>
      </c>
      <c r="C1464" s="355" t="s">
        <v>563</v>
      </c>
      <c r="D1464">
        <v>7240</v>
      </c>
      <c r="E1464" s="143">
        <v>142000</v>
      </c>
      <c r="F1464" s="117">
        <v>1404</v>
      </c>
      <c r="G1464" s="360" t="s">
        <v>303</v>
      </c>
      <c r="H1464" s="144">
        <f>bargiri[[#This Row],[میزان بارگیری شده]]*bargiri[[#This Row],[فی]]</f>
        <v>1028080000</v>
      </c>
      <c r="I1464" s="360">
        <f>IF(year=bargiri[[#This Row],[سال]],1,0)</f>
        <v>0</v>
      </c>
      <c r="J1464" s="360" t="str">
        <f>VLOOKUP(bargiri[[#This Row],[شماره پیش فاکتور]],invoice[],16,0)</f>
        <v>انجمن</v>
      </c>
      <c r="K1464" s="252">
        <f>bargiri[[#This Row],[فی]]*bargiri[[#This Row],[میزان بارگیری شده]]</f>
        <v>1028080000</v>
      </c>
    </row>
    <row r="1465" spans="1:11" ht="18.600000000000001">
      <c r="A1465" s="360" t="s">
        <v>730</v>
      </c>
      <c r="B1465" s="360" t="s">
        <v>116</v>
      </c>
      <c r="C1465" s="355" t="s">
        <v>565</v>
      </c>
      <c r="D1465">
        <v>20245</v>
      </c>
      <c r="E1465" s="143">
        <v>142000</v>
      </c>
      <c r="F1465" s="117">
        <v>1404</v>
      </c>
      <c r="G1465" s="360" t="s">
        <v>303</v>
      </c>
      <c r="H1465" s="144">
        <f>bargiri[[#This Row],[میزان بارگیری شده]]*bargiri[[#This Row],[فی]]</f>
        <v>2874790000</v>
      </c>
      <c r="I1465" s="360">
        <f>IF(year=bargiri[[#This Row],[سال]],1,0)</f>
        <v>0</v>
      </c>
      <c r="J1465" s="360" t="str">
        <f>VLOOKUP(bargiri[[#This Row],[شماره پیش فاکتور]],invoice[],16,0)</f>
        <v>انجمن</v>
      </c>
      <c r="K1465" s="252">
        <f>bargiri[[#This Row],[فی]]*bargiri[[#This Row],[میزان بارگیری شده]]</f>
        <v>2874790000</v>
      </c>
    </row>
    <row r="1466" spans="1:11" ht="18.600000000000001">
      <c r="A1466" s="360" t="s">
        <v>729</v>
      </c>
      <c r="B1466" s="360" t="s">
        <v>99</v>
      </c>
      <c r="C1466" s="355" t="s">
        <v>12</v>
      </c>
      <c r="D1466">
        <v>18055</v>
      </c>
      <c r="E1466" s="143">
        <v>86500</v>
      </c>
      <c r="F1466" s="117">
        <v>1404</v>
      </c>
      <c r="G1466" s="360" t="s">
        <v>303</v>
      </c>
      <c r="H1466" s="144">
        <f>bargiri[[#This Row],[میزان بارگیری شده]]*bargiri[[#This Row],[فی]]</f>
        <v>1561757500</v>
      </c>
      <c r="I1466" s="360">
        <f>IF(year=bargiri[[#This Row],[سال]],1,0)</f>
        <v>0</v>
      </c>
      <c r="J1466" s="360" t="str">
        <f>VLOOKUP(bargiri[[#This Row],[شماره پیش فاکتور]],invoice[],16,0)</f>
        <v>عادی</v>
      </c>
      <c r="K1466" s="252">
        <f>bargiri[[#This Row],[فی]]*bargiri[[#This Row],[میزان بارگیری شده]]</f>
        <v>1561757500</v>
      </c>
    </row>
    <row r="1467" spans="1:11" ht="18.600000000000001">
      <c r="A1467" s="360" t="s">
        <v>729</v>
      </c>
      <c r="B1467" s="360" t="s">
        <v>116</v>
      </c>
      <c r="C1467" s="355" t="s">
        <v>565</v>
      </c>
      <c r="D1467">
        <v>7435</v>
      </c>
      <c r="E1467" s="143">
        <v>142000</v>
      </c>
      <c r="F1467" s="117">
        <v>1404</v>
      </c>
      <c r="G1467" s="360" t="s">
        <v>303</v>
      </c>
      <c r="H1467" s="144">
        <f>bargiri[[#This Row],[میزان بارگیری شده]]*bargiri[[#This Row],[فی]]</f>
        <v>1055770000</v>
      </c>
      <c r="I1467" s="360">
        <f>IF(year=bargiri[[#This Row],[سال]],1,0)</f>
        <v>0</v>
      </c>
      <c r="J1467" s="360" t="str">
        <f>VLOOKUP(bargiri[[#This Row],[شماره پیش فاکتور]],invoice[],16,0)</f>
        <v>انجمن</v>
      </c>
      <c r="K1467" s="252">
        <f>bargiri[[#This Row],[فی]]*bargiri[[#This Row],[میزان بارگیری شده]]</f>
        <v>1055770000</v>
      </c>
    </row>
    <row r="1468" spans="1:11" ht="18.600000000000001">
      <c r="A1468" s="360" t="s">
        <v>729</v>
      </c>
      <c r="B1468" s="360" t="s">
        <v>116</v>
      </c>
      <c r="C1468" s="355" t="s">
        <v>565</v>
      </c>
      <c r="D1468">
        <v>19920</v>
      </c>
      <c r="E1468" s="143">
        <v>142000</v>
      </c>
      <c r="F1468" s="117">
        <v>1404</v>
      </c>
      <c r="G1468" s="360" t="s">
        <v>303</v>
      </c>
      <c r="H1468" s="144">
        <f>bargiri[[#This Row],[میزان بارگیری شده]]*bargiri[[#This Row],[فی]]</f>
        <v>2828640000</v>
      </c>
      <c r="I1468" s="360">
        <f>IF(year=bargiri[[#This Row],[سال]],1,0)</f>
        <v>0</v>
      </c>
      <c r="J1468" s="360" t="str">
        <f>VLOOKUP(bargiri[[#This Row],[شماره پیش فاکتور]],invoice[],16,0)</f>
        <v>انجمن</v>
      </c>
      <c r="K1468" s="252">
        <f>bargiri[[#This Row],[فی]]*bargiri[[#This Row],[میزان بارگیری شده]]</f>
        <v>2828640000</v>
      </c>
    </row>
    <row r="1469" spans="1:11" ht="18.600000000000001">
      <c r="A1469" s="360" t="s">
        <v>729</v>
      </c>
      <c r="B1469" s="360" t="s">
        <v>118</v>
      </c>
      <c r="C1469" s="355" t="s">
        <v>84</v>
      </c>
      <c r="D1469">
        <v>20595</v>
      </c>
      <c r="E1469" s="143">
        <v>57273</v>
      </c>
      <c r="F1469" s="117">
        <v>1404</v>
      </c>
      <c r="G1469" s="360" t="s">
        <v>303</v>
      </c>
      <c r="H1469" s="144">
        <f>bargiri[[#This Row],[میزان بارگیری شده]]*bargiri[[#This Row],[فی]]</f>
        <v>1179537435</v>
      </c>
      <c r="I1469" s="360">
        <f>IF(year=bargiri[[#This Row],[سال]],1,0)</f>
        <v>0</v>
      </c>
      <c r="J1469" s="360" t="str">
        <f>VLOOKUP(bargiri[[#This Row],[شماره پیش فاکتور]],invoice[],16,0)</f>
        <v>عادی</v>
      </c>
      <c r="K1469" s="252">
        <f>bargiri[[#This Row],[فی]]*bargiri[[#This Row],[میزان بارگیری شده]]</f>
        <v>1179537435</v>
      </c>
    </row>
    <row r="1470" spans="1:11" ht="18.600000000000001">
      <c r="A1470" s="360" t="s">
        <v>729</v>
      </c>
      <c r="B1470" s="360" t="s">
        <v>118</v>
      </c>
      <c r="C1470" s="355" t="s">
        <v>84</v>
      </c>
      <c r="D1470">
        <v>20640</v>
      </c>
      <c r="E1470" s="143">
        <v>57273</v>
      </c>
      <c r="F1470" s="117">
        <v>1404</v>
      </c>
      <c r="G1470" s="360" t="s">
        <v>303</v>
      </c>
      <c r="H1470" s="144">
        <f>bargiri[[#This Row],[میزان بارگیری شده]]*bargiri[[#This Row],[فی]]</f>
        <v>1182114720</v>
      </c>
      <c r="I1470" s="360">
        <f>IF(year=bargiri[[#This Row],[سال]],1,0)</f>
        <v>0</v>
      </c>
      <c r="J1470" s="360" t="str">
        <f>VLOOKUP(bargiri[[#This Row],[شماره پیش فاکتور]],invoice[],16,0)</f>
        <v>عادی</v>
      </c>
      <c r="K1470" s="252">
        <f>bargiri[[#This Row],[فی]]*bargiri[[#This Row],[میزان بارگیری شده]]</f>
        <v>1182114720</v>
      </c>
    </row>
    <row r="1471" spans="1:11" ht="18.600000000000001">
      <c r="A1471" s="360" t="s">
        <v>722</v>
      </c>
      <c r="B1471" s="360" t="s">
        <v>102</v>
      </c>
      <c r="C1471" s="355" t="s">
        <v>24</v>
      </c>
      <c r="D1471">
        <v>11530</v>
      </c>
      <c r="E1471" s="143">
        <v>70000</v>
      </c>
      <c r="F1471" s="117">
        <v>1404</v>
      </c>
      <c r="G1471" s="360" t="s">
        <v>303</v>
      </c>
      <c r="H1471" s="144">
        <f>bargiri[[#This Row],[میزان بارگیری شده]]*bargiri[[#This Row],[فی]]</f>
        <v>807100000</v>
      </c>
      <c r="I1471" s="360">
        <f>IF(year=bargiri[[#This Row],[سال]],1,0)</f>
        <v>0</v>
      </c>
      <c r="J1471" s="360" t="str">
        <f>VLOOKUP(bargiri[[#This Row],[شماره پیش فاکتور]],invoice[],16,0)</f>
        <v>عادی</v>
      </c>
      <c r="K1471" s="252">
        <f>bargiri[[#This Row],[فی]]*bargiri[[#This Row],[میزان بارگیری شده]]</f>
        <v>807100000</v>
      </c>
    </row>
    <row r="1472" spans="1:11" ht="18.600000000000001">
      <c r="A1472" s="360" t="s">
        <v>722</v>
      </c>
      <c r="B1472" s="360" t="s">
        <v>109</v>
      </c>
      <c r="C1472" s="355" t="s">
        <v>563</v>
      </c>
      <c r="D1472">
        <v>7400</v>
      </c>
      <c r="E1472" s="143">
        <v>142000</v>
      </c>
      <c r="F1472" s="117">
        <v>1404</v>
      </c>
      <c r="G1472" s="360" t="s">
        <v>303</v>
      </c>
      <c r="H1472" s="144">
        <f>bargiri[[#This Row],[میزان بارگیری شده]]*bargiri[[#This Row],[فی]]</f>
        <v>1050800000</v>
      </c>
      <c r="I1472" s="360">
        <f>IF(year=bargiri[[#This Row],[سال]],1,0)</f>
        <v>0</v>
      </c>
      <c r="J1472" s="360" t="str">
        <f>VLOOKUP(bargiri[[#This Row],[شماره پیش فاکتور]],invoice[],16,0)</f>
        <v>انجمن</v>
      </c>
      <c r="K1472" s="252">
        <f>bargiri[[#This Row],[فی]]*bargiri[[#This Row],[میزان بارگیری شده]]</f>
        <v>1050800000</v>
      </c>
    </row>
    <row r="1473" spans="1:11" ht="18.600000000000001">
      <c r="A1473" s="360" t="s">
        <v>722</v>
      </c>
      <c r="B1473" s="360" t="s">
        <v>104</v>
      </c>
      <c r="C1473" s="355" t="s">
        <v>639</v>
      </c>
      <c r="D1473">
        <v>12200</v>
      </c>
      <c r="E1473" s="143">
        <v>151200</v>
      </c>
      <c r="F1473" s="117">
        <v>1404</v>
      </c>
      <c r="G1473" s="360" t="s">
        <v>303</v>
      </c>
      <c r="H1473" s="144">
        <f>bargiri[[#This Row],[میزان بارگیری شده]]*bargiri[[#This Row],[فی]]</f>
        <v>1844640000</v>
      </c>
      <c r="I1473" s="360">
        <f>IF(year=bargiri[[#This Row],[سال]],1,0)</f>
        <v>0</v>
      </c>
      <c r="J1473" s="360" t="str">
        <f>VLOOKUP(bargiri[[#This Row],[شماره پیش فاکتور]],invoice[],16,0)</f>
        <v>بورس</v>
      </c>
      <c r="K1473" s="252">
        <f>bargiri[[#This Row],[فی]]*bargiri[[#This Row],[میزان بارگیری شده]]</f>
        <v>1844640000</v>
      </c>
    </row>
    <row r="1474" spans="1:11" ht="18.600000000000001">
      <c r="A1474" s="360" t="s">
        <v>722</v>
      </c>
      <c r="B1474" s="360" t="s">
        <v>104</v>
      </c>
      <c r="C1474" s="355" t="s">
        <v>644</v>
      </c>
      <c r="D1474">
        <v>5855</v>
      </c>
      <c r="E1474" s="143">
        <v>201000</v>
      </c>
      <c r="F1474" s="117">
        <v>1404</v>
      </c>
      <c r="G1474" s="360" t="s">
        <v>303</v>
      </c>
      <c r="H1474" s="144">
        <f>bargiri[[#This Row],[میزان بارگیری شده]]*bargiri[[#This Row],[فی]]</f>
        <v>1176855000</v>
      </c>
      <c r="I1474" s="360">
        <f>IF(year=bargiri[[#This Row],[سال]],1,0)</f>
        <v>0</v>
      </c>
      <c r="J1474" s="360" t="str">
        <f>VLOOKUP(bargiri[[#This Row],[شماره پیش فاکتور]],invoice[],16,0)</f>
        <v>بورس</v>
      </c>
      <c r="K1474" s="252">
        <f>bargiri[[#This Row],[فی]]*bargiri[[#This Row],[میزان بارگیری شده]]</f>
        <v>1176855000</v>
      </c>
    </row>
    <row r="1475" spans="1:11" ht="18.600000000000001">
      <c r="A1475" s="360" t="s">
        <v>722</v>
      </c>
      <c r="B1475" s="360" t="s">
        <v>123</v>
      </c>
      <c r="C1475" s="355" t="s">
        <v>569</v>
      </c>
      <c r="D1475">
        <v>7705</v>
      </c>
      <c r="E1475" s="143">
        <v>142000</v>
      </c>
      <c r="F1475" s="117">
        <v>1404</v>
      </c>
      <c r="G1475" s="360" t="s">
        <v>303</v>
      </c>
      <c r="H1475" s="144">
        <f>bargiri[[#This Row],[میزان بارگیری شده]]*bargiri[[#This Row],[فی]]</f>
        <v>1094110000</v>
      </c>
      <c r="I1475" s="360">
        <f>IF(year=bargiri[[#This Row],[سال]],1,0)</f>
        <v>0</v>
      </c>
      <c r="J1475" s="360" t="str">
        <f>VLOOKUP(bargiri[[#This Row],[شماره پیش فاکتور]],invoice[],16,0)</f>
        <v>انجمن</v>
      </c>
      <c r="K1475" s="252">
        <f>bargiri[[#This Row],[فی]]*bargiri[[#This Row],[میزان بارگیری شده]]</f>
        <v>1094110000</v>
      </c>
    </row>
    <row r="1476" spans="1:11" ht="18.600000000000001">
      <c r="A1476" s="360" t="s">
        <v>722</v>
      </c>
      <c r="B1476" s="360" t="s">
        <v>99</v>
      </c>
      <c r="C1476" s="355" t="s">
        <v>12</v>
      </c>
      <c r="D1476">
        <v>19010</v>
      </c>
      <c r="E1476" s="143">
        <v>86500</v>
      </c>
      <c r="F1476" s="117">
        <v>1404</v>
      </c>
      <c r="G1476" s="360" t="s">
        <v>303</v>
      </c>
      <c r="H1476" s="144">
        <f>bargiri[[#This Row],[میزان بارگیری شده]]*bargiri[[#This Row],[فی]]</f>
        <v>1644365000</v>
      </c>
      <c r="I1476" s="360">
        <f>IF(year=bargiri[[#This Row],[سال]],1,0)</f>
        <v>0</v>
      </c>
      <c r="J1476" s="360" t="str">
        <f>VLOOKUP(bargiri[[#This Row],[شماره پیش فاکتور]],invoice[],16,0)</f>
        <v>عادی</v>
      </c>
      <c r="K1476" s="252">
        <f>bargiri[[#This Row],[فی]]*bargiri[[#This Row],[میزان بارگیری شده]]</f>
        <v>1644365000</v>
      </c>
    </row>
    <row r="1477" spans="1:11" ht="18.600000000000001">
      <c r="A1477" s="360" t="s">
        <v>717</v>
      </c>
      <c r="B1477" s="360" t="s">
        <v>116</v>
      </c>
      <c r="C1477" s="355" t="s">
        <v>565</v>
      </c>
      <c r="D1477">
        <v>19950</v>
      </c>
      <c r="E1477" s="143">
        <v>142000</v>
      </c>
      <c r="F1477" s="117">
        <v>1404</v>
      </c>
      <c r="G1477" s="360" t="s">
        <v>303</v>
      </c>
      <c r="H1477" s="144">
        <f>bargiri[[#This Row],[میزان بارگیری شده]]*bargiri[[#This Row],[فی]]</f>
        <v>2832900000</v>
      </c>
      <c r="I1477" s="360">
        <f>IF(year=bargiri[[#This Row],[سال]],1,0)</f>
        <v>0</v>
      </c>
      <c r="J1477" s="360" t="str">
        <f>VLOOKUP(bargiri[[#This Row],[شماره پیش فاکتور]],invoice[],16,0)</f>
        <v>انجمن</v>
      </c>
      <c r="K1477" s="252">
        <f>bargiri[[#This Row],[فی]]*bargiri[[#This Row],[میزان بارگیری شده]]</f>
        <v>2832900000</v>
      </c>
    </row>
    <row r="1478" spans="1:11" ht="18.600000000000001">
      <c r="A1478" s="360" t="s">
        <v>717</v>
      </c>
      <c r="B1478" s="360" t="s">
        <v>116</v>
      </c>
      <c r="C1478" s="355" t="s">
        <v>565</v>
      </c>
      <c r="D1478">
        <v>7805</v>
      </c>
      <c r="E1478" s="143">
        <v>142000</v>
      </c>
      <c r="F1478" s="117">
        <v>1404</v>
      </c>
      <c r="G1478" s="360" t="s">
        <v>303</v>
      </c>
      <c r="H1478" s="144">
        <f>bargiri[[#This Row],[میزان بارگیری شده]]*bargiri[[#This Row],[فی]]</f>
        <v>1108310000</v>
      </c>
      <c r="I1478" s="360">
        <f>IF(year=bargiri[[#This Row],[سال]],1,0)</f>
        <v>0</v>
      </c>
      <c r="J1478" s="360" t="str">
        <f>VLOOKUP(bargiri[[#This Row],[شماره پیش فاکتور]],invoice[],16,0)</f>
        <v>انجمن</v>
      </c>
      <c r="K1478" s="252">
        <f>bargiri[[#This Row],[فی]]*bargiri[[#This Row],[میزان بارگیری شده]]</f>
        <v>1108310000</v>
      </c>
    </row>
    <row r="1479" spans="1:11" ht="18.600000000000001">
      <c r="A1479" s="360" t="s">
        <v>717</v>
      </c>
      <c r="B1479" s="360" t="s">
        <v>99</v>
      </c>
      <c r="C1479" s="355" t="s">
        <v>12</v>
      </c>
      <c r="D1479">
        <v>18990</v>
      </c>
      <c r="E1479" s="143">
        <v>86500</v>
      </c>
      <c r="F1479" s="117">
        <v>1404</v>
      </c>
      <c r="G1479" s="360" t="s">
        <v>303</v>
      </c>
      <c r="H1479" s="144">
        <f>bargiri[[#This Row],[میزان بارگیری شده]]*bargiri[[#This Row],[فی]]</f>
        <v>1642635000</v>
      </c>
      <c r="I1479" s="360">
        <f>IF(year=bargiri[[#This Row],[سال]],1,0)</f>
        <v>0</v>
      </c>
      <c r="J1479" s="360" t="str">
        <f>VLOOKUP(bargiri[[#This Row],[شماره پیش فاکتور]],invoice[],16,0)</f>
        <v>عادی</v>
      </c>
      <c r="K1479" s="252">
        <f>bargiri[[#This Row],[فی]]*bargiri[[#This Row],[میزان بارگیری شده]]</f>
        <v>1642635000</v>
      </c>
    </row>
    <row r="1480" spans="1:11" ht="18.600000000000001">
      <c r="A1480" s="360" t="s">
        <v>715</v>
      </c>
      <c r="B1480" s="360" t="s">
        <v>109</v>
      </c>
      <c r="C1480" s="355" t="s">
        <v>563</v>
      </c>
      <c r="D1480">
        <v>7430</v>
      </c>
      <c r="E1480" s="143">
        <v>142000</v>
      </c>
      <c r="F1480" s="117">
        <v>1404</v>
      </c>
      <c r="G1480" s="360" t="s">
        <v>303</v>
      </c>
      <c r="H1480" s="144">
        <f>bargiri[[#This Row],[میزان بارگیری شده]]*bargiri[[#This Row],[فی]]</f>
        <v>1055060000</v>
      </c>
      <c r="I1480" s="360">
        <f>IF(year=bargiri[[#This Row],[سال]],1,0)</f>
        <v>0</v>
      </c>
      <c r="J1480" s="360" t="str">
        <f>VLOOKUP(bargiri[[#This Row],[شماره پیش فاکتور]],invoice[],16,0)</f>
        <v>انجمن</v>
      </c>
      <c r="K1480" s="252">
        <f>bargiri[[#This Row],[فی]]*bargiri[[#This Row],[میزان بارگیری شده]]</f>
        <v>1055060000</v>
      </c>
    </row>
    <row r="1481" spans="1:11" ht="18.600000000000001">
      <c r="A1481" s="360" t="s">
        <v>715</v>
      </c>
      <c r="B1481" s="360" t="s">
        <v>116</v>
      </c>
      <c r="C1481" s="355" t="s">
        <v>608</v>
      </c>
      <c r="D1481">
        <v>8070</v>
      </c>
      <c r="E1481" s="143">
        <v>95000</v>
      </c>
      <c r="F1481" s="117">
        <v>1404</v>
      </c>
      <c r="G1481" s="360" t="s">
        <v>303</v>
      </c>
      <c r="H1481" s="144">
        <f>bargiri[[#This Row],[میزان بارگیری شده]]*bargiri[[#This Row],[فی]]</f>
        <v>766650000</v>
      </c>
      <c r="I1481" s="360">
        <f>IF(year=bargiri[[#This Row],[سال]],1,0)</f>
        <v>0</v>
      </c>
      <c r="J1481" s="360" t="str">
        <f>VLOOKUP(bargiri[[#This Row],[شماره پیش فاکتور]],invoice[],16,0)</f>
        <v>عادی</v>
      </c>
      <c r="K1481" s="252">
        <f>bargiri[[#This Row],[فی]]*bargiri[[#This Row],[میزان بارگیری شده]]</f>
        <v>766650000</v>
      </c>
    </row>
    <row r="1482" spans="1:11" ht="18.600000000000001">
      <c r="A1482" s="360" t="s">
        <v>715</v>
      </c>
      <c r="B1482" s="360" t="s">
        <v>101</v>
      </c>
      <c r="C1482" s="355" t="s">
        <v>558</v>
      </c>
      <c r="D1482">
        <v>12025</v>
      </c>
      <c r="E1482" s="143">
        <v>142000</v>
      </c>
      <c r="F1482" s="117">
        <v>1404</v>
      </c>
      <c r="G1482" s="360" t="s">
        <v>303</v>
      </c>
      <c r="H1482" s="144">
        <f>bargiri[[#This Row],[میزان بارگیری شده]]*bargiri[[#This Row],[فی]]</f>
        <v>1707550000</v>
      </c>
      <c r="I1482" s="360">
        <f>IF(year=bargiri[[#This Row],[سال]],1,0)</f>
        <v>0</v>
      </c>
      <c r="J1482" s="360" t="str">
        <f>VLOOKUP(bargiri[[#This Row],[شماره پیش فاکتور]],invoice[],16,0)</f>
        <v>انجمن</v>
      </c>
      <c r="K1482" s="252">
        <f>bargiri[[#This Row],[فی]]*bargiri[[#This Row],[میزان بارگیری شده]]</f>
        <v>1707550000</v>
      </c>
    </row>
    <row r="1483" spans="1:11" ht="18.600000000000001">
      <c r="A1483" s="360" t="s">
        <v>715</v>
      </c>
      <c r="B1483" s="360" t="s">
        <v>104</v>
      </c>
      <c r="C1483" s="355" t="s">
        <v>639</v>
      </c>
      <c r="D1483">
        <v>17800</v>
      </c>
      <c r="E1483" s="143">
        <v>151200</v>
      </c>
      <c r="F1483" s="117">
        <v>1404</v>
      </c>
      <c r="G1483" s="360" t="s">
        <v>303</v>
      </c>
      <c r="H1483" s="144">
        <f>bargiri[[#This Row],[میزان بارگیری شده]]*bargiri[[#This Row],[فی]]</f>
        <v>2691360000</v>
      </c>
      <c r="I1483" s="360">
        <f>IF(year=bargiri[[#This Row],[سال]],1,0)</f>
        <v>0</v>
      </c>
      <c r="J1483" s="360" t="str">
        <f>VLOOKUP(bargiri[[#This Row],[شماره پیش فاکتور]],invoice[],16,0)</f>
        <v>بورس</v>
      </c>
      <c r="K1483" s="252">
        <f>bargiri[[#This Row],[فی]]*bargiri[[#This Row],[میزان بارگیری شده]]</f>
        <v>2691360000</v>
      </c>
    </row>
    <row r="1484" spans="1:11" ht="18.600000000000001">
      <c r="A1484" s="360" t="s">
        <v>715</v>
      </c>
      <c r="B1484" s="360" t="s">
        <v>117</v>
      </c>
      <c r="C1484" s="355" t="s">
        <v>685</v>
      </c>
      <c r="D1484">
        <v>1010</v>
      </c>
      <c r="E1484" s="143">
        <v>167500</v>
      </c>
      <c r="F1484" s="117">
        <v>1404</v>
      </c>
      <c r="G1484" s="360" t="s">
        <v>303</v>
      </c>
      <c r="H1484" s="144">
        <f>bargiri[[#This Row],[میزان بارگیری شده]]*bargiri[[#This Row],[فی]]</f>
        <v>169175000</v>
      </c>
      <c r="I1484" s="360">
        <f>IF(year=bargiri[[#This Row],[سال]],1,0)</f>
        <v>0</v>
      </c>
      <c r="J1484" s="360" t="str">
        <f>VLOOKUP(bargiri[[#This Row],[شماره پیش فاکتور]],invoice[],16,0)</f>
        <v>بورس</v>
      </c>
      <c r="K1484" s="252">
        <f>bargiri[[#This Row],[فی]]*bargiri[[#This Row],[میزان بارگیری شده]]</f>
        <v>169175000</v>
      </c>
    </row>
    <row r="1485" spans="1:11" ht="18.600000000000001">
      <c r="A1485" s="360" t="s">
        <v>715</v>
      </c>
      <c r="B1485" s="360" t="s">
        <v>117</v>
      </c>
      <c r="C1485" s="355" t="s">
        <v>566</v>
      </c>
      <c r="D1485">
        <v>19015</v>
      </c>
      <c r="E1485" s="143">
        <v>142000</v>
      </c>
      <c r="F1485" s="117">
        <v>1404</v>
      </c>
      <c r="G1485" s="360" t="s">
        <v>303</v>
      </c>
      <c r="H1485" s="144">
        <f>bargiri[[#This Row],[میزان بارگیری شده]]*bargiri[[#This Row],[فی]]</f>
        <v>2700130000</v>
      </c>
      <c r="I1485" s="360">
        <f>IF(year=bargiri[[#This Row],[سال]],1,0)</f>
        <v>0</v>
      </c>
      <c r="J1485" s="360" t="str">
        <f>VLOOKUP(bargiri[[#This Row],[شماره پیش فاکتور]],invoice[],16,0)</f>
        <v>انجمن</v>
      </c>
      <c r="K1485" s="252">
        <f>bargiri[[#This Row],[فی]]*bargiri[[#This Row],[میزان بارگیری شده]]</f>
        <v>2700130000</v>
      </c>
    </row>
    <row r="1486" spans="1:11" ht="18.600000000000001">
      <c r="A1486" s="360" t="s">
        <v>716</v>
      </c>
      <c r="B1486" s="360" t="s">
        <v>118</v>
      </c>
      <c r="C1486" s="355" t="s">
        <v>84</v>
      </c>
      <c r="D1486">
        <v>20620</v>
      </c>
      <c r="E1486" s="143">
        <v>57273</v>
      </c>
      <c r="F1486" s="117">
        <v>1404</v>
      </c>
      <c r="G1486" s="360" t="s">
        <v>303</v>
      </c>
      <c r="H1486" s="144">
        <f>bargiri[[#This Row],[میزان بارگیری شده]]*bargiri[[#This Row],[فی]]</f>
        <v>1180969260</v>
      </c>
      <c r="I1486" s="360">
        <f>IF(year=bargiri[[#This Row],[سال]],1,0)</f>
        <v>0</v>
      </c>
      <c r="J1486" s="360" t="str">
        <f>VLOOKUP(bargiri[[#This Row],[شماره پیش فاکتور]],invoice[],16,0)</f>
        <v>عادی</v>
      </c>
      <c r="K1486" s="252">
        <f>bargiri[[#This Row],[فی]]*bargiri[[#This Row],[میزان بارگیری شده]]</f>
        <v>1180969260</v>
      </c>
    </row>
    <row r="1487" spans="1:11" ht="18.600000000000001">
      <c r="A1487" s="360" t="s">
        <v>716</v>
      </c>
      <c r="B1487" s="360" t="s">
        <v>118</v>
      </c>
      <c r="C1487" s="355" t="s">
        <v>84</v>
      </c>
      <c r="D1487">
        <v>20505</v>
      </c>
      <c r="E1487" s="143">
        <v>57273</v>
      </c>
      <c r="F1487" s="117">
        <v>1404</v>
      </c>
      <c r="G1487" s="360" t="s">
        <v>303</v>
      </c>
      <c r="H1487" s="144">
        <f>bargiri[[#This Row],[میزان بارگیری شده]]*bargiri[[#This Row],[فی]]</f>
        <v>1174382865</v>
      </c>
      <c r="I1487" s="360">
        <f>IF(year=bargiri[[#This Row],[سال]],1,0)</f>
        <v>0</v>
      </c>
      <c r="J1487" s="360" t="str">
        <f>VLOOKUP(bargiri[[#This Row],[شماره پیش فاکتور]],invoice[],16,0)</f>
        <v>عادی</v>
      </c>
      <c r="K1487" s="252">
        <f>bargiri[[#This Row],[فی]]*bargiri[[#This Row],[میزان بارگیری شده]]</f>
        <v>1174382865</v>
      </c>
    </row>
    <row r="1488" spans="1:11" ht="18.600000000000001">
      <c r="A1488" s="360" t="s">
        <v>716</v>
      </c>
      <c r="B1488" s="360" t="s">
        <v>118</v>
      </c>
      <c r="C1488" s="355" t="s">
        <v>84</v>
      </c>
      <c r="D1488">
        <v>20560</v>
      </c>
      <c r="E1488" s="143">
        <v>57273</v>
      </c>
      <c r="F1488" s="117">
        <v>1404</v>
      </c>
      <c r="G1488" s="360" t="s">
        <v>303</v>
      </c>
      <c r="H1488" s="144">
        <f>bargiri[[#This Row],[میزان بارگیری شده]]*bargiri[[#This Row],[فی]]</f>
        <v>1177532880</v>
      </c>
      <c r="I1488" s="360">
        <f>IF(year=bargiri[[#This Row],[سال]],1,0)</f>
        <v>0</v>
      </c>
      <c r="J1488" s="360" t="str">
        <f>VLOOKUP(bargiri[[#This Row],[شماره پیش فاکتور]],invoice[],16,0)</f>
        <v>عادی</v>
      </c>
      <c r="K1488" s="252">
        <f>bargiri[[#This Row],[فی]]*bargiri[[#This Row],[میزان بارگیری شده]]</f>
        <v>1177532880</v>
      </c>
    </row>
    <row r="1489" spans="1:11" ht="18.600000000000001">
      <c r="A1489" s="360" t="s">
        <v>716</v>
      </c>
      <c r="B1489" s="360" t="s">
        <v>114</v>
      </c>
      <c r="C1489" s="355" t="s">
        <v>62</v>
      </c>
      <c r="D1489">
        <v>22100</v>
      </c>
      <c r="E1489" s="143">
        <v>75000</v>
      </c>
      <c r="F1489" s="117">
        <v>1404</v>
      </c>
      <c r="G1489" s="360" t="s">
        <v>303</v>
      </c>
      <c r="H1489" s="144">
        <f>bargiri[[#This Row],[میزان بارگیری شده]]*bargiri[[#This Row],[فی]]</f>
        <v>1657500000</v>
      </c>
      <c r="I1489" s="360">
        <f>IF(year=bargiri[[#This Row],[سال]],1,0)</f>
        <v>0</v>
      </c>
      <c r="J1489" s="360" t="str">
        <f>VLOOKUP(bargiri[[#This Row],[شماره پیش فاکتور]],invoice[],16,0)</f>
        <v>عادی</v>
      </c>
      <c r="K1489" s="252">
        <f>bargiri[[#This Row],[فی]]*bargiri[[#This Row],[میزان بارگیری شده]]</f>
        <v>1657500000</v>
      </c>
    </row>
    <row r="1490" spans="1:11" ht="18.600000000000001">
      <c r="A1490" s="360" t="s">
        <v>716</v>
      </c>
      <c r="B1490" s="360" t="s">
        <v>122</v>
      </c>
      <c r="C1490" s="355" t="s">
        <v>568</v>
      </c>
      <c r="D1490">
        <v>22080</v>
      </c>
      <c r="E1490" s="143">
        <v>142000</v>
      </c>
      <c r="F1490" s="117">
        <v>1404</v>
      </c>
      <c r="G1490" s="360" t="s">
        <v>303</v>
      </c>
      <c r="H1490" s="144">
        <f>bargiri[[#This Row],[میزان بارگیری شده]]*bargiri[[#This Row],[فی]]</f>
        <v>3135360000</v>
      </c>
      <c r="I1490" s="360">
        <f>IF(year=bargiri[[#This Row],[سال]],1,0)</f>
        <v>0</v>
      </c>
      <c r="J1490" s="360" t="str">
        <f>VLOOKUP(bargiri[[#This Row],[شماره پیش فاکتور]],invoice[],16,0)</f>
        <v>انجمن</v>
      </c>
      <c r="K1490" s="252">
        <f>bargiri[[#This Row],[فی]]*bargiri[[#This Row],[میزان بارگیری شده]]</f>
        <v>3135360000</v>
      </c>
    </row>
    <row r="1491" spans="1:11" ht="18.600000000000001">
      <c r="A1491" s="360" t="s">
        <v>714</v>
      </c>
      <c r="B1491" s="360" t="s">
        <v>121</v>
      </c>
      <c r="C1491" s="355" t="s">
        <v>637</v>
      </c>
      <c r="D1491">
        <v>15000</v>
      </c>
      <c r="E1491" s="143">
        <v>151100</v>
      </c>
      <c r="F1491" s="117">
        <v>1404</v>
      </c>
      <c r="G1491" s="360" t="s">
        <v>303</v>
      </c>
      <c r="H1491" s="144">
        <f>bargiri[[#This Row],[میزان بارگیری شده]]*bargiri[[#This Row],[فی]]</f>
        <v>2266500000</v>
      </c>
      <c r="I1491" s="360">
        <f>IF(year=bargiri[[#This Row],[سال]],1,0)</f>
        <v>0</v>
      </c>
      <c r="J1491" s="360" t="str">
        <f>VLOOKUP(bargiri[[#This Row],[شماره پیش فاکتور]],invoice[],16,0)</f>
        <v>بورس</v>
      </c>
      <c r="K1491" s="252">
        <f>bargiri[[#This Row],[فی]]*bargiri[[#This Row],[میزان بارگیری شده]]</f>
        <v>2266500000</v>
      </c>
    </row>
    <row r="1492" spans="1:11" ht="18.600000000000001">
      <c r="A1492" s="360" t="s">
        <v>714</v>
      </c>
      <c r="B1492" s="360" t="s">
        <v>116</v>
      </c>
      <c r="C1492" s="355" t="s">
        <v>608</v>
      </c>
      <c r="D1492">
        <v>8075</v>
      </c>
      <c r="E1492" s="143">
        <v>95000</v>
      </c>
      <c r="F1492" s="117">
        <v>1404</v>
      </c>
      <c r="G1492" s="360" t="s">
        <v>303</v>
      </c>
      <c r="H1492" s="144">
        <f>bargiri[[#This Row],[میزان بارگیری شده]]*bargiri[[#This Row],[فی]]</f>
        <v>767125000</v>
      </c>
      <c r="I1492" s="360">
        <f>IF(year=bargiri[[#This Row],[سال]],1,0)</f>
        <v>0</v>
      </c>
      <c r="J1492" s="360" t="str">
        <f>VLOOKUP(bargiri[[#This Row],[شماره پیش فاکتور]],invoice[],16,0)</f>
        <v>عادی</v>
      </c>
      <c r="K1492" s="252">
        <f>bargiri[[#This Row],[فی]]*bargiri[[#This Row],[میزان بارگیری شده]]</f>
        <v>767125000</v>
      </c>
    </row>
    <row r="1493" spans="1:11" ht="18.600000000000001">
      <c r="A1493" s="360" t="s">
        <v>714</v>
      </c>
      <c r="B1493" s="360" t="s">
        <v>102</v>
      </c>
      <c r="C1493" s="355" t="s">
        <v>24</v>
      </c>
      <c r="D1493">
        <v>11565</v>
      </c>
      <c r="E1493" s="143">
        <v>70000</v>
      </c>
      <c r="F1493" s="117">
        <v>1404</v>
      </c>
      <c r="G1493" s="360" t="s">
        <v>303</v>
      </c>
      <c r="H1493" s="144">
        <f>bargiri[[#This Row],[میزان بارگیری شده]]*bargiri[[#This Row],[فی]]</f>
        <v>809550000</v>
      </c>
      <c r="I1493" s="360">
        <f>IF(year=bargiri[[#This Row],[سال]],1,0)</f>
        <v>0</v>
      </c>
      <c r="J1493" s="360" t="str">
        <f>VLOOKUP(bargiri[[#This Row],[شماره پیش فاکتور]],invoice[],16,0)</f>
        <v>عادی</v>
      </c>
      <c r="K1493" s="252">
        <f>bargiri[[#This Row],[فی]]*bargiri[[#This Row],[میزان بارگیری شده]]</f>
        <v>809550000</v>
      </c>
    </row>
    <row r="1494" spans="1:11" ht="18.600000000000001">
      <c r="A1494" s="360" t="s">
        <v>714</v>
      </c>
      <c r="B1494" s="360" t="s">
        <v>116</v>
      </c>
      <c r="C1494" s="355" t="s">
        <v>608</v>
      </c>
      <c r="D1494">
        <v>19915</v>
      </c>
      <c r="E1494" s="143">
        <v>95000</v>
      </c>
      <c r="F1494" s="117">
        <v>1404</v>
      </c>
      <c r="G1494" s="360" t="s">
        <v>303</v>
      </c>
      <c r="H1494" s="144">
        <f>bargiri[[#This Row],[میزان بارگیری شده]]*bargiri[[#This Row],[فی]]</f>
        <v>1891925000</v>
      </c>
      <c r="I1494" s="360">
        <f>IF(year=bargiri[[#This Row],[سال]],1,0)</f>
        <v>0</v>
      </c>
      <c r="J1494" s="360" t="str">
        <f>VLOOKUP(bargiri[[#This Row],[شماره پیش فاکتور]],invoice[],16,0)</f>
        <v>عادی</v>
      </c>
      <c r="K1494" s="252">
        <f>bargiri[[#This Row],[فی]]*bargiri[[#This Row],[میزان بارگیری شده]]</f>
        <v>1891925000</v>
      </c>
    </row>
    <row r="1495" spans="1:11" ht="18.600000000000001">
      <c r="A1495" s="360" t="s">
        <v>714</v>
      </c>
      <c r="B1495" s="360" t="s">
        <v>98</v>
      </c>
      <c r="C1495" s="355" t="s">
        <v>571</v>
      </c>
      <c r="D1495">
        <v>22085</v>
      </c>
      <c r="E1495" s="143">
        <v>142000</v>
      </c>
      <c r="F1495" s="117">
        <v>1404</v>
      </c>
      <c r="G1495" s="360" t="s">
        <v>303</v>
      </c>
      <c r="H1495" s="144">
        <f>bargiri[[#This Row],[میزان بارگیری شده]]*bargiri[[#This Row],[فی]]</f>
        <v>3136070000</v>
      </c>
      <c r="I1495" s="360">
        <f>IF(year=bargiri[[#This Row],[سال]],1,0)</f>
        <v>0</v>
      </c>
      <c r="J1495" s="360" t="str">
        <f>VLOOKUP(bargiri[[#This Row],[شماره پیش فاکتور]],invoice[],16,0)</f>
        <v>انجمن</v>
      </c>
      <c r="K1495" s="252">
        <f>bargiri[[#This Row],[فی]]*bargiri[[#This Row],[میزان بارگیری شده]]</f>
        <v>3136070000</v>
      </c>
    </row>
    <row r="1496" spans="1:11" ht="18.600000000000001">
      <c r="A1496" s="360" t="s">
        <v>707</v>
      </c>
      <c r="B1496" s="360" t="s">
        <v>116</v>
      </c>
      <c r="C1496" s="355" t="s">
        <v>608</v>
      </c>
      <c r="D1496">
        <v>9890</v>
      </c>
      <c r="E1496" s="143">
        <v>95000</v>
      </c>
      <c r="F1496" s="117">
        <v>1404</v>
      </c>
      <c r="G1496" s="360" t="s">
        <v>303</v>
      </c>
      <c r="H1496" s="144">
        <f>bargiri[[#This Row],[میزان بارگیری شده]]*bargiri[[#This Row],[فی]]</f>
        <v>939550000</v>
      </c>
      <c r="I1496" s="360">
        <f>IF(year=bargiri[[#This Row],[سال]],1,0)</f>
        <v>0</v>
      </c>
      <c r="J1496" s="360" t="str">
        <f>VLOOKUP(bargiri[[#This Row],[شماره پیش فاکتور]],invoice[],16,0)</f>
        <v>عادی</v>
      </c>
      <c r="K1496" s="252">
        <f>bargiri[[#This Row],[فی]]*bargiri[[#This Row],[میزان بارگیری شده]]</f>
        <v>939550000</v>
      </c>
    </row>
    <row r="1497" spans="1:11" ht="18.600000000000001">
      <c r="A1497" s="360" t="s">
        <v>707</v>
      </c>
      <c r="B1497" s="360" t="s">
        <v>106</v>
      </c>
      <c r="C1497" s="355" t="s">
        <v>44</v>
      </c>
      <c r="D1497">
        <v>22070</v>
      </c>
      <c r="E1497" s="143">
        <v>80000</v>
      </c>
      <c r="F1497" s="117">
        <v>1404</v>
      </c>
      <c r="G1497" s="360" t="s">
        <v>303</v>
      </c>
      <c r="H1497" s="144">
        <f>bargiri[[#This Row],[میزان بارگیری شده]]*bargiri[[#This Row],[فی]]</f>
        <v>1765600000</v>
      </c>
      <c r="I1497" s="360">
        <f>IF(year=bargiri[[#This Row],[سال]],1,0)</f>
        <v>0</v>
      </c>
      <c r="J1497" s="360" t="str">
        <f>VLOOKUP(bargiri[[#This Row],[شماره پیش فاکتور]],invoice[],16,0)</f>
        <v>عادی</v>
      </c>
      <c r="K1497" s="252">
        <f>bargiri[[#This Row],[فی]]*bargiri[[#This Row],[میزان بارگیری شده]]</f>
        <v>1765600000</v>
      </c>
    </row>
    <row r="1498" spans="1:11" ht="18.600000000000001">
      <c r="A1498" s="360" t="s">
        <v>707</v>
      </c>
      <c r="B1498" s="360" t="s">
        <v>118</v>
      </c>
      <c r="C1498" s="355" t="s">
        <v>84</v>
      </c>
      <c r="D1498">
        <v>20515</v>
      </c>
      <c r="E1498" s="143">
        <v>57273</v>
      </c>
      <c r="F1498" s="117">
        <v>1404</v>
      </c>
      <c r="G1498" s="360" t="s">
        <v>303</v>
      </c>
      <c r="H1498" s="144">
        <f>bargiri[[#This Row],[میزان بارگیری شده]]*bargiri[[#This Row],[فی]]</f>
        <v>1174955595</v>
      </c>
      <c r="I1498" s="360">
        <f>IF(year=bargiri[[#This Row],[سال]],1,0)</f>
        <v>0</v>
      </c>
      <c r="J1498" s="360" t="str">
        <f>VLOOKUP(bargiri[[#This Row],[شماره پیش فاکتور]],invoice[],16,0)</f>
        <v>عادی</v>
      </c>
      <c r="K1498" s="252">
        <f>bargiri[[#This Row],[فی]]*bargiri[[#This Row],[میزان بارگیری شده]]</f>
        <v>1174955595</v>
      </c>
    </row>
    <row r="1499" spans="1:11" ht="18.600000000000001">
      <c r="A1499" s="360" t="s">
        <v>707</v>
      </c>
      <c r="B1499" s="360" t="s">
        <v>118</v>
      </c>
      <c r="C1499" s="355" t="s">
        <v>84</v>
      </c>
      <c r="D1499">
        <v>20545</v>
      </c>
      <c r="E1499" s="143">
        <v>57273</v>
      </c>
      <c r="F1499" s="117">
        <v>1404</v>
      </c>
      <c r="G1499" s="360" t="s">
        <v>303</v>
      </c>
      <c r="H1499" s="144">
        <f>bargiri[[#This Row],[میزان بارگیری شده]]*bargiri[[#This Row],[فی]]</f>
        <v>1176673785</v>
      </c>
      <c r="I1499" s="360">
        <f>IF(year=bargiri[[#This Row],[سال]],1,0)</f>
        <v>0</v>
      </c>
      <c r="J1499" s="360" t="str">
        <f>VLOOKUP(bargiri[[#This Row],[شماره پیش فاکتور]],invoice[],16,0)</f>
        <v>عادی</v>
      </c>
      <c r="K1499" s="252">
        <f>bargiri[[#This Row],[فی]]*bargiri[[#This Row],[میزان بارگیری شده]]</f>
        <v>1176673785</v>
      </c>
    </row>
    <row r="1500" spans="1:11" ht="18.600000000000001">
      <c r="A1500" s="360" t="s">
        <v>707</v>
      </c>
      <c r="B1500" s="360" t="s">
        <v>103</v>
      </c>
      <c r="C1500" s="355" t="s">
        <v>560</v>
      </c>
      <c r="D1500">
        <v>7040</v>
      </c>
      <c r="E1500" s="143">
        <v>142000</v>
      </c>
      <c r="F1500" s="117">
        <v>1404</v>
      </c>
      <c r="G1500" s="360" t="s">
        <v>303</v>
      </c>
      <c r="H1500" s="144">
        <f>bargiri[[#This Row],[میزان بارگیری شده]]*bargiri[[#This Row],[فی]]</f>
        <v>999680000</v>
      </c>
      <c r="I1500" s="360">
        <f>IF(year=bargiri[[#This Row],[سال]],1,0)</f>
        <v>0</v>
      </c>
      <c r="J1500" s="360" t="str">
        <f>VLOOKUP(bargiri[[#This Row],[شماره پیش فاکتور]],invoice[],16,0)</f>
        <v>انجمن</v>
      </c>
      <c r="K1500" s="252">
        <f>bargiri[[#This Row],[فی]]*bargiri[[#This Row],[میزان بارگیری شده]]</f>
        <v>999680000</v>
      </c>
    </row>
    <row r="1501" spans="1:11" ht="18.600000000000001">
      <c r="A1501" s="360" t="s">
        <v>708</v>
      </c>
      <c r="B1501" s="360" t="s">
        <v>116</v>
      </c>
      <c r="C1501" s="355" t="s">
        <v>608</v>
      </c>
      <c r="D1501">
        <v>17900</v>
      </c>
      <c r="E1501" s="143">
        <v>95000</v>
      </c>
      <c r="F1501" s="117">
        <v>1404</v>
      </c>
      <c r="G1501" s="360" t="s">
        <v>303</v>
      </c>
      <c r="H1501" s="144">
        <f>bargiri[[#This Row],[میزان بارگیری شده]]*bargiri[[#This Row],[فی]]</f>
        <v>1700500000</v>
      </c>
      <c r="I1501" s="360">
        <f>IF(year=bargiri[[#This Row],[سال]],1,0)</f>
        <v>0</v>
      </c>
      <c r="J1501" s="360" t="str">
        <f>VLOOKUP(bargiri[[#This Row],[شماره پیش فاکتور]],invoice[],16,0)</f>
        <v>عادی</v>
      </c>
      <c r="K1501" s="252">
        <f>bargiri[[#This Row],[فی]]*bargiri[[#This Row],[میزان بارگیری شده]]</f>
        <v>1700500000</v>
      </c>
    </row>
    <row r="1502" spans="1:11" ht="18.600000000000001">
      <c r="A1502" s="360" t="s">
        <v>708</v>
      </c>
      <c r="B1502" s="360" t="s">
        <v>125</v>
      </c>
      <c r="C1502" s="355" t="s">
        <v>570</v>
      </c>
      <c r="D1502">
        <v>14220</v>
      </c>
      <c r="E1502" s="143">
        <v>142000</v>
      </c>
      <c r="F1502" s="117">
        <v>1404</v>
      </c>
      <c r="G1502" s="360" t="s">
        <v>303</v>
      </c>
      <c r="H1502" s="144">
        <f>bargiri[[#This Row],[میزان بارگیری شده]]*bargiri[[#This Row],[فی]]</f>
        <v>2019240000</v>
      </c>
      <c r="I1502" s="360">
        <f>IF(year=bargiri[[#This Row],[سال]],1,0)</f>
        <v>0</v>
      </c>
      <c r="J1502" s="360" t="str">
        <f>VLOOKUP(bargiri[[#This Row],[شماره پیش فاکتور]],invoice[],16,0)</f>
        <v>انجمن</v>
      </c>
      <c r="K1502" s="252">
        <f>bargiri[[#This Row],[فی]]*bargiri[[#This Row],[میزان بارگیری شده]]</f>
        <v>2019240000</v>
      </c>
    </row>
    <row r="1503" spans="1:11" ht="18.600000000000001">
      <c r="A1503" s="360" t="s">
        <v>708</v>
      </c>
      <c r="B1503" s="360" t="s">
        <v>104</v>
      </c>
      <c r="C1503" s="355" t="s">
        <v>562</v>
      </c>
      <c r="D1503">
        <v>18465</v>
      </c>
      <c r="E1503" s="143">
        <v>142000</v>
      </c>
      <c r="F1503" s="117">
        <v>1404</v>
      </c>
      <c r="G1503" s="360" t="s">
        <v>303</v>
      </c>
      <c r="H1503" s="144">
        <f>bargiri[[#This Row],[میزان بارگیری شده]]*bargiri[[#This Row],[فی]]</f>
        <v>2622030000</v>
      </c>
      <c r="I1503" s="360">
        <f>IF(year=bargiri[[#This Row],[سال]],1,0)</f>
        <v>0</v>
      </c>
      <c r="J1503" s="360" t="str">
        <f>VLOOKUP(bargiri[[#This Row],[شماره پیش فاکتور]],invoice[],16,0)</f>
        <v>انجمن</v>
      </c>
      <c r="K1503" s="252">
        <f>bargiri[[#This Row],[فی]]*bargiri[[#This Row],[میزان بارگیری شده]]</f>
        <v>2622030000</v>
      </c>
    </row>
    <row r="1504" spans="1:11" ht="18.600000000000001">
      <c r="A1504" s="360" t="s">
        <v>708</v>
      </c>
      <c r="B1504" s="360" t="s">
        <v>118</v>
      </c>
      <c r="C1504" s="355" t="s">
        <v>84</v>
      </c>
      <c r="D1504">
        <v>20530</v>
      </c>
      <c r="E1504" s="143">
        <v>57273</v>
      </c>
      <c r="F1504" s="117">
        <v>1404</v>
      </c>
      <c r="G1504" s="360" t="s">
        <v>303</v>
      </c>
      <c r="H1504" s="144">
        <f>bargiri[[#This Row],[میزان بارگیری شده]]*bargiri[[#This Row],[فی]]</f>
        <v>1175814690</v>
      </c>
      <c r="I1504" s="360">
        <f>IF(year=bargiri[[#This Row],[سال]],1,0)</f>
        <v>0</v>
      </c>
      <c r="J1504" s="360" t="str">
        <f>VLOOKUP(bargiri[[#This Row],[شماره پیش فاکتور]],invoice[],16,0)</f>
        <v>عادی</v>
      </c>
      <c r="K1504" s="252">
        <f>bargiri[[#This Row],[فی]]*bargiri[[#This Row],[میزان بارگیری شده]]</f>
        <v>1175814690</v>
      </c>
    </row>
    <row r="1505" spans="1:11" ht="18.600000000000001">
      <c r="A1505" s="360" t="s">
        <v>708</v>
      </c>
      <c r="B1505" s="360" t="s">
        <v>118</v>
      </c>
      <c r="C1505" s="355" t="s">
        <v>84</v>
      </c>
      <c r="D1505">
        <v>20525</v>
      </c>
      <c r="E1505" s="143">
        <v>57273</v>
      </c>
      <c r="F1505" s="117">
        <v>1404</v>
      </c>
      <c r="G1505" s="360" t="s">
        <v>303</v>
      </c>
      <c r="H1505" s="144">
        <f>bargiri[[#This Row],[میزان بارگیری شده]]*bargiri[[#This Row],[فی]]</f>
        <v>1175528325</v>
      </c>
      <c r="I1505" s="360">
        <f>IF(year=bargiri[[#This Row],[سال]],1,0)</f>
        <v>0</v>
      </c>
      <c r="J1505" s="360" t="str">
        <f>VLOOKUP(bargiri[[#This Row],[شماره پیش فاکتور]],invoice[],16,0)</f>
        <v>عادی</v>
      </c>
      <c r="K1505" s="252">
        <f>bargiri[[#This Row],[فی]]*bargiri[[#This Row],[میزان بارگیری شده]]</f>
        <v>1175528325</v>
      </c>
    </row>
    <row r="1506" spans="1:11" ht="18.600000000000001">
      <c r="A1506" s="360" t="s">
        <v>708</v>
      </c>
      <c r="B1506" s="360" t="s">
        <v>99</v>
      </c>
      <c r="C1506" s="355" t="s">
        <v>12</v>
      </c>
      <c r="D1506">
        <v>19045</v>
      </c>
      <c r="E1506" s="143">
        <v>86500</v>
      </c>
      <c r="F1506" s="117">
        <v>1404</v>
      </c>
      <c r="G1506" s="360" t="s">
        <v>303</v>
      </c>
      <c r="H1506" s="144">
        <f>bargiri[[#This Row],[میزان بارگیری شده]]*bargiri[[#This Row],[فی]]</f>
        <v>1647392500</v>
      </c>
      <c r="I1506" s="360">
        <f>IF(year=bargiri[[#This Row],[سال]],1,0)</f>
        <v>0</v>
      </c>
      <c r="J1506" s="360" t="str">
        <f>VLOOKUP(bargiri[[#This Row],[شماره پیش فاکتور]],invoice[],16,0)</f>
        <v>عادی</v>
      </c>
      <c r="K1506" s="252">
        <f>bargiri[[#This Row],[فی]]*bargiri[[#This Row],[میزان بارگیری شده]]</f>
        <v>1647392500</v>
      </c>
    </row>
    <row r="1507" spans="1:11" ht="18.600000000000001">
      <c r="A1507" s="360" t="s">
        <v>709</v>
      </c>
      <c r="B1507" s="360" t="s">
        <v>116</v>
      </c>
      <c r="C1507" s="355" t="s">
        <v>608</v>
      </c>
      <c r="D1507">
        <v>19770</v>
      </c>
      <c r="E1507" s="143">
        <v>95000</v>
      </c>
      <c r="F1507" s="117">
        <v>1404</v>
      </c>
      <c r="G1507" s="360" t="s">
        <v>303</v>
      </c>
      <c r="H1507" s="144">
        <f>bargiri[[#This Row],[میزان بارگیری شده]]*bargiri[[#This Row],[فی]]</f>
        <v>1878150000</v>
      </c>
      <c r="I1507" s="360">
        <f>IF(year=bargiri[[#This Row],[سال]],1,0)</f>
        <v>0</v>
      </c>
      <c r="J1507" s="360" t="str">
        <f>VLOOKUP(bargiri[[#This Row],[شماره پیش فاکتور]],invoice[],16,0)</f>
        <v>عادی</v>
      </c>
      <c r="K1507" s="252">
        <f>bargiri[[#This Row],[فی]]*bargiri[[#This Row],[میزان بارگیری شده]]</f>
        <v>1878150000</v>
      </c>
    </row>
    <row r="1508" spans="1:11" ht="18.600000000000001">
      <c r="A1508" s="360" t="s">
        <v>709</v>
      </c>
      <c r="B1508" s="360" t="s">
        <v>103</v>
      </c>
      <c r="C1508" s="355" t="s">
        <v>560</v>
      </c>
      <c r="D1508">
        <v>7090</v>
      </c>
      <c r="E1508" s="143">
        <v>142000</v>
      </c>
      <c r="F1508" s="117">
        <v>1404</v>
      </c>
      <c r="G1508" s="360" t="s">
        <v>303</v>
      </c>
      <c r="H1508" s="144">
        <f>bargiri[[#This Row],[میزان بارگیری شده]]*bargiri[[#This Row],[فی]]</f>
        <v>1006780000</v>
      </c>
      <c r="I1508" s="360">
        <f>IF(year=bargiri[[#This Row],[سال]],1,0)</f>
        <v>0</v>
      </c>
      <c r="J1508" s="360" t="str">
        <f>VLOOKUP(bargiri[[#This Row],[شماره پیش فاکتور]],invoice[],16,0)</f>
        <v>انجمن</v>
      </c>
      <c r="K1508" s="252">
        <f>bargiri[[#This Row],[فی]]*bargiri[[#This Row],[میزان بارگیری شده]]</f>
        <v>1006780000</v>
      </c>
    </row>
    <row r="1509" spans="1:11" ht="18.600000000000001">
      <c r="A1509" s="360" t="s">
        <v>709</v>
      </c>
      <c r="B1509" s="360" t="s">
        <v>109</v>
      </c>
      <c r="C1509" s="355" t="s">
        <v>563</v>
      </c>
      <c r="D1509">
        <v>7575</v>
      </c>
      <c r="E1509" s="143">
        <v>142000</v>
      </c>
      <c r="F1509" s="117">
        <v>1404</v>
      </c>
      <c r="G1509" s="360" t="s">
        <v>303</v>
      </c>
      <c r="H1509" s="144">
        <f>bargiri[[#This Row],[میزان بارگیری شده]]*bargiri[[#This Row],[فی]]</f>
        <v>1075650000</v>
      </c>
      <c r="I1509" s="360">
        <f>IF(year=bargiri[[#This Row],[سال]],1,0)</f>
        <v>0</v>
      </c>
      <c r="J1509" s="360" t="str">
        <f>VLOOKUP(bargiri[[#This Row],[شماره پیش فاکتور]],invoice[],16,0)</f>
        <v>انجمن</v>
      </c>
      <c r="K1509" s="252">
        <f>bargiri[[#This Row],[فی]]*bargiri[[#This Row],[میزان بارگیری شده]]</f>
        <v>1075650000</v>
      </c>
    </row>
    <row r="1510" spans="1:11" ht="18.600000000000001">
      <c r="A1510" s="360" t="s">
        <v>709</v>
      </c>
      <c r="B1510" s="360" t="s">
        <v>99</v>
      </c>
      <c r="C1510" s="355" t="s">
        <v>12</v>
      </c>
      <c r="D1510">
        <v>19070</v>
      </c>
      <c r="E1510" s="143">
        <v>86500</v>
      </c>
      <c r="F1510" s="117">
        <v>1404</v>
      </c>
      <c r="G1510" s="360" t="s">
        <v>303</v>
      </c>
      <c r="H1510" s="144">
        <f>bargiri[[#This Row],[میزان بارگیری شده]]*bargiri[[#This Row],[فی]]</f>
        <v>1649555000</v>
      </c>
      <c r="I1510" s="360">
        <f>IF(year=bargiri[[#This Row],[سال]],1,0)</f>
        <v>0</v>
      </c>
      <c r="J1510" s="360" t="str">
        <f>VLOOKUP(bargiri[[#This Row],[شماره پیش فاکتور]],invoice[],16,0)</f>
        <v>عادی</v>
      </c>
      <c r="K1510" s="252">
        <f>bargiri[[#This Row],[فی]]*bargiri[[#This Row],[میزان بارگیری شده]]</f>
        <v>1649555000</v>
      </c>
    </row>
    <row r="1511" spans="1:11" ht="18.600000000000001">
      <c r="A1511" s="360" t="s">
        <v>704</v>
      </c>
      <c r="B1511" s="360" t="s">
        <v>117</v>
      </c>
      <c r="C1511" s="355" t="s">
        <v>685</v>
      </c>
      <c r="D1511">
        <v>20040</v>
      </c>
      <c r="E1511" s="143">
        <v>167500</v>
      </c>
      <c r="F1511" s="117">
        <v>1404</v>
      </c>
      <c r="G1511" s="360" t="s">
        <v>303</v>
      </c>
      <c r="H1511" s="144">
        <f>bargiri[[#This Row],[میزان بارگیری شده]]*bargiri[[#This Row],[فی]]</f>
        <v>3356700000</v>
      </c>
      <c r="I1511" s="360">
        <f>IF(year=bargiri[[#This Row],[سال]],1,0)</f>
        <v>0</v>
      </c>
      <c r="J1511" s="360" t="str">
        <f>VLOOKUP(bargiri[[#This Row],[شماره پیش فاکتور]],invoice[],16,0)</f>
        <v>بورس</v>
      </c>
      <c r="K1511" s="252">
        <f>bargiri[[#This Row],[فی]]*bargiri[[#This Row],[میزان بارگیری شده]]</f>
        <v>3356700000</v>
      </c>
    </row>
    <row r="1512" spans="1:11" ht="18.600000000000001">
      <c r="A1512" s="360" t="s">
        <v>704</v>
      </c>
      <c r="B1512" s="360" t="s">
        <v>99</v>
      </c>
      <c r="C1512" s="355" t="s">
        <v>12</v>
      </c>
      <c r="D1512">
        <v>19020</v>
      </c>
      <c r="E1512" s="143">
        <v>86500</v>
      </c>
      <c r="F1512" s="117">
        <v>1404</v>
      </c>
      <c r="G1512" s="360" t="s">
        <v>303</v>
      </c>
      <c r="H1512" s="144">
        <f>bargiri[[#This Row],[میزان بارگیری شده]]*bargiri[[#This Row],[فی]]</f>
        <v>1645230000</v>
      </c>
      <c r="I1512" s="360">
        <f>IF(year=bargiri[[#This Row],[سال]],1,0)</f>
        <v>0</v>
      </c>
      <c r="J1512" s="360" t="str">
        <f>VLOOKUP(bargiri[[#This Row],[شماره پیش فاکتور]],invoice[],16,0)</f>
        <v>عادی</v>
      </c>
      <c r="K1512" s="252">
        <f>bargiri[[#This Row],[فی]]*bargiri[[#This Row],[میزان بارگیری شده]]</f>
        <v>1645230000</v>
      </c>
    </row>
    <row r="1513" spans="1:11" ht="18.600000000000001">
      <c r="A1513" s="360" t="s">
        <v>705</v>
      </c>
      <c r="B1513" s="360" t="s">
        <v>116</v>
      </c>
      <c r="C1513" s="355" t="s">
        <v>608</v>
      </c>
      <c r="D1513">
        <v>20050</v>
      </c>
      <c r="E1513" s="143">
        <v>95000</v>
      </c>
      <c r="F1513" s="117">
        <v>1404</v>
      </c>
      <c r="G1513" s="360" t="s">
        <v>303</v>
      </c>
      <c r="H1513" s="144">
        <f>bargiri[[#This Row],[میزان بارگیری شده]]*bargiri[[#This Row],[فی]]</f>
        <v>1904750000</v>
      </c>
      <c r="I1513" s="360">
        <f>IF(year=bargiri[[#This Row],[سال]],1,0)</f>
        <v>0</v>
      </c>
      <c r="J1513" s="360" t="str">
        <f>VLOOKUP(bargiri[[#This Row],[شماره پیش فاکتور]],invoice[],16,0)</f>
        <v>عادی</v>
      </c>
      <c r="K1513" s="252">
        <f>bargiri[[#This Row],[فی]]*bargiri[[#This Row],[میزان بارگیری شده]]</f>
        <v>1904750000</v>
      </c>
    </row>
    <row r="1514" spans="1:11" ht="18.600000000000001">
      <c r="A1514" s="360" t="s">
        <v>705</v>
      </c>
      <c r="B1514" s="360" t="s">
        <v>116</v>
      </c>
      <c r="C1514" s="355" t="s">
        <v>608</v>
      </c>
      <c r="D1514">
        <v>20080</v>
      </c>
      <c r="E1514" s="143">
        <v>95000</v>
      </c>
      <c r="F1514" s="117">
        <v>1404</v>
      </c>
      <c r="G1514" s="360" t="s">
        <v>303</v>
      </c>
      <c r="H1514" s="144">
        <f>bargiri[[#This Row],[میزان بارگیری شده]]*bargiri[[#This Row],[فی]]</f>
        <v>1907600000</v>
      </c>
      <c r="I1514" s="360">
        <f>IF(year=bargiri[[#This Row],[سال]],1,0)</f>
        <v>0</v>
      </c>
      <c r="J1514" s="360" t="str">
        <f>VLOOKUP(bargiri[[#This Row],[شماره پیش فاکتور]],invoice[],16,0)</f>
        <v>عادی</v>
      </c>
      <c r="K1514" s="252">
        <f>bargiri[[#This Row],[فی]]*bargiri[[#This Row],[میزان بارگیری شده]]</f>
        <v>1907600000</v>
      </c>
    </row>
    <row r="1515" spans="1:11" ht="18.600000000000001">
      <c r="A1515" s="360" t="s">
        <v>705</v>
      </c>
      <c r="B1515" s="360" t="s">
        <v>117</v>
      </c>
      <c r="C1515" s="355" t="s">
        <v>685</v>
      </c>
      <c r="D1515">
        <v>20010</v>
      </c>
      <c r="E1515" s="143">
        <v>167500</v>
      </c>
      <c r="F1515" s="117">
        <v>1404</v>
      </c>
      <c r="G1515" s="360" t="s">
        <v>303</v>
      </c>
      <c r="H1515" s="144">
        <f>bargiri[[#This Row],[میزان بارگیری شده]]*bargiri[[#This Row],[فی]]</f>
        <v>3351675000</v>
      </c>
      <c r="I1515" s="360">
        <f>IF(year=bargiri[[#This Row],[سال]],1,0)</f>
        <v>0</v>
      </c>
      <c r="J1515" s="360" t="str">
        <f>VLOOKUP(bargiri[[#This Row],[شماره پیش فاکتور]],invoice[],16,0)</f>
        <v>بورس</v>
      </c>
      <c r="K1515" s="252">
        <f>bargiri[[#This Row],[فی]]*bargiri[[#This Row],[میزان بارگیری شده]]</f>
        <v>3351675000</v>
      </c>
    </row>
    <row r="1516" spans="1:11" ht="18.600000000000001">
      <c r="A1516" s="360" t="s">
        <v>705</v>
      </c>
      <c r="B1516" s="360" t="s">
        <v>116</v>
      </c>
      <c r="C1516" s="355" t="s">
        <v>608</v>
      </c>
      <c r="D1516">
        <v>19910</v>
      </c>
      <c r="E1516" s="143">
        <v>95000</v>
      </c>
      <c r="F1516" s="117">
        <v>1404</v>
      </c>
      <c r="G1516" s="360" t="s">
        <v>303</v>
      </c>
      <c r="H1516" s="144">
        <f>bargiri[[#This Row],[میزان بارگیری شده]]*bargiri[[#This Row],[فی]]</f>
        <v>1891450000</v>
      </c>
      <c r="I1516" s="360">
        <f>IF(year=bargiri[[#This Row],[سال]],1,0)</f>
        <v>0</v>
      </c>
      <c r="J1516" s="360" t="str">
        <f>VLOOKUP(bargiri[[#This Row],[شماره پیش فاکتور]],invoice[],16,0)</f>
        <v>عادی</v>
      </c>
      <c r="K1516" s="252">
        <f>bargiri[[#This Row],[فی]]*bargiri[[#This Row],[میزان بارگیری شده]]</f>
        <v>1891450000</v>
      </c>
    </row>
    <row r="1517" spans="1:11" ht="18.600000000000001">
      <c r="A1517" s="360" t="s">
        <v>706</v>
      </c>
      <c r="B1517" s="360" t="s">
        <v>116</v>
      </c>
      <c r="C1517" s="355" t="s">
        <v>608</v>
      </c>
      <c r="D1517">
        <v>7060</v>
      </c>
      <c r="E1517" s="143">
        <v>95000</v>
      </c>
      <c r="F1517" s="117">
        <v>1404</v>
      </c>
      <c r="G1517" s="360" t="s">
        <v>303</v>
      </c>
      <c r="H1517" s="144">
        <f>bargiri[[#This Row],[میزان بارگیری شده]]*bargiri[[#This Row],[فی]]</f>
        <v>670700000</v>
      </c>
      <c r="I1517" s="360">
        <f>IF(year=bargiri[[#This Row],[سال]],1,0)</f>
        <v>0</v>
      </c>
      <c r="J1517" s="360" t="str">
        <f>VLOOKUP(bargiri[[#This Row],[شماره پیش فاکتور]],invoice[],16,0)</f>
        <v>عادی</v>
      </c>
      <c r="K1517" s="252">
        <f>bargiri[[#This Row],[فی]]*bargiri[[#This Row],[میزان بارگیری شده]]</f>
        <v>670700000</v>
      </c>
    </row>
    <row r="1518" spans="1:11" ht="18.600000000000001">
      <c r="A1518" s="360" t="s">
        <v>706</v>
      </c>
      <c r="B1518" s="360" t="s">
        <v>118</v>
      </c>
      <c r="C1518" s="355" t="s">
        <v>84</v>
      </c>
      <c r="D1518">
        <v>21015</v>
      </c>
      <c r="E1518" s="143">
        <v>57273</v>
      </c>
      <c r="F1518" s="117">
        <v>1404</v>
      </c>
      <c r="G1518" s="360" t="s">
        <v>303</v>
      </c>
      <c r="H1518" s="144">
        <f>bargiri[[#This Row],[میزان بارگیری شده]]*bargiri[[#This Row],[فی]]</f>
        <v>1203592095</v>
      </c>
      <c r="I1518" s="360">
        <f>IF(year=bargiri[[#This Row],[سال]],1,0)</f>
        <v>0</v>
      </c>
      <c r="J1518" s="360" t="str">
        <f>VLOOKUP(bargiri[[#This Row],[شماره پیش فاکتور]],invoice[],16,0)</f>
        <v>عادی</v>
      </c>
      <c r="K1518" s="252">
        <f>bargiri[[#This Row],[فی]]*bargiri[[#This Row],[میزان بارگیری شده]]</f>
        <v>1203592095</v>
      </c>
    </row>
    <row r="1519" spans="1:11" ht="18.600000000000001">
      <c r="A1519" s="360" t="s">
        <v>706</v>
      </c>
      <c r="B1519" s="360" t="s">
        <v>118</v>
      </c>
      <c r="C1519" s="355" t="s">
        <v>84</v>
      </c>
      <c r="D1519">
        <v>21045</v>
      </c>
      <c r="E1519" s="143">
        <v>57273</v>
      </c>
      <c r="F1519" s="117">
        <v>1404</v>
      </c>
      <c r="G1519" s="360" t="s">
        <v>303</v>
      </c>
      <c r="H1519" s="144">
        <f>bargiri[[#This Row],[میزان بارگیری شده]]*bargiri[[#This Row],[فی]]</f>
        <v>1205310285</v>
      </c>
      <c r="I1519" s="360">
        <f>IF(year=bargiri[[#This Row],[سال]],1,0)</f>
        <v>0</v>
      </c>
      <c r="J1519" s="360" t="str">
        <f>VLOOKUP(bargiri[[#This Row],[شماره پیش فاکتور]],invoice[],16,0)</f>
        <v>عادی</v>
      </c>
      <c r="K1519" s="252">
        <f>bargiri[[#This Row],[فی]]*bargiri[[#This Row],[میزان بارگیری شده]]</f>
        <v>1205310285</v>
      </c>
    </row>
    <row r="1520" spans="1:11" ht="18.600000000000001">
      <c r="A1520" s="360" t="s">
        <v>706</v>
      </c>
      <c r="B1520" s="360" t="s">
        <v>118</v>
      </c>
      <c r="C1520" s="355" t="s">
        <v>84</v>
      </c>
      <c r="D1520">
        <v>21025</v>
      </c>
      <c r="E1520" s="143">
        <v>57273</v>
      </c>
      <c r="F1520" s="117">
        <v>1404</v>
      </c>
      <c r="G1520" s="360" t="s">
        <v>303</v>
      </c>
      <c r="H1520" s="144">
        <f>bargiri[[#This Row],[میزان بارگیری شده]]*bargiri[[#This Row],[فی]]</f>
        <v>1204164825</v>
      </c>
      <c r="I1520" s="360">
        <f>IF(year=bargiri[[#This Row],[سال]],1,0)</f>
        <v>0</v>
      </c>
      <c r="J1520" s="360" t="str">
        <f>VLOOKUP(bargiri[[#This Row],[شماره پیش فاکتور]],invoice[],16,0)</f>
        <v>عادی</v>
      </c>
      <c r="K1520" s="252">
        <f>bargiri[[#This Row],[فی]]*bargiri[[#This Row],[میزان بارگیری شده]]</f>
        <v>1204164825</v>
      </c>
    </row>
    <row r="1521" spans="1:11" ht="18.600000000000001">
      <c r="A1521" s="360" t="s">
        <v>703</v>
      </c>
      <c r="B1521" s="360" t="s">
        <v>121</v>
      </c>
      <c r="C1521" s="355" t="s">
        <v>540</v>
      </c>
      <c r="D1521">
        <v>3910</v>
      </c>
      <c r="E1521" s="143">
        <v>151200</v>
      </c>
      <c r="F1521" s="117">
        <v>1404</v>
      </c>
      <c r="G1521" s="360" t="s">
        <v>303</v>
      </c>
      <c r="H1521" s="144">
        <f>bargiri[[#This Row],[میزان بارگیری شده]]*bargiri[[#This Row],[فی]]</f>
        <v>591192000</v>
      </c>
      <c r="I1521" s="360">
        <f>IF(year=bargiri[[#This Row],[سال]],1,0)</f>
        <v>0</v>
      </c>
      <c r="J1521" s="360" t="str">
        <f>VLOOKUP(bargiri[[#This Row],[شماره پیش فاکتور]],invoice[],16,0)</f>
        <v>بورس</v>
      </c>
      <c r="K1521" s="252">
        <f>bargiri[[#This Row],[فی]]*bargiri[[#This Row],[میزان بارگیری شده]]</f>
        <v>591192000</v>
      </c>
    </row>
    <row r="1522" spans="1:11" ht="18.600000000000001">
      <c r="A1522" s="360" t="s">
        <v>703</v>
      </c>
      <c r="B1522" s="360" t="s">
        <v>121</v>
      </c>
      <c r="C1522" s="355" t="s">
        <v>637</v>
      </c>
      <c r="D1522">
        <v>16090</v>
      </c>
      <c r="E1522" s="143">
        <v>151100</v>
      </c>
      <c r="F1522" s="117">
        <v>1404</v>
      </c>
      <c r="G1522" s="360" t="s">
        <v>303</v>
      </c>
      <c r="H1522" s="144">
        <f>bargiri[[#This Row],[میزان بارگیری شده]]*bargiri[[#This Row],[فی]]</f>
        <v>2431199000</v>
      </c>
      <c r="I1522" s="360">
        <f>IF(year=bargiri[[#This Row],[سال]],1,0)</f>
        <v>0</v>
      </c>
      <c r="J1522" s="360" t="str">
        <f>VLOOKUP(bargiri[[#This Row],[شماره پیش فاکتور]],invoice[],16,0)</f>
        <v>بورس</v>
      </c>
      <c r="K1522" s="252">
        <f>bargiri[[#This Row],[فی]]*bargiri[[#This Row],[میزان بارگیری شده]]</f>
        <v>2431199000</v>
      </c>
    </row>
    <row r="1523" spans="1:11" ht="18.600000000000001">
      <c r="A1523" s="360" t="s">
        <v>703</v>
      </c>
      <c r="B1523" s="360" t="s">
        <v>98</v>
      </c>
      <c r="C1523" s="355" t="s">
        <v>618</v>
      </c>
      <c r="D1523">
        <v>8505</v>
      </c>
      <c r="E1523" s="143">
        <v>167500</v>
      </c>
      <c r="F1523" s="117">
        <v>1404</v>
      </c>
      <c r="G1523" s="360" t="s">
        <v>303</v>
      </c>
      <c r="H1523" s="144">
        <f>bargiri[[#This Row],[میزان بارگیری شده]]*bargiri[[#This Row],[فی]]</f>
        <v>1424587500</v>
      </c>
      <c r="I1523" s="360">
        <f>IF(year=bargiri[[#This Row],[سال]],1,0)</f>
        <v>0</v>
      </c>
      <c r="J1523" s="360" t="str">
        <f>VLOOKUP(bargiri[[#This Row],[شماره پیش فاکتور]],invoice[],16,0)</f>
        <v>بورس</v>
      </c>
      <c r="K1523" s="252">
        <f>bargiri[[#This Row],[فی]]*bargiri[[#This Row],[میزان بارگیری شده]]</f>
        <v>1424587500</v>
      </c>
    </row>
    <row r="1524" spans="1:11" ht="18.600000000000001">
      <c r="A1524" s="360" t="s">
        <v>703</v>
      </c>
      <c r="B1524" s="360" t="s">
        <v>98</v>
      </c>
      <c r="C1524" s="355" t="s">
        <v>571</v>
      </c>
      <c r="D1524">
        <v>13565</v>
      </c>
      <c r="E1524" s="143">
        <v>142000</v>
      </c>
      <c r="F1524" s="117">
        <v>1404</v>
      </c>
      <c r="G1524" s="360" t="s">
        <v>303</v>
      </c>
      <c r="H1524" s="144">
        <f>bargiri[[#This Row],[میزان بارگیری شده]]*bargiri[[#This Row],[فی]]</f>
        <v>1926230000</v>
      </c>
      <c r="I1524" s="360">
        <f>IF(year=bargiri[[#This Row],[سال]],1,0)</f>
        <v>0</v>
      </c>
      <c r="J1524" s="360" t="str">
        <f>VLOOKUP(bargiri[[#This Row],[شماره پیش فاکتور]],invoice[],16,0)</f>
        <v>انجمن</v>
      </c>
      <c r="K1524" s="252">
        <f>bargiri[[#This Row],[فی]]*bargiri[[#This Row],[میزان بارگیری شده]]</f>
        <v>1926230000</v>
      </c>
    </row>
    <row r="1525" spans="1:11" ht="18.600000000000001">
      <c r="A1525" s="360" t="s">
        <v>703</v>
      </c>
      <c r="B1525" s="360" t="s">
        <v>125</v>
      </c>
      <c r="C1525" s="355" t="s">
        <v>570</v>
      </c>
      <c r="D1525">
        <v>13880</v>
      </c>
      <c r="E1525" s="143">
        <v>142000</v>
      </c>
      <c r="F1525" s="117">
        <v>1404</v>
      </c>
      <c r="G1525" s="360" t="s">
        <v>303</v>
      </c>
      <c r="H1525" s="144">
        <f>bargiri[[#This Row],[میزان بارگیری شده]]*bargiri[[#This Row],[فی]]</f>
        <v>1970960000</v>
      </c>
      <c r="I1525" s="360">
        <f>IF(year=bargiri[[#This Row],[سال]],1,0)</f>
        <v>0</v>
      </c>
      <c r="J1525" s="360" t="str">
        <f>VLOOKUP(bargiri[[#This Row],[شماره پیش فاکتور]],invoice[],16,0)</f>
        <v>انجمن</v>
      </c>
      <c r="K1525" s="252">
        <f>bargiri[[#This Row],[فی]]*bargiri[[#This Row],[میزان بارگیری شده]]</f>
        <v>1970960000</v>
      </c>
    </row>
    <row r="1526" spans="1:11" ht="18.600000000000001">
      <c r="A1526" s="360" t="s">
        <v>703</v>
      </c>
      <c r="B1526" s="360" t="s">
        <v>99</v>
      </c>
      <c r="C1526" s="355" t="s">
        <v>12</v>
      </c>
      <c r="D1526">
        <v>18940</v>
      </c>
      <c r="E1526" s="143">
        <v>86500</v>
      </c>
      <c r="F1526" s="117">
        <v>1404</v>
      </c>
      <c r="G1526" s="360" t="s">
        <v>303</v>
      </c>
      <c r="H1526" s="144">
        <f>bargiri[[#This Row],[میزان بارگیری شده]]*bargiri[[#This Row],[فی]]</f>
        <v>1638310000</v>
      </c>
      <c r="I1526" s="360">
        <f>IF(year=bargiri[[#This Row],[سال]],1,0)</f>
        <v>0</v>
      </c>
      <c r="J1526" s="360" t="str">
        <f>VLOOKUP(bargiri[[#This Row],[شماره پیش فاکتور]],invoice[],16,0)</f>
        <v>عادی</v>
      </c>
      <c r="K1526" s="252">
        <f>bargiri[[#This Row],[فی]]*bargiri[[#This Row],[میزان بارگیری شده]]</f>
        <v>1638310000</v>
      </c>
    </row>
    <row r="1527" spans="1:11" ht="18.600000000000001">
      <c r="A1527" s="360" t="s">
        <v>697</v>
      </c>
      <c r="B1527" s="360" t="s">
        <v>116</v>
      </c>
      <c r="C1527" s="355" t="s">
        <v>608</v>
      </c>
      <c r="D1527">
        <v>17790</v>
      </c>
      <c r="E1527" s="143">
        <v>95000</v>
      </c>
      <c r="F1527" s="117">
        <v>1404</v>
      </c>
      <c r="G1527" s="360" t="s">
        <v>303</v>
      </c>
      <c r="H1527" s="144">
        <f>bargiri[[#This Row],[میزان بارگیری شده]]*bargiri[[#This Row],[فی]]</f>
        <v>1690050000</v>
      </c>
      <c r="I1527" s="360">
        <f>IF(year=bargiri[[#This Row],[سال]],1,0)</f>
        <v>0</v>
      </c>
      <c r="J1527" s="360" t="str">
        <f>VLOOKUP(bargiri[[#This Row],[شماره پیش فاکتور]],invoice[],16,0)</f>
        <v>عادی</v>
      </c>
      <c r="K1527" s="252">
        <f>bargiri[[#This Row],[فی]]*bargiri[[#This Row],[میزان بارگیری شده]]</f>
        <v>1690050000</v>
      </c>
    </row>
    <row r="1528" spans="1:11" ht="18.600000000000001">
      <c r="A1528" s="360" t="s">
        <v>697</v>
      </c>
      <c r="B1528" s="360" t="s">
        <v>118</v>
      </c>
      <c r="C1528" s="355" t="s">
        <v>84</v>
      </c>
      <c r="D1528">
        <v>20575</v>
      </c>
      <c r="E1528" s="143">
        <v>57273</v>
      </c>
      <c r="F1528" s="117">
        <v>1404</v>
      </c>
      <c r="G1528" s="360" t="s">
        <v>303</v>
      </c>
      <c r="H1528" s="144">
        <f>bargiri[[#This Row],[میزان بارگیری شده]]*bargiri[[#This Row],[فی]]</f>
        <v>1178391975</v>
      </c>
      <c r="I1528" s="360">
        <f>IF(year=bargiri[[#This Row],[سال]],1,0)</f>
        <v>0</v>
      </c>
      <c r="J1528" s="360" t="str">
        <f>VLOOKUP(bargiri[[#This Row],[شماره پیش فاکتور]],invoice[],16,0)</f>
        <v>عادی</v>
      </c>
      <c r="K1528" s="252">
        <f>bargiri[[#This Row],[فی]]*bargiri[[#This Row],[میزان بارگیری شده]]</f>
        <v>1178391975</v>
      </c>
    </row>
    <row r="1529" spans="1:11" ht="18.600000000000001">
      <c r="A1529" s="360" t="s">
        <v>697</v>
      </c>
      <c r="B1529" s="360" t="s">
        <v>118</v>
      </c>
      <c r="C1529" s="355" t="s">
        <v>84</v>
      </c>
      <c r="D1529">
        <v>20360</v>
      </c>
      <c r="E1529" s="143">
        <v>57273</v>
      </c>
      <c r="F1529" s="117">
        <v>1404</v>
      </c>
      <c r="G1529" s="360" t="s">
        <v>303</v>
      </c>
      <c r="H1529" s="144">
        <f>bargiri[[#This Row],[میزان بارگیری شده]]*bargiri[[#This Row],[فی]]</f>
        <v>1166078280</v>
      </c>
      <c r="I1529" s="360">
        <f>IF(year=bargiri[[#This Row],[سال]],1,0)</f>
        <v>0</v>
      </c>
      <c r="J1529" s="360" t="str">
        <f>VLOOKUP(bargiri[[#This Row],[شماره پیش فاکتور]],invoice[],16,0)</f>
        <v>عادی</v>
      </c>
      <c r="K1529" s="252">
        <f>bargiri[[#This Row],[فی]]*bargiri[[#This Row],[میزان بارگیری شده]]</f>
        <v>1166078280</v>
      </c>
    </row>
    <row r="1530" spans="1:11" ht="18.600000000000001">
      <c r="A1530" s="360" t="s">
        <v>697</v>
      </c>
      <c r="B1530" s="360" t="s">
        <v>114</v>
      </c>
      <c r="C1530" s="355" t="s">
        <v>62</v>
      </c>
      <c r="D1530">
        <v>20260</v>
      </c>
      <c r="E1530" s="143">
        <v>75000</v>
      </c>
      <c r="F1530" s="117">
        <v>1404</v>
      </c>
      <c r="G1530" s="360" t="s">
        <v>303</v>
      </c>
      <c r="H1530" s="144">
        <f>bargiri[[#This Row],[میزان بارگیری شده]]*bargiri[[#This Row],[فی]]</f>
        <v>1519500000</v>
      </c>
      <c r="I1530" s="360">
        <f>IF(year=bargiri[[#This Row],[سال]],1,0)</f>
        <v>0</v>
      </c>
      <c r="J1530" s="360" t="str">
        <f>VLOOKUP(bargiri[[#This Row],[شماره پیش فاکتور]],invoice[],16,0)</f>
        <v>عادی</v>
      </c>
      <c r="K1530" s="252">
        <f>bargiri[[#This Row],[فی]]*bargiri[[#This Row],[میزان بارگیری شده]]</f>
        <v>1519500000</v>
      </c>
    </row>
    <row r="1531" spans="1:11" ht="18.600000000000001">
      <c r="A1531" s="360" t="s">
        <v>697</v>
      </c>
      <c r="B1531" s="360" t="s">
        <v>117</v>
      </c>
      <c r="C1531" s="355" t="s">
        <v>685</v>
      </c>
      <c r="D1531">
        <v>18940</v>
      </c>
      <c r="E1531" s="143">
        <v>167500</v>
      </c>
      <c r="F1531" s="117">
        <v>1404</v>
      </c>
      <c r="G1531" s="360" t="s">
        <v>303</v>
      </c>
      <c r="H1531" s="144">
        <f>bargiri[[#This Row],[میزان بارگیری شده]]*bargiri[[#This Row],[فی]]</f>
        <v>3172450000</v>
      </c>
      <c r="I1531" s="360">
        <f>IF(year=bargiri[[#This Row],[سال]],1,0)</f>
        <v>0</v>
      </c>
      <c r="J1531" s="360" t="str">
        <f>VLOOKUP(bargiri[[#This Row],[شماره پیش فاکتور]],invoice[],16,0)</f>
        <v>بورس</v>
      </c>
      <c r="K1531" s="252">
        <f>bargiri[[#This Row],[فی]]*bargiri[[#This Row],[میزان بارگیری شده]]</f>
        <v>3172450000</v>
      </c>
    </row>
    <row r="1532" spans="1:11" ht="18.600000000000001">
      <c r="A1532" s="360" t="s">
        <v>697</v>
      </c>
      <c r="B1532" s="360" t="s">
        <v>102</v>
      </c>
      <c r="C1532" s="355" t="s">
        <v>24</v>
      </c>
      <c r="D1532">
        <v>8000</v>
      </c>
      <c r="E1532" s="143">
        <v>70000</v>
      </c>
      <c r="F1532" s="117">
        <v>1404</v>
      </c>
      <c r="G1532" s="360" t="s">
        <v>303</v>
      </c>
      <c r="H1532" s="144">
        <f>bargiri[[#This Row],[میزان بارگیری شده]]*bargiri[[#This Row],[فی]]</f>
        <v>560000000</v>
      </c>
      <c r="I1532" s="360">
        <f>IF(year=bargiri[[#This Row],[سال]],1,0)</f>
        <v>0</v>
      </c>
      <c r="J1532" s="360" t="str">
        <f>VLOOKUP(bargiri[[#This Row],[شماره پیش فاکتور]],invoice[],16,0)</f>
        <v>عادی</v>
      </c>
      <c r="K1532" s="252">
        <f>bargiri[[#This Row],[فی]]*bargiri[[#This Row],[میزان بارگیری شده]]</f>
        <v>560000000</v>
      </c>
    </row>
    <row r="1533" spans="1:11" ht="18.600000000000001">
      <c r="A1533" s="360" t="s">
        <v>697</v>
      </c>
      <c r="B1533" s="360" t="s">
        <v>118</v>
      </c>
      <c r="C1533" s="355" t="s">
        <v>84</v>
      </c>
      <c r="D1533">
        <v>19915</v>
      </c>
      <c r="E1533" s="143">
        <v>57273</v>
      </c>
      <c r="F1533" s="117">
        <v>1404</v>
      </c>
      <c r="G1533" s="360" t="s">
        <v>303</v>
      </c>
      <c r="H1533" s="144">
        <f>bargiri[[#This Row],[میزان بارگیری شده]]*bargiri[[#This Row],[فی]]</f>
        <v>1140591795</v>
      </c>
      <c r="I1533" s="360">
        <f>IF(year=bargiri[[#This Row],[سال]],1,0)</f>
        <v>0</v>
      </c>
      <c r="J1533" s="360" t="str">
        <f>VLOOKUP(bargiri[[#This Row],[شماره پیش فاکتور]],invoice[],16,0)</f>
        <v>عادی</v>
      </c>
      <c r="K1533" s="252">
        <f>bargiri[[#This Row],[فی]]*bargiri[[#This Row],[میزان بارگیری شده]]</f>
        <v>1140591795</v>
      </c>
    </row>
    <row r="1534" spans="1:11" ht="18.600000000000001">
      <c r="A1534" s="360" t="s">
        <v>697</v>
      </c>
      <c r="B1534" s="360" t="s">
        <v>118</v>
      </c>
      <c r="C1534" s="355" t="s">
        <v>84</v>
      </c>
      <c r="D1534">
        <v>20405</v>
      </c>
      <c r="E1534" s="143">
        <v>57273</v>
      </c>
      <c r="F1534" s="117">
        <v>1404</v>
      </c>
      <c r="G1534" s="360" t="s">
        <v>303</v>
      </c>
      <c r="H1534" s="144">
        <f>bargiri[[#This Row],[میزان بارگیری شده]]*bargiri[[#This Row],[فی]]</f>
        <v>1168655565</v>
      </c>
      <c r="I1534" s="360">
        <f>IF(year=bargiri[[#This Row],[سال]],1,0)</f>
        <v>0</v>
      </c>
      <c r="J1534" s="360" t="str">
        <f>VLOOKUP(bargiri[[#This Row],[شماره پیش فاکتور]],invoice[],16,0)</f>
        <v>عادی</v>
      </c>
      <c r="K1534" s="252">
        <f>bargiri[[#This Row],[فی]]*bargiri[[#This Row],[میزان بارگیری شده]]</f>
        <v>1168655565</v>
      </c>
    </row>
    <row r="1535" spans="1:11" ht="18.600000000000001">
      <c r="A1535" s="360" t="s">
        <v>698</v>
      </c>
      <c r="B1535" s="360" t="s">
        <v>101</v>
      </c>
      <c r="C1535" s="355" t="s">
        <v>19</v>
      </c>
      <c r="D1535">
        <v>22010</v>
      </c>
      <c r="E1535" s="143">
        <v>75000</v>
      </c>
      <c r="F1535" s="117">
        <v>1404</v>
      </c>
      <c r="G1535" s="360" t="s">
        <v>303</v>
      </c>
      <c r="H1535" s="144">
        <f>bargiri[[#This Row],[میزان بارگیری شده]]*bargiri[[#This Row],[فی]]</f>
        <v>1650750000</v>
      </c>
      <c r="I1535" s="360">
        <f>IF(year=bargiri[[#This Row],[سال]],1,0)</f>
        <v>0</v>
      </c>
      <c r="J1535" s="360" t="str">
        <f>VLOOKUP(bargiri[[#This Row],[شماره پیش فاکتور]],invoice[],16,0)</f>
        <v>عادی</v>
      </c>
      <c r="K1535" s="252">
        <f>bargiri[[#This Row],[فی]]*bargiri[[#This Row],[میزان بارگیری شده]]</f>
        <v>1650750000</v>
      </c>
    </row>
    <row r="1536" spans="1:11" ht="18.600000000000001">
      <c r="A1536" s="360" t="s">
        <v>699</v>
      </c>
      <c r="B1536" s="360" t="s">
        <v>116</v>
      </c>
      <c r="C1536" s="355" t="s">
        <v>608</v>
      </c>
      <c r="D1536">
        <v>19995</v>
      </c>
      <c r="E1536" s="143">
        <v>95000</v>
      </c>
      <c r="F1536" s="117">
        <v>1404</v>
      </c>
      <c r="G1536" s="360" t="s">
        <v>303</v>
      </c>
      <c r="H1536" s="144">
        <f>bargiri[[#This Row],[میزان بارگیری شده]]*bargiri[[#This Row],[فی]]</f>
        <v>1899525000</v>
      </c>
      <c r="I1536" s="360">
        <f>IF(year=bargiri[[#This Row],[سال]],1,0)</f>
        <v>0</v>
      </c>
      <c r="J1536" s="360" t="str">
        <f>VLOOKUP(bargiri[[#This Row],[شماره پیش فاکتور]],invoice[],16,0)</f>
        <v>عادی</v>
      </c>
      <c r="K1536" s="252">
        <f>bargiri[[#This Row],[فی]]*bargiri[[#This Row],[میزان بارگیری شده]]</f>
        <v>1899525000</v>
      </c>
    </row>
    <row r="1537" spans="1:11" ht="18.600000000000001">
      <c r="A1537" s="360" t="s">
        <v>699</v>
      </c>
      <c r="B1537" s="360" t="s">
        <v>99</v>
      </c>
      <c r="C1537" s="355" t="s">
        <v>12</v>
      </c>
      <c r="D1537">
        <v>19660</v>
      </c>
      <c r="E1537" s="143">
        <v>86500</v>
      </c>
      <c r="F1537" s="117">
        <v>1404</v>
      </c>
      <c r="G1537" s="360" t="s">
        <v>303</v>
      </c>
      <c r="H1537" s="144">
        <f>bargiri[[#This Row],[میزان بارگیری شده]]*bargiri[[#This Row],[فی]]</f>
        <v>1700590000</v>
      </c>
      <c r="I1537" s="360">
        <f>IF(year=bargiri[[#This Row],[سال]],1,0)</f>
        <v>0</v>
      </c>
      <c r="J1537" s="360" t="str">
        <f>VLOOKUP(bargiri[[#This Row],[شماره پیش فاکتور]],invoice[],16,0)</f>
        <v>عادی</v>
      </c>
      <c r="K1537" s="252">
        <f>bargiri[[#This Row],[فی]]*bargiri[[#This Row],[میزان بارگیری شده]]</f>
        <v>1700590000</v>
      </c>
    </row>
    <row r="1538" spans="1:11" ht="18.600000000000001">
      <c r="A1538" s="360" t="s">
        <v>700</v>
      </c>
      <c r="B1538" s="360" t="s">
        <v>116</v>
      </c>
      <c r="C1538" s="355" t="s">
        <v>608</v>
      </c>
      <c r="D1538">
        <v>20015</v>
      </c>
      <c r="E1538" s="143">
        <v>95000</v>
      </c>
      <c r="F1538" s="117">
        <v>1404</v>
      </c>
      <c r="G1538" s="360" t="s">
        <v>303</v>
      </c>
      <c r="H1538" s="144">
        <f>bargiri[[#This Row],[میزان بارگیری شده]]*bargiri[[#This Row],[فی]]</f>
        <v>1901425000</v>
      </c>
      <c r="I1538" s="360">
        <f>IF(year=bargiri[[#This Row],[سال]],1,0)</f>
        <v>0</v>
      </c>
      <c r="J1538" s="360" t="str">
        <f>VLOOKUP(bargiri[[#This Row],[شماره پیش فاکتور]],invoice[],16,0)</f>
        <v>عادی</v>
      </c>
      <c r="K1538" s="252">
        <f>bargiri[[#This Row],[فی]]*bargiri[[#This Row],[میزان بارگیری شده]]</f>
        <v>1901425000</v>
      </c>
    </row>
    <row r="1539" spans="1:11" ht="18.600000000000001">
      <c r="A1539" s="360" t="s">
        <v>700</v>
      </c>
      <c r="B1539" s="360" t="s">
        <v>116</v>
      </c>
      <c r="C1539" s="355" t="s">
        <v>608</v>
      </c>
      <c r="D1539">
        <v>19965</v>
      </c>
      <c r="E1539" s="143">
        <v>95000</v>
      </c>
      <c r="F1539" s="117">
        <v>1404</v>
      </c>
      <c r="G1539" s="360" t="s">
        <v>303</v>
      </c>
      <c r="H1539" s="144">
        <f>bargiri[[#This Row],[میزان بارگیری شده]]*bargiri[[#This Row],[فی]]</f>
        <v>1896675000</v>
      </c>
      <c r="I1539" s="360">
        <f>IF(year=bargiri[[#This Row],[سال]],1,0)</f>
        <v>0</v>
      </c>
      <c r="J1539" s="360" t="str">
        <f>VLOOKUP(bargiri[[#This Row],[شماره پیش فاکتور]],invoice[],16,0)</f>
        <v>عادی</v>
      </c>
      <c r="K1539" s="252">
        <f>bargiri[[#This Row],[فی]]*bargiri[[#This Row],[میزان بارگیری شده]]</f>
        <v>1896675000</v>
      </c>
    </row>
    <row r="1540" spans="1:11" ht="18.600000000000001">
      <c r="A1540" s="360" t="s">
        <v>700</v>
      </c>
      <c r="B1540" s="360" t="s">
        <v>123</v>
      </c>
      <c r="C1540" s="355" t="s">
        <v>569</v>
      </c>
      <c r="D1540">
        <v>7805</v>
      </c>
      <c r="E1540" s="143">
        <v>142000</v>
      </c>
      <c r="F1540" s="117">
        <v>1404</v>
      </c>
      <c r="G1540" s="360" t="s">
        <v>303</v>
      </c>
      <c r="H1540" s="144">
        <f>bargiri[[#This Row],[میزان بارگیری شده]]*bargiri[[#This Row],[فی]]</f>
        <v>1108310000</v>
      </c>
      <c r="I1540" s="360">
        <f>IF(year=bargiri[[#This Row],[سال]],1,0)</f>
        <v>0</v>
      </c>
      <c r="J1540" s="360" t="str">
        <f>VLOOKUP(bargiri[[#This Row],[شماره پیش فاکتور]],invoice[],16,0)</f>
        <v>انجمن</v>
      </c>
      <c r="K1540" s="252">
        <f>bargiri[[#This Row],[فی]]*bargiri[[#This Row],[میزان بارگیری شده]]</f>
        <v>1108310000</v>
      </c>
    </row>
    <row r="1541" spans="1:11" ht="18.600000000000001">
      <c r="A1541" s="360" t="s">
        <v>701</v>
      </c>
      <c r="B1541" s="360" t="s">
        <v>106</v>
      </c>
      <c r="C1541" s="355" t="s">
        <v>44</v>
      </c>
      <c r="D1541">
        <v>18305</v>
      </c>
      <c r="E1541" s="143">
        <v>80000</v>
      </c>
      <c r="F1541" s="117">
        <v>1404</v>
      </c>
      <c r="G1541" s="360" t="s">
        <v>303</v>
      </c>
      <c r="H1541" s="144">
        <f>bargiri[[#This Row],[میزان بارگیری شده]]*bargiri[[#This Row],[فی]]</f>
        <v>1464400000</v>
      </c>
      <c r="I1541" s="360">
        <f>IF(year=bargiri[[#This Row],[سال]],1,0)</f>
        <v>0</v>
      </c>
      <c r="J1541" s="360" t="str">
        <f>VLOOKUP(bargiri[[#This Row],[شماره پیش فاکتور]],invoice[],16,0)</f>
        <v>عادی</v>
      </c>
      <c r="K1541" s="252">
        <f>bargiri[[#This Row],[فی]]*bargiri[[#This Row],[میزان بارگیری شده]]</f>
        <v>1464400000</v>
      </c>
    </row>
    <row r="1542" spans="1:11" ht="18.600000000000001">
      <c r="A1542" s="360" t="s">
        <v>701</v>
      </c>
      <c r="B1542" s="360" t="s">
        <v>103</v>
      </c>
      <c r="C1542" s="355" t="s">
        <v>560</v>
      </c>
      <c r="D1542">
        <v>7460</v>
      </c>
      <c r="E1542" s="143">
        <v>142000</v>
      </c>
      <c r="F1542" s="117">
        <v>1404</v>
      </c>
      <c r="G1542" s="360" t="s">
        <v>303</v>
      </c>
      <c r="H1542" s="144">
        <f>bargiri[[#This Row],[میزان بارگیری شده]]*bargiri[[#This Row],[فی]]</f>
        <v>1059320000</v>
      </c>
      <c r="I1542" s="360">
        <f>IF(year=bargiri[[#This Row],[سال]],1,0)</f>
        <v>0</v>
      </c>
      <c r="J1542" s="360" t="str">
        <f>VLOOKUP(bargiri[[#This Row],[شماره پیش فاکتور]],invoice[],16,0)</f>
        <v>انجمن</v>
      </c>
      <c r="K1542" s="252">
        <f>bargiri[[#This Row],[فی]]*bargiri[[#This Row],[میزان بارگیری شده]]</f>
        <v>1059320000</v>
      </c>
    </row>
    <row r="1543" spans="1:11" ht="18.600000000000001">
      <c r="A1543" s="360" t="s">
        <v>701</v>
      </c>
      <c r="B1543" s="360" t="s">
        <v>118</v>
      </c>
      <c r="C1543" s="355" t="s">
        <v>84</v>
      </c>
      <c r="D1543">
        <v>20385</v>
      </c>
      <c r="E1543" s="143">
        <v>57273</v>
      </c>
      <c r="F1543" s="117">
        <v>1404</v>
      </c>
      <c r="G1543" s="360" t="s">
        <v>303</v>
      </c>
      <c r="H1543" s="144">
        <f>bargiri[[#This Row],[میزان بارگیری شده]]*bargiri[[#This Row],[فی]]</f>
        <v>1167510105</v>
      </c>
      <c r="I1543" s="360">
        <f>IF(year=bargiri[[#This Row],[سال]],1,0)</f>
        <v>0</v>
      </c>
      <c r="J1543" s="360" t="str">
        <f>VLOOKUP(bargiri[[#This Row],[شماره پیش فاکتور]],invoice[],16,0)</f>
        <v>عادی</v>
      </c>
      <c r="K1543" s="252">
        <f>bargiri[[#This Row],[فی]]*bargiri[[#This Row],[میزان بارگیری شده]]</f>
        <v>1167510105</v>
      </c>
    </row>
    <row r="1544" spans="1:11" ht="18.600000000000001">
      <c r="A1544" s="360" t="s">
        <v>701</v>
      </c>
      <c r="B1544" s="360" t="s">
        <v>118</v>
      </c>
      <c r="C1544" s="355" t="s">
        <v>84</v>
      </c>
      <c r="D1544">
        <v>20540</v>
      </c>
      <c r="E1544" s="143">
        <v>57273</v>
      </c>
      <c r="F1544" s="117">
        <v>1404</v>
      </c>
      <c r="G1544" s="360" t="s">
        <v>303</v>
      </c>
      <c r="H1544" s="144">
        <f>bargiri[[#This Row],[میزان بارگیری شده]]*bargiri[[#This Row],[فی]]</f>
        <v>1176387420</v>
      </c>
      <c r="I1544" s="360">
        <f>IF(year=bargiri[[#This Row],[سال]],1,0)</f>
        <v>0</v>
      </c>
      <c r="J1544" s="360" t="str">
        <f>VLOOKUP(bargiri[[#This Row],[شماره پیش فاکتور]],invoice[],16,0)</f>
        <v>عادی</v>
      </c>
      <c r="K1544" s="252">
        <f>bargiri[[#This Row],[فی]]*bargiri[[#This Row],[میزان بارگیری شده]]</f>
        <v>1176387420</v>
      </c>
    </row>
    <row r="1545" spans="1:11" ht="18.600000000000001">
      <c r="A1545" s="360" t="s">
        <v>701</v>
      </c>
      <c r="B1545" s="360" t="s">
        <v>109</v>
      </c>
      <c r="C1545" s="355" t="s">
        <v>563</v>
      </c>
      <c r="D1545">
        <v>7270</v>
      </c>
      <c r="E1545" s="143">
        <v>142000</v>
      </c>
      <c r="F1545" s="117">
        <v>1404</v>
      </c>
      <c r="G1545" s="360" t="s">
        <v>303</v>
      </c>
      <c r="H1545" s="144">
        <f>bargiri[[#This Row],[میزان بارگیری شده]]*bargiri[[#This Row],[فی]]</f>
        <v>1032340000</v>
      </c>
      <c r="I1545" s="360">
        <f>IF(year=bargiri[[#This Row],[سال]],1,0)</f>
        <v>0</v>
      </c>
      <c r="J1545" s="360" t="str">
        <f>VLOOKUP(bargiri[[#This Row],[شماره پیش فاکتور]],invoice[],16,0)</f>
        <v>انجمن</v>
      </c>
      <c r="K1545" s="252">
        <f>bargiri[[#This Row],[فی]]*bargiri[[#This Row],[میزان بارگیری شده]]</f>
        <v>1032340000</v>
      </c>
    </row>
    <row r="1546" spans="1:11" ht="18.600000000000001">
      <c r="A1546" s="360" t="s">
        <v>701</v>
      </c>
      <c r="B1546" s="360" t="s">
        <v>118</v>
      </c>
      <c r="C1546" s="355" t="s">
        <v>84</v>
      </c>
      <c r="D1546">
        <v>20410</v>
      </c>
      <c r="E1546" s="143">
        <v>57273</v>
      </c>
      <c r="F1546" s="117">
        <v>1404</v>
      </c>
      <c r="G1546" s="360" t="s">
        <v>303</v>
      </c>
      <c r="H1546" s="144">
        <f>bargiri[[#This Row],[میزان بارگیری شده]]*bargiri[[#This Row],[فی]]</f>
        <v>1168941930</v>
      </c>
      <c r="I1546" s="360">
        <f>IF(year=bargiri[[#This Row],[سال]],1,0)</f>
        <v>0</v>
      </c>
      <c r="J1546" s="360" t="str">
        <f>VLOOKUP(bargiri[[#This Row],[شماره پیش فاکتور]],invoice[],16,0)</f>
        <v>عادی</v>
      </c>
      <c r="K1546" s="252">
        <f>bargiri[[#This Row],[فی]]*bargiri[[#This Row],[میزان بارگیری شده]]</f>
        <v>1168941930</v>
      </c>
    </row>
    <row r="1547" spans="1:11" ht="18.600000000000001">
      <c r="A1547" s="360" t="s">
        <v>691</v>
      </c>
      <c r="B1547" s="360" t="s">
        <v>98</v>
      </c>
      <c r="C1547" s="355" t="s">
        <v>618</v>
      </c>
      <c r="D1547">
        <v>18405</v>
      </c>
      <c r="E1547" s="143">
        <v>167500</v>
      </c>
      <c r="F1547" s="117">
        <v>1404</v>
      </c>
      <c r="G1547" s="360" t="s">
        <v>304</v>
      </c>
      <c r="H1547" s="144">
        <f>bargiri[[#This Row],[میزان بارگیری شده]]*bargiri[[#This Row],[فی]]</f>
        <v>3082837500</v>
      </c>
      <c r="I1547" s="360">
        <f>IF(year=bargiri[[#This Row],[سال]],1,0)</f>
        <v>0</v>
      </c>
      <c r="J1547" s="360" t="str">
        <f>VLOOKUP(bargiri[[#This Row],[شماره پیش فاکتور]],invoice[],16,0)</f>
        <v>بورس</v>
      </c>
      <c r="K1547" s="252">
        <f>bargiri[[#This Row],[فی]]*bargiri[[#This Row],[میزان بارگیری شده]]</f>
        <v>3082837500</v>
      </c>
    </row>
    <row r="1548" spans="1:11" ht="18.600000000000001">
      <c r="A1548" s="360" t="s">
        <v>691</v>
      </c>
      <c r="B1548" s="360" t="s">
        <v>116</v>
      </c>
      <c r="C1548" s="355" t="s">
        <v>608</v>
      </c>
      <c r="D1548">
        <v>18980</v>
      </c>
      <c r="E1548" s="143">
        <v>95000</v>
      </c>
      <c r="F1548" s="117">
        <v>1404</v>
      </c>
      <c r="G1548" s="360" t="s">
        <v>304</v>
      </c>
      <c r="H1548" s="144">
        <f>bargiri[[#This Row],[میزان بارگیری شده]]*bargiri[[#This Row],[فی]]</f>
        <v>1803100000</v>
      </c>
      <c r="I1548" s="360">
        <f>IF(year=bargiri[[#This Row],[سال]],1,0)</f>
        <v>0</v>
      </c>
      <c r="J1548" s="360" t="str">
        <f>VLOOKUP(bargiri[[#This Row],[شماره پیش فاکتور]],invoice[],16,0)</f>
        <v>عادی</v>
      </c>
      <c r="K1548" s="252">
        <f>bargiri[[#This Row],[فی]]*bargiri[[#This Row],[میزان بارگیری شده]]</f>
        <v>1803100000</v>
      </c>
    </row>
    <row r="1549" spans="1:11" ht="18.600000000000001">
      <c r="A1549" s="360" t="s">
        <v>691</v>
      </c>
      <c r="B1549" s="360" t="s">
        <v>114</v>
      </c>
      <c r="C1549" s="355" t="s">
        <v>62</v>
      </c>
      <c r="D1549">
        <v>21905</v>
      </c>
      <c r="E1549" s="143">
        <v>75000</v>
      </c>
      <c r="F1549" s="117">
        <v>1404</v>
      </c>
      <c r="G1549" s="360" t="s">
        <v>304</v>
      </c>
      <c r="H1549" s="144">
        <f>bargiri[[#This Row],[میزان بارگیری شده]]*bargiri[[#This Row],[فی]]</f>
        <v>1642875000</v>
      </c>
      <c r="I1549" s="360">
        <f>IF(year=bargiri[[#This Row],[سال]],1,0)</f>
        <v>0</v>
      </c>
      <c r="J1549" s="360" t="str">
        <f>VLOOKUP(bargiri[[#This Row],[شماره پیش فاکتور]],invoice[],16,0)</f>
        <v>عادی</v>
      </c>
      <c r="K1549" s="252">
        <f>bargiri[[#This Row],[فی]]*bargiri[[#This Row],[میزان بارگیری شده]]</f>
        <v>1642875000</v>
      </c>
    </row>
    <row r="1550" spans="1:11" ht="18.600000000000001">
      <c r="A1550" s="360" t="s">
        <v>691</v>
      </c>
      <c r="B1550" s="360" t="s">
        <v>98</v>
      </c>
      <c r="C1550" s="355" t="s">
        <v>638</v>
      </c>
      <c r="D1550">
        <v>17570</v>
      </c>
      <c r="E1550" s="143">
        <v>151200</v>
      </c>
      <c r="F1550" s="117">
        <v>1404</v>
      </c>
      <c r="G1550" s="360" t="s">
        <v>304</v>
      </c>
      <c r="H1550" s="144">
        <f>bargiri[[#This Row],[میزان بارگیری شده]]*bargiri[[#This Row],[فی]]</f>
        <v>2656584000</v>
      </c>
      <c r="I1550" s="360">
        <f>IF(year=bargiri[[#This Row],[سال]],1,0)</f>
        <v>0</v>
      </c>
      <c r="J1550" s="360" t="str">
        <f>VLOOKUP(bargiri[[#This Row],[شماره پیش فاکتور]],invoice[],16,0)</f>
        <v>بورس</v>
      </c>
      <c r="K1550" s="252">
        <f>bargiri[[#This Row],[فی]]*bargiri[[#This Row],[میزان بارگیری شده]]</f>
        <v>2656584000</v>
      </c>
    </row>
    <row r="1551" spans="1:11" ht="18.600000000000001">
      <c r="A1551" s="360" t="s">
        <v>691</v>
      </c>
      <c r="B1551" s="360" t="s">
        <v>98</v>
      </c>
      <c r="C1551" s="355" t="s">
        <v>618</v>
      </c>
      <c r="D1551">
        <v>3090</v>
      </c>
      <c r="E1551" s="143">
        <v>167500</v>
      </c>
      <c r="F1551" s="117">
        <v>1404</v>
      </c>
      <c r="G1551" s="360" t="s">
        <v>304</v>
      </c>
      <c r="H1551" s="144">
        <f>bargiri[[#This Row],[میزان بارگیری شده]]*bargiri[[#This Row],[فی]]</f>
        <v>517575000</v>
      </c>
      <c r="I1551" s="360">
        <f>IF(year=bargiri[[#This Row],[سال]],1,0)</f>
        <v>0</v>
      </c>
      <c r="J1551" s="360" t="str">
        <f>VLOOKUP(bargiri[[#This Row],[شماره پیش فاکتور]],invoice[],16,0)</f>
        <v>بورس</v>
      </c>
      <c r="K1551" s="252">
        <f>bargiri[[#This Row],[فی]]*bargiri[[#This Row],[میزان بارگیری شده]]</f>
        <v>517575000</v>
      </c>
    </row>
    <row r="1552" spans="1:11" ht="18.600000000000001">
      <c r="A1552" s="360" t="s">
        <v>691</v>
      </c>
      <c r="B1552" s="360" t="s">
        <v>104</v>
      </c>
      <c r="C1552" s="355" t="s">
        <v>562</v>
      </c>
      <c r="D1552">
        <v>17985</v>
      </c>
      <c r="E1552" s="143">
        <v>142000</v>
      </c>
      <c r="F1552" s="117">
        <v>1404</v>
      </c>
      <c r="G1552" s="360" t="s">
        <v>304</v>
      </c>
      <c r="H1552" s="144">
        <f>bargiri[[#This Row],[میزان بارگیری شده]]*bargiri[[#This Row],[فی]]</f>
        <v>2553870000</v>
      </c>
      <c r="I1552" s="360">
        <f>IF(year=bargiri[[#This Row],[سال]],1,0)</f>
        <v>0</v>
      </c>
      <c r="J1552" s="360" t="str">
        <f>VLOOKUP(bargiri[[#This Row],[شماره پیش فاکتور]],invoice[],16,0)</f>
        <v>انجمن</v>
      </c>
      <c r="K1552" s="252">
        <f>bargiri[[#This Row],[فی]]*bargiri[[#This Row],[میزان بارگیری شده]]</f>
        <v>2553870000</v>
      </c>
    </row>
    <row r="1553" spans="1:11" ht="18.600000000000001">
      <c r="A1553" s="360" t="s">
        <v>690</v>
      </c>
      <c r="B1553" s="360" t="s">
        <v>117</v>
      </c>
      <c r="C1553" s="355" t="s">
        <v>646</v>
      </c>
      <c r="D1553">
        <v>10030</v>
      </c>
      <c r="E1553" s="143">
        <v>201000</v>
      </c>
      <c r="F1553" s="117">
        <v>1404</v>
      </c>
      <c r="G1553" s="360" t="s">
        <v>304</v>
      </c>
      <c r="H1553" s="144">
        <f>bargiri[[#This Row],[میزان بارگیری شده]]*bargiri[[#This Row],[فی]]</f>
        <v>2016030000</v>
      </c>
      <c r="I1553" s="360">
        <f>IF(year=bargiri[[#This Row],[سال]],1,0)</f>
        <v>0</v>
      </c>
      <c r="J1553" s="360" t="str">
        <f>VLOOKUP(bargiri[[#This Row],[شماره پیش فاکتور]],invoice[],16,0)</f>
        <v>بورس</v>
      </c>
      <c r="K1553" s="252">
        <f>bargiri[[#This Row],[فی]]*bargiri[[#This Row],[میزان بارگیری شده]]</f>
        <v>2016030000</v>
      </c>
    </row>
    <row r="1554" spans="1:11" ht="18.600000000000001">
      <c r="A1554" s="360" t="s">
        <v>690</v>
      </c>
      <c r="B1554" s="360" t="s">
        <v>117</v>
      </c>
      <c r="C1554" s="355" t="s">
        <v>566</v>
      </c>
      <c r="D1554">
        <v>9945</v>
      </c>
      <c r="E1554" s="143">
        <v>142000</v>
      </c>
      <c r="F1554" s="117">
        <v>1404</v>
      </c>
      <c r="G1554" s="360" t="s">
        <v>304</v>
      </c>
      <c r="H1554" s="144">
        <f>bargiri[[#This Row],[میزان بارگیری شده]]*bargiri[[#This Row],[فی]]</f>
        <v>1412190000</v>
      </c>
      <c r="I1554" s="360">
        <f>IF(year=bargiri[[#This Row],[سال]],1,0)</f>
        <v>0</v>
      </c>
      <c r="J1554" s="360" t="str">
        <f>VLOOKUP(bargiri[[#This Row],[شماره پیش فاکتور]],invoice[],16,0)</f>
        <v>انجمن</v>
      </c>
      <c r="K1554" s="252">
        <f>bargiri[[#This Row],[فی]]*bargiri[[#This Row],[میزان بارگیری شده]]</f>
        <v>1412190000</v>
      </c>
    </row>
    <row r="1555" spans="1:11" ht="18.600000000000001">
      <c r="A1555" s="360" t="s">
        <v>690</v>
      </c>
      <c r="B1555" s="360" t="s">
        <v>104</v>
      </c>
      <c r="C1555" s="355" t="s">
        <v>562</v>
      </c>
      <c r="D1555">
        <v>18035</v>
      </c>
      <c r="E1555" s="143">
        <v>142000</v>
      </c>
      <c r="F1555" s="117">
        <v>1404</v>
      </c>
      <c r="G1555" s="360" t="s">
        <v>304</v>
      </c>
      <c r="H1555" s="144">
        <f>bargiri[[#This Row],[میزان بارگیری شده]]*bargiri[[#This Row],[فی]]</f>
        <v>2560970000</v>
      </c>
      <c r="I1555" s="360">
        <f>IF(year=bargiri[[#This Row],[سال]],1,0)</f>
        <v>0</v>
      </c>
      <c r="J1555" s="360" t="str">
        <f>VLOOKUP(bargiri[[#This Row],[شماره پیش فاکتور]],invoice[],16,0)</f>
        <v>انجمن</v>
      </c>
      <c r="K1555" s="252">
        <f>bargiri[[#This Row],[فی]]*bargiri[[#This Row],[میزان بارگیری شده]]</f>
        <v>2560970000</v>
      </c>
    </row>
    <row r="1556" spans="1:11" ht="18.600000000000001">
      <c r="A1556" s="360" t="s">
        <v>690</v>
      </c>
      <c r="B1556" s="360" t="s">
        <v>100</v>
      </c>
      <c r="C1556" s="355" t="s">
        <v>555</v>
      </c>
      <c r="D1556">
        <v>19970</v>
      </c>
      <c r="E1556" s="143">
        <v>142000</v>
      </c>
      <c r="F1556" s="117">
        <v>1404</v>
      </c>
      <c r="G1556" s="360" t="s">
        <v>304</v>
      </c>
      <c r="H1556" s="144">
        <f>bargiri[[#This Row],[میزان بارگیری شده]]*bargiri[[#This Row],[فی]]</f>
        <v>2835740000</v>
      </c>
      <c r="I1556" s="360">
        <f>IF(year=bargiri[[#This Row],[سال]],1,0)</f>
        <v>0</v>
      </c>
      <c r="J1556" s="360" t="str">
        <f>VLOOKUP(bargiri[[#This Row],[شماره پیش فاکتور]],invoice[],16,0)</f>
        <v>انجمن</v>
      </c>
      <c r="K1556" s="252">
        <f>bargiri[[#This Row],[فی]]*bargiri[[#This Row],[میزان بارگیری شده]]</f>
        <v>2835740000</v>
      </c>
    </row>
    <row r="1557" spans="1:11" ht="18.600000000000001">
      <c r="A1557" s="360" t="s">
        <v>689</v>
      </c>
      <c r="B1557" s="360" t="s">
        <v>116</v>
      </c>
      <c r="C1557" s="355" t="s">
        <v>608</v>
      </c>
      <c r="D1557">
        <v>19020</v>
      </c>
      <c r="E1557" s="143">
        <v>95000</v>
      </c>
      <c r="F1557" s="117">
        <v>1404</v>
      </c>
      <c r="G1557" s="360" t="s">
        <v>304</v>
      </c>
      <c r="H1557" s="144">
        <f>bargiri[[#This Row],[میزان بارگیری شده]]*bargiri[[#This Row],[فی]]</f>
        <v>1806900000</v>
      </c>
      <c r="I1557" s="360">
        <f>IF(year=bargiri[[#This Row],[سال]],1,0)</f>
        <v>0</v>
      </c>
      <c r="J1557" s="360" t="str">
        <f>VLOOKUP(bargiri[[#This Row],[شماره پیش فاکتور]],invoice[],16,0)</f>
        <v>عادی</v>
      </c>
      <c r="K1557" s="252">
        <f>bargiri[[#This Row],[فی]]*bargiri[[#This Row],[میزان بارگیری شده]]</f>
        <v>1806900000</v>
      </c>
    </row>
    <row r="1558" spans="1:11" ht="18.600000000000001">
      <c r="A1558" s="360" t="s">
        <v>689</v>
      </c>
      <c r="B1558" s="360" t="s">
        <v>118</v>
      </c>
      <c r="C1558" s="355" t="s">
        <v>84</v>
      </c>
      <c r="D1558">
        <v>21025</v>
      </c>
      <c r="E1558" s="143">
        <v>57273</v>
      </c>
      <c r="F1558" s="117">
        <v>1404</v>
      </c>
      <c r="G1558" s="360" t="s">
        <v>304</v>
      </c>
      <c r="H1558" s="144">
        <f>bargiri[[#This Row],[میزان بارگیری شده]]*bargiri[[#This Row],[فی]]</f>
        <v>1204164825</v>
      </c>
      <c r="I1558" s="360">
        <f>IF(year=bargiri[[#This Row],[سال]],1,0)</f>
        <v>0</v>
      </c>
      <c r="J1558" s="360" t="str">
        <f>VLOOKUP(bargiri[[#This Row],[شماره پیش فاکتور]],invoice[],16,0)</f>
        <v>عادی</v>
      </c>
      <c r="K1558" s="252">
        <f>bargiri[[#This Row],[فی]]*bargiri[[#This Row],[میزان بارگیری شده]]</f>
        <v>1204164825</v>
      </c>
    </row>
    <row r="1559" spans="1:11" ht="18.600000000000001">
      <c r="A1559" s="360" t="s">
        <v>689</v>
      </c>
      <c r="B1559" s="360" t="s">
        <v>118</v>
      </c>
      <c r="C1559" s="355" t="s">
        <v>84</v>
      </c>
      <c r="D1559">
        <v>21035</v>
      </c>
      <c r="E1559" s="143">
        <v>57273</v>
      </c>
      <c r="F1559" s="117">
        <v>1404</v>
      </c>
      <c r="G1559" s="360" t="s">
        <v>304</v>
      </c>
      <c r="H1559" s="144">
        <f>bargiri[[#This Row],[میزان بارگیری شده]]*bargiri[[#This Row],[فی]]</f>
        <v>1204737555</v>
      </c>
      <c r="I1559" s="360">
        <f>IF(year=bargiri[[#This Row],[سال]],1,0)</f>
        <v>0</v>
      </c>
      <c r="J1559" s="360" t="str">
        <f>VLOOKUP(bargiri[[#This Row],[شماره پیش فاکتور]],invoice[],16,0)</f>
        <v>عادی</v>
      </c>
      <c r="K1559" s="252">
        <f>bargiri[[#This Row],[فی]]*bargiri[[#This Row],[میزان بارگیری شده]]</f>
        <v>1204737555</v>
      </c>
    </row>
    <row r="1560" spans="1:11" ht="18.600000000000001">
      <c r="A1560" s="360" t="s">
        <v>689</v>
      </c>
      <c r="B1560" s="360" t="s">
        <v>118</v>
      </c>
      <c r="C1560" s="355" t="s">
        <v>84</v>
      </c>
      <c r="D1560">
        <v>20950</v>
      </c>
      <c r="E1560" s="143">
        <v>57273</v>
      </c>
      <c r="F1560" s="117">
        <v>1404</v>
      </c>
      <c r="G1560" s="360" t="s">
        <v>304</v>
      </c>
      <c r="H1560" s="144">
        <f>bargiri[[#This Row],[میزان بارگیری شده]]*bargiri[[#This Row],[فی]]</f>
        <v>1199869350</v>
      </c>
      <c r="I1560" s="360">
        <f>IF(year=bargiri[[#This Row],[سال]],1,0)</f>
        <v>0</v>
      </c>
      <c r="J1560" s="360" t="str">
        <f>VLOOKUP(bargiri[[#This Row],[شماره پیش فاکتور]],invoice[],16,0)</f>
        <v>عادی</v>
      </c>
      <c r="K1560" s="252">
        <f>bargiri[[#This Row],[فی]]*bargiri[[#This Row],[میزان بارگیری شده]]</f>
        <v>1199869350</v>
      </c>
    </row>
    <row r="1561" spans="1:11" ht="18.600000000000001">
      <c r="A1561" s="360" t="s">
        <v>689</v>
      </c>
      <c r="B1561" s="360" t="s">
        <v>118</v>
      </c>
      <c r="C1561" s="355" t="s">
        <v>84</v>
      </c>
      <c r="D1561">
        <v>20600</v>
      </c>
      <c r="E1561" s="143">
        <v>57273</v>
      </c>
      <c r="F1561" s="117">
        <v>1404</v>
      </c>
      <c r="G1561" s="360" t="s">
        <v>304</v>
      </c>
      <c r="H1561" s="144">
        <f>bargiri[[#This Row],[میزان بارگیری شده]]*bargiri[[#This Row],[فی]]</f>
        <v>1179823800</v>
      </c>
      <c r="I1561" s="360">
        <f>IF(year=bargiri[[#This Row],[سال]],1,0)</f>
        <v>0</v>
      </c>
      <c r="J1561" s="360" t="str">
        <f>VLOOKUP(bargiri[[#This Row],[شماره پیش فاکتور]],invoice[],16,0)</f>
        <v>عادی</v>
      </c>
      <c r="K1561" s="252">
        <f>bargiri[[#This Row],[فی]]*bargiri[[#This Row],[میزان بارگیری شده]]</f>
        <v>1179823800</v>
      </c>
    </row>
    <row r="1562" spans="1:11" ht="18.600000000000001">
      <c r="A1562" s="360" t="s">
        <v>689</v>
      </c>
      <c r="B1562" s="360" t="s">
        <v>123</v>
      </c>
      <c r="C1562" s="355" t="s">
        <v>569</v>
      </c>
      <c r="D1562">
        <v>7870</v>
      </c>
      <c r="E1562" s="143">
        <v>142000</v>
      </c>
      <c r="F1562" s="117">
        <v>1404</v>
      </c>
      <c r="G1562" s="360" t="s">
        <v>304</v>
      </c>
      <c r="H1562" s="144">
        <f>bargiri[[#This Row],[میزان بارگیری شده]]*bargiri[[#This Row],[فی]]</f>
        <v>1117540000</v>
      </c>
      <c r="I1562" s="360">
        <f>IF(year=bargiri[[#This Row],[سال]],1,0)</f>
        <v>0</v>
      </c>
      <c r="J1562" s="360" t="str">
        <f>VLOOKUP(bargiri[[#This Row],[شماره پیش فاکتور]],invoice[],16,0)</f>
        <v>انجمن</v>
      </c>
      <c r="K1562" s="252">
        <f>bargiri[[#This Row],[فی]]*bargiri[[#This Row],[میزان بارگیری شده]]</f>
        <v>1117540000</v>
      </c>
    </row>
    <row r="1563" spans="1:11" ht="18.600000000000001">
      <c r="A1563" s="360" t="s">
        <v>679</v>
      </c>
      <c r="B1563" s="360" t="s">
        <v>116</v>
      </c>
      <c r="C1563" s="355" t="s">
        <v>536</v>
      </c>
      <c r="D1563">
        <v>14800</v>
      </c>
      <c r="E1563" s="143">
        <v>126000</v>
      </c>
      <c r="F1563" s="117">
        <v>1404</v>
      </c>
      <c r="G1563" s="360" t="s">
        <v>304</v>
      </c>
      <c r="H1563" s="144">
        <f>bargiri[[#This Row],[میزان بارگیری شده]]*bargiri[[#This Row],[فی]]</f>
        <v>1864800000</v>
      </c>
      <c r="I1563" s="360">
        <f>IF(year=bargiri[[#This Row],[سال]],1,0)</f>
        <v>0</v>
      </c>
      <c r="J1563" s="360" t="str">
        <f>VLOOKUP(bargiri[[#This Row],[شماره پیش فاکتور]],invoice[],16,0)</f>
        <v>بورس</v>
      </c>
      <c r="K1563" s="252">
        <f>bargiri[[#This Row],[فی]]*bargiri[[#This Row],[میزان بارگیری شده]]</f>
        <v>1864800000</v>
      </c>
    </row>
    <row r="1564" spans="1:11" ht="18.600000000000001">
      <c r="A1564" s="360" t="s">
        <v>679</v>
      </c>
      <c r="B1564" s="360" t="s">
        <v>116</v>
      </c>
      <c r="C1564" s="355" t="s">
        <v>608</v>
      </c>
      <c r="D1564">
        <v>4910</v>
      </c>
      <c r="E1564" s="143">
        <v>95000</v>
      </c>
      <c r="F1564" s="117">
        <v>1404</v>
      </c>
      <c r="G1564" s="360" t="s">
        <v>304</v>
      </c>
      <c r="H1564" s="144">
        <f>bargiri[[#This Row],[میزان بارگیری شده]]*bargiri[[#This Row],[فی]]</f>
        <v>466450000</v>
      </c>
      <c r="I1564" s="360">
        <f>IF(year=bargiri[[#This Row],[سال]],1,0)</f>
        <v>0</v>
      </c>
      <c r="J1564" s="360" t="str">
        <f>VLOOKUP(bargiri[[#This Row],[شماره پیش فاکتور]],invoice[],16,0)</f>
        <v>عادی</v>
      </c>
      <c r="K1564" s="252">
        <f>bargiri[[#This Row],[فی]]*bargiri[[#This Row],[میزان بارگیری شده]]</f>
        <v>466450000</v>
      </c>
    </row>
    <row r="1565" spans="1:11" ht="18.600000000000001">
      <c r="A1565" s="360" t="s">
        <v>681</v>
      </c>
      <c r="B1565" s="360" t="s">
        <v>101</v>
      </c>
      <c r="C1565" s="355" t="s">
        <v>19</v>
      </c>
      <c r="D1565">
        <v>21970</v>
      </c>
      <c r="E1565" s="143">
        <v>75000</v>
      </c>
      <c r="F1565" s="117">
        <v>1404</v>
      </c>
      <c r="G1565" s="360" t="s">
        <v>304</v>
      </c>
      <c r="H1565" s="144">
        <f>bargiri[[#This Row],[میزان بارگیری شده]]*bargiri[[#This Row],[فی]]</f>
        <v>1647750000</v>
      </c>
      <c r="I1565" s="360">
        <f>IF(year=bargiri[[#This Row],[سال]],1,0)</f>
        <v>0</v>
      </c>
      <c r="J1565" s="360" t="str">
        <f>VLOOKUP(bargiri[[#This Row],[شماره پیش فاکتور]],invoice[],16,0)</f>
        <v>عادی</v>
      </c>
      <c r="K1565" s="252">
        <f>bargiri[[#This Row],[فی]]*bargiri[[#This Row],[میزان بارگیری شده]]</f>
        <v>1647750000</v>
      </c>
    </row>
    <row r="1566" spans="1:11" ht="18.600000000000001">
      <c r="A1566" s="360" t="s">
        <v>681</v>
      </c>
      <c r="B1566" s="360" t="s">
        <v>102</v>
      </c>
      <c r="C1566" s="355" t="s">
        <v>24</v>
      </c>
      <c r="D1566">
        <v>11435</v>
      </c>
      <c r="E1566" s="143">
        <v>70000</v>
      </c>
      <c r="F1566" s="117">
        <v>1404</v>
      </c>
      <c r="G1566" s="360" t="s">
        <v>304</v>
      </c>
      <c r="H1566" s="144">
        <f>bargiri[[#This Row],[میزان بارگیری شده]]*bargiri[[#This Row],[فی]]</f>
        <v>800450000</v>
      </c>
      <c r="I1566" s="360">
        <f>IF(year=bargiri[[#This Row],[سال]],1,0)</f>
        <v>0</v>
      </c>
      <c r="J1566" s="360" t="str">
        <f>VLOOKUP(bargiri[[#This Row],[شماره پیش فاکتور]],invoice[],16,0)</f>
        <v>عادی</v>
      </c>
      <c r="K1566" s="252">
        <f>bargiri[[#This Row],[فی]]*bargiri[[#This Row],[میزان بارگیری شده]]</f>
        <v>800450000</v>
      </c>
    </row>
    <row r="1567" spans="1:11" ht="18.600000000000001">
      <c r="A1567" s="360" t="s">
        <v>681</v>
      </c>
      <c r="B1567" s="360" t="s">
        <v>109</v>
      </c>
      <c r="C1567" s="355" t="s">
        <v>563</v>
      </c>
      <c r="D1567">
        <v>7390</v>
      </c>
      <c r="E1567" s="143">
        <v>142000</v>
      </c>
      <c r="F1567" s="117">
        <v>1404</v>
      </c>
      <c r="G1567" s="360" t="s">
        <v>304</v>
      </c>
      <c r="H1567" s="144">
        <f>bargiri[[#This Row],[میزان بارگیری شده]]*bargiri[[#This Row],[فی]]</f>
        <v>1049380000</v>
      </c>
      <c r="I1567" s="360">
        <f>IF(year=bargiri[[#This Row],[سال]],1,0)</f>
        <v>0</v>
      </c>
      <c r="J1567" s="360" t="str">
        <f>VLOOKUP(bargiri[[#This Row],[شماره پیش فاکتور]],invoice[],16,0)</f>
        <v>انجمن</v>
      </c>
      <c r="K1567" s="252">
        <f>bargiri[[#This Row],[فی]]*bargiri[[#This Row],[میزان بارگیری شده]]</f>
        <v>1049380000</v>
      </c>
    </row>
    <row r="1568" spans="1:11" ht="18.600000000000001">
      <c r="A1568" s="360" t="s">
        <v>681</v>
      </c>
      <c r="B1568" s="360" t="s">
        <v>109</v>
      </c>
      <c r="C1568" s="355" t="s">
        <v>563</v>
      </c>
      <c r="D1568">
        <v>7320</v>
      </c>
      <c r="E1568" s="143">
        <v>142000</v>
      </c>
      <c r="F1568" s="117">
        <v>1404</v>
      </c>
      <c r="G1568" s="360" t="s">
        <v>304</v>
      </c>
      <c r="H1568" s="144">
        <f>bargiri[[#This Row],[میزان بارگیری شده]]*bargiri[[#This Row],[فی]]</f>
        <v>1039440000</v>
      </c>
      <c r="I1568" s="360">
        <f>IF(year=bargiri[[#This Row],[سال]],1,0)</f>
        <v>0</v>
      </c>
      <c r="J1568" s="360" t="str">
        <f>VLOOKUP(bargiri[[#This Row],[شماره پیش فاکتور]],invoice[],16,0)</f>
        <v>انجمن</v>
      </c>
      <c r="K1568" s="252">
        <f>bargiri[[#This Row],[فی]]*bargiri[[#This Row],[میزان بارگیری شده]]</f>
        <v>1039440000</v>
      </c>
    </row>
    <row r="1569" spans="1:11" ht="18.600000000000001">
      <c r="A1569" s="360" t="s">
        <v>681</v>
      </c>
      <c r="B1569" s="360" t="s">
        <v>103</v>
      </c>
      <c r="C1569" s="355" t="s">
        <v>560</v>
      </c>
      <c r="D1569">
        <v>7265</v>
      </c>
      <c r="E1569" s="143">
        <v>142000</v>
      </c>
      <c r="F1569" s="117">
        <v>1404</v>
      </c>
      <c r="G1569" s="360" t="s">
        <v>304</v>
      </c>
      <c r="H1569" s="144">
        <f>bargiri[[#This Row],[میزان بارگیری شده]]*bargiri[[#This Row],[فی]]</f>
        <v>1031630000</v>
      </c>
      <c r="I1569" s="360">
        <f>IF(year=bargiri[[#This Row],[سال]],1,0)</f>
        <v>0</v>
      </c>
      <c r="J1569" s="360" t="str">
        <f>VLOOKUP(bargiri[[#This Row],[شماره پیش فاکتور]],invoice[],16,0)</f>
        <v>انجمن</v>
      </c>
      <c r="K1569" s="252">
        <f>bargiri[[#This Row],[فی]]*bargiri[[#This Row],[میزان بارگیری شده]]</f>
        <v>1031630000</v>
      </c>
    </row>
    <row r="1570" spans="1:11" ht="18.600000000000001">
      <c r="A1570" s="360" t="s">
        <v>682</v>
      </c>
      <c r="B1570" s="360" t="s">
        <v>103</v>
      </c>
      <c r="C1570" s="355" t="s">
        <v>560</v>
      </c>
      <c r="D1570">
        <v>7485</v>
      </c>
      <c r="E1570" s="143">
        <v>142000</v>
      </c>
      <c r="F1570" s="117">
        <v>1404</v>
      </c>
      <c r="G1570" s="360" t="s">
        <v>304</v>
      </c>
      <c r="H1570" s="144">
        <f>bargiri[[#This Row],[میزان بارگیری شده]]*bargiri[[#This Row],[فی]]</f>
        <v>1062870000</v>
      </c>
      <c r="I1570" s="360">
        <f>IF(year=bargiri[[#This Row],[سال]],1,0)</f>
        <v>0</v>
      </c>
      <c r="J1570" s="360" t="str">
        <f>VLOOKUP(bargiri[[#This Row],[شماره پیش فاکتور]],invoice[],16,0)</f>
        <v>انجمن</v>
      </c>
      <c r="K1570" s="252">
        <f>bargiri[[#This Row],[فی]]*bargiri[[#This Row],[میزان بارگیری شده]]</f>
        <v>1062870000</v>
      </c>
    </row>
    <row r="1571" spans="1:11" ht="18.600000000000001">
      <c r="A1571" s="360" t="s">
        <v>682</v>
      </c>
      <c r="B1571" s="360" t="s">
        <v>118</v>
      </c>
      <c r="C1571" s="355" t="s">
        <v>84</v>
      </c>
      <c r="D1571">
        <v>20975</v>
      </c>
      <c r="E1571" s="143">
        <v>57273</v>
      </c>
      <c r="F1571" s="117">
        <v>1404</v>
      </c>
      <c r="G1571" s="360" t="s">
        <v>304</v>
      </c>
      <c r="H1571" s="144">
        <f>bargiri[[#This Row],[میزان بارگیری شده]]*bargiri[[#This Row],[فی]]</f>
        <v>1201301175</v>
      </c>
      <c r="I1571" s="360">
        <f>IF(year=bargiri[[#This Row],[سال]],1,0)</f>
        <v>0</v>
      </c>
      <c r="J1571" s="360" t="str">
        <f>VLOOKUP(bargiri[[#This Row],[شماره پیش فاکتور]],invoice[],16,0)</f>
        <v>عادی</v>
      </c>
      <c r="K1571" s="252">
        <f>bargiri[[#This Row],[فی]]*bargiri[[#This Row],[میزان بارگیری شده]]</f>
        <v>1201301175</v>
      </c>
    </row>
    <row r="1572" spans="1:11" ht="18.600000000000001">
      <c r="A1572" s="360" t="s">
        <v>682</v>
      </c>
      <c r="B1572" s="360" t="s">
        <v>118</v>
      </c>
      <c r="C1572" s="355" t="s">
        <v>84</v>
      </c>
      <c r="D1572">
        <v>21080</v>
      </c>
      <c r="E1572" s="143">
        <v>57273</v>
      </c>
      <c r="F1572" s="117">
        <v>1404</v>
      </c>
      <c r="G1572" s="360" t="s">
        <v>304</v>
      </c>
      <c r="H1572" s="144">
        <f>bargiri[[#This Row],[میزان بارگیری شده]]*bargiri[[#This Row],[فی]]</f>
        <v>1207314840</v>
      </c>
      <c r="I1572" s="360">
        <f>IF(year=bargiri[[#This Row],[سال]],1,0)</f>
        <v>0</v>
      </c>
      <c r="J1572" s="360" t="str">
        <f>VLOOKUP(bargiri[[#This Row],[شماره پیش فاکتور]],invoice[],16,0)</f>
        <v>عادی</v>
      </c>
      <c r="K1572" s="252">
        <f>bargiri[[#This Row],[فی]]*bargiri[[#This Row],[میزان بارگیری شده]]</f>
        <v>1207314840</v>
      </c>
    </row>
    <row r="1573" spans="1:11" ht="18.600000000000001">
      <c r="A1573" s="360" t="s">
        <v>682</v>
      </c>
      <c r="B1573" s="360" t="s">
        <v>109</v>
      </c>
      <c r="C1573" s="355" t="s">
        <v>563</v>
      </c>
      <c r="D1573">
        <v>7455</v>
      </c>
      <c r="E1573" s="143">
        <v>142000</v>
      </c>
      <c r="F1573" s="117">
        <v>1404</v>
      </c>
      <c r="G1573" s="360" t="s">
        <v>304</v>
      </c>
      <c r="H1573" s="144">
        <f>bargiri[[#This Row],[میزان بارگیری شده]]*bargiri[[#This Row],[فی]]</f>
        <v>1058610000</v>
      </c>
      <c r="I1573" s="360">
        <f>IF(year=bargiri[[#This Row],[سال]],1,0)</f>
        <v>0</v>
      </c>
      <c r="J1573" s="360" t="str">
        <f>VLOOKUP(bargiri[[#This Row],[شماره پیش فاکتور]],invoice[],16,0)</f>
        <v>انجمن</v>
      </c>
      <c r="K1573" s="252">
        <f>bargiri[[#This Row],[فی]]*bargiri[[#This Row],[میزان بارگیری شده]]</f>
        <v>1058610000</v>
      </c>
    </row>
    <row r="1574" spans="1:11" ht="18.600000000000001">
      <c r="A1574" s="360" t="s">
        <v>682</v>
      </c>
      <c r="B1574" s="360" t="s">
        <v>99</v>
      </c>
      <c r="C1574" s="355" t="s">
        <v>12</v>
      </c>
      <c r="D1574">
        <v>18970</v>
      </c>
      <c r="E1574" s="143">
        <v>86500</v>
      </c>
      <c r="F1574" s="117">
        <v>1404</v>
      </c>
      <c r="G1574" s="360" t="s">
        <v>304</v>
      </c>
      <c r="H1574" s="144">
        <f>bargiri[[#This Row],[میزان بارگیری شده]]*bargiri[[#This Row],[فی]]</f>
        <v>1640905000</v>
      </c>
      <c r="I1574" s="360">
        <f>IF(year=bargiri[[#This Row],[سال]],1,0)</f>
        <v>0</v>
      </c>
      <c r="J1574" s="360" t="str">
        <f>VLOOKUP(bargiri[[#This Row],[شماره پیش فاکتور]],invoice[],16,0)</f>
        <v>عادی</v>
      </c>
      <c r="K1574" s="252">
        <f>bargiri[[#This Row],[فی]]*bargiri[[#This Row],[میزان بارگیری شده]]</f>
        <v>1640905000</v>
      </c>
    </row>
    <row r="1575" spans="1:11" ht="18.600000000000001">
      <c r="A1575" s="360" t="s">
        <v>683</v>
      </c>
      <c r="B1575" s="360" t="s">
        <v>121</v>
      </c>
      <c r="C1575" s="355" t="s">
        <v>540</v>
      </c>
      <c r="D1575">
        <v>19935</v>
      </c>
      <c r="E1575" s="143">
        <v>151200</v>
      </c>
      <c r="F1575" s="117">
        <v>1404</v>
      </c>
      <c r="G1575" s="360" t="s">
        <v>304</v>
      </c>
      <c r="H1575" s="144">
        <f>bargiri[[#This Row],[میزان بارگیری شده]]*bargiri[[#This Row],[فی]]</f>
        <v>3014172000</v>
      </c>
      <c r="I1575" s="360">
        <f>IF(year=bargiri[[#This Row],[سال]],1,0)</f>
        <v>0</v>
      </c>
      <c r="J1575" s="360" t="str">
        <f>VLOOKUP(bargiri[[#This Row],[شماره پیش فاکتور]],invoice[],16,0)</f>
        <v>بورس</v>
      </c>
      <c r="K1575" s="252">
        <f>bargiri[[#This Row],[فی]]*bargiri[[#This Row],[میزان بارگیری شده]]</f>
        <v>3014172000</v>
      </c>
    </row>
    <row r="1576" spans="1:11" ht="18.600000000000001">
      <c r="A1576" s="360" t="s">
        <v>683</v>
      </c>
      <c r="B1576" s="360" t="s">
        <v>99</v>
      </c>
      <c r="C1576" s="355" t="s">
        <v>12</v>
      </c>
      <c r="D1576">
        <v>18130</v>
      </c>
      <c r="E1576" s="143">
        <v>86500</v>
      </c>
      <c r="F1576" s="117">
        <v>1404</v>
      </c>
      <c r="G1576" s="360" t="s">
        <v>304</v>
      </c>
      <c r="H1576" s="144">
        <f>bargiri[[#This Row],[میزان بارگیری شده]]*bargiri[[#This Row],[فی]]</f>
        <v>1568245000</v>
      </c>
      <c r="I1576" s="360">
        <f>IF(year=bargiri[[#This Row],[سال]],1,0)</f>
        <v>0</v>
      </c>
      <c r="J1576" s="360" t="str">
        <f>VLOOKUP(bargiri[[#This Row],[شماره پیش فاکتور]],invoice[],16,0)</f>
        <v>عادی</v>
      </c>
      <c r="K1576" s="252">
        <f>bargiri[[#This Row],[فی]]*bargiri[[#This Row],[میزان بارگیری شده]]</f>
        <v>1568245000</v>
      </c>
    </row>
    <row r="1577" spans="1:11" ht="18.600000000000001">
      <c r="A1577" s="360" t="s">
        <v>683</v>
      </c>
      <c r="B1577" s="360" t="s">
        <v>99</v>
      </c>
      <c r="C1577" s="355" t="s">
        <v>12</v>
      </c>
      <c r="D1577">
        <v>19065</v>
      </c>
      <c r="E1577" s="143">
        <v>86500</v>
      </c>
      <c r="F1577" s="117">
        <v>1404</v>
      </c>
      <c r="G1577" s="360" t="s">
        <v>304</v>
      </c>
      <c r="H1577" s="144">
        <f>bargiri[[#This Row],[میزان بارگیری شده]]*bargiri[[#This Row],[فی]]</f>
        <v>1649122500</v>
      </c>
      <c r="I1577" s="360">
        <f>IF(year=bargiri[[#This Row],[سال]],1,0)</f>
        <v>0</v>
      </c>
      <c r="J1577" s="360" t="str">
        <f>VLOOKUP(bargiri[[#This Row],[شماره پیش فاکتور]],invoice[],16,0)</f>
        <v>عادی</v>
      </c>
      <c r="K1577" s="252">
        <f>bargiri[[#This Row],[فی]]*bargiri[[#This Row],[میزان بارگیری شده]]</f>
        <v>1649122500</v>
      </c>
    </row>
    <row r="1578" spans="1:11" ht="18.600000000000001">
      <c r="A1578" s="360" t="s">
        <v>679</v>
      </c>
      <c r="B1578" s="360" t="s">
        <v>106</v>
      </c>
      <c r="C1578" s="355" t="s">
        <v>44</v>
      </c>
      <c r="D1578">
        <v>22020</v>
      </c>
      <c r="E1578" s="143">
        <v>80000</v>
      </c>
      <c r="F1578" s="117">
        <v>1404</v>
      </c>
      <c r="G1578" s="360" t="s">
        <v>304</v>
      </c>
      <c r="H1578" s="144">
        <f>bargiri[[#This Row],[میزان بارگیری شده]]*bargiri[[#This Row],[فی]]</f>
        <v>1761600000</v>
      </c>
      <c r="I1578" s="360">
        <f>IF(year=bargiri[[#This Row],[سال]],1,0)</f>
        <v>0</v>
      </c>
      <c r="J1578" s="360" t="str">
        <f>VLOOKUP(bargiri[[#This Row],[شماره پیش فاکتور]],invoice[],16,0)</f>
        <v>عادی</v>
      </c>
      <c r="K1578" s="252">
        <f>bargiri[[#This Row],[فی]]*bargiri[[#This Row],[میزان بارگیری شده]]</f>
        <v>1761600000</v>
      </c>
    </row>
    <row r="1579" spans="1:11" ht="18.600000000000001">
      <c r="A1579" s="360" t="s">
        <v>679</v>
      </c>
      <c r="B1579" s="360" t="s">
        <v>99</v>
      </c>
      <c r="C1579" s="355" t="s">
        <v>12</v>
      </c>
      <c r="D1579">
        <v>18900</v>
      </c>
      <c r="E1579" s="143">
        <v>86500</v>
      </c>
      <c r="F1579" s="117">
        <v>1404</v>
      </c>
      <c r="G1579" s="360" t="s">
        <v>304</v>
      </c>
      <c r="H1579" s="144">
        <f>bargiri[[#This Row],[میزان بارگیری شده]]*bargiri[[#This Row],[فی]]</f>
        <v>1634850000</v>
      </c>
      <c r="I1579" s="360">
        <f>IF(year=bargiri[[#This Row],[سال]],1,0)</f>
        <v>0</v>
      </c>
      <c r="J1579" s="360" t="str">
        <f>VLOOKUP(bargiri[[#This Row],[شماره پیش فاکتور]],invoice[],16,0)</f>
        <v>عادی</v>
      </c>
      <c r="K1579" s="252">
        <f>bargiri[[#This Row],[فی]]*bargiri[[#This Row],[میزان بارگیری شده]]</f>
        <v>1634850000</v>
      </c>
    </row>
    <row r="1580" spans="1:11" ht="18.600000000000001">
      <c r="A1580" s="360" t="s">
        <v>679</v>
      </c>
      <c r="B1580" s="360" t="s">
        <v>118</v>
      </c>
      <c r="C1580" s="355" t="s">
        <v>84</v>
      </c>
      <c r="D1580">
        <v>20980</v>
      </c>
      <c r="E1580" s="143">
        <v>57273</v>
      </c>
      <c r="F1580" s="117">
        <v>1404</v>
      </c>
      <c r="G1580" s="360" t="s">
        <v>304</v>
      </c>
      <c r="H1580" s="144">
        <f>bargiri[[#This Row],[میزان بارگیری شده]]*bargiri[[#This Row],[فی]]</f>
        <v>1201587540</v>
      </c>
      <c r="I1580" s="360">
        <f>IF(year=bargiri[[#This Row],[سال]],1,0)</f>
        <v>0</v>
      </c>
      <c r="J1580" s="360" t="str">
        <f>VLOOKUP(bargiri[[#This Row],[شماره پیش فاکتور]],invoice[],16,0)</f>
        <v>عادی</v>
      </c>
      <c r="K1580" s="252">
        <f>bargiri[[#This Row],[فی]]*bargiri[[#This Row],[میزان بارگیری شده]]</f>
        <v>1201587540</v>
      </c>
    </row>
    <row r="1581" spans="1:11" ht="18.600000000000001">
      <c r="A1581" s="360" t="s">
        <v>679</v>
      </c>
      <c r="B1581" s="360" t="s">
        <v>118</v>
      </c>
      <c r="C1581" s="355" t="s">
        <v>84</v>
      </c>
      <c r="D1581">
        <v>20460</v>
      </c>
      <c r="E1581" s="143">
        <v>57273</v>
      </c>
      <c r="F1581" s="117">
        <v>1404</v>
      </c>
      <c r="G1581" s="360" t="s">
        <v>304</v>
      </c>
      <c r="H1581" s="144">
        <f>bargiri[[#This Row],[میزان بارگیری شده]]*bargiri[[#This Row],[فی]]</f>
        <v>1171805580</v>
      </c>
      <c r="I1581" s="360">
        <f>IF(year=bargiri[[#This Row],[سال]],1,0)</f>
        <v>0</v>
      </c>
      <c r="J1581" s="360" t="str">
        <f>VLOOKUP(bargiri[[#This Row],[شماره پیش فاکتور]],invoice[],16,0)</f>
        <v>عادی</v>
      </c>
      <c r="K1581" s="252">
        <f>bargiri[[#This Row],[فی]]*bargiri[[#This Row],[میزان بارگیری شده]]</f>
        <v>1171805580</v>
      </c>
    </row>
    <row r="1582" spans="1:11" ht="18.600000000000001">
      <c r="A1582" s="360" t="s">
        <v>679</v>
      </c>
      <c r="B1582" s="360" t="s">
        <v>118</v>
      </c>
      <c r="C1582" s="355" t="s">
        <v>84</v>
      </c>
      <c r="D1582">
        <v>20990</v>
      </c>
      <c r="E1582" s="143">
        <v>57273</v>
      </c>
      <c r="F1582" s="117">
        <v>1404</v>
      </c>
      <c r="G1582" s="360" t="s">
        <v>304</v>
      </c>
      <c r="H1582" s="144">
        <f>bargiri[[#This Row],[میزان بارگیری شده]]*bargiri[[#This Row],[فی]]</f>
        <v>1202160270</v>
      </c>
      <c r="I1582" s="360">
        <f>IF(year=bargiri[[#This Row],[سال]],1,0)</f>
        <v>0</v>
      </c>
      <c r="J1582" s="360" t="str">
        <f>VLOOKUP(bargiri[[#This Row],[شماره پیش فاکتور]],invoice[],16,0)</f>
        <v>عادی</v>
      </c>
      <c r="K1582" s="252">
        <f>bargiri[[#This Row],[فی]]*bargiri[[#This Row],[میزان بارگیری شده]]</f>
        <v>1202160270</v>
      </c>
    </row>
    <row r="1583" spans="1:11" ht="18.600000000000001">
      <c r="A1583" s="360" t="s">
        <v>629</v>
      </c>
      <c r="B1583" s="360" t="s">
        <v>121</v>
      </c>
      <c r="C1583" s="355" t="s">
        <v>540</v>
      </c>
      <c r="D1583">
        <v>16155</v>
      </c>
      <c r="E1583" s="143">
        <v>151200</v>
      </c>
      <c r="F1583" s="117">
        <v>1404</v>
      </c>
      <c r="G1583" s="360" t="s">
        <v>304</v>
      </c>
      <c r="H1583" s="144">
        <f>bargiri[[#This Row],[میزان بارگیری شده]]*bargiri[[#This Row],[فی]]</f>
        <v>2442636000</v>
      </c>
      <c r="I1583" s="360">
        <f>IF(year=bargiri[[#This Row],[سال]],1,0)</f>
        <v>0</v>
      </c>
      <c r="J1583" s="360" t="str">
        <f>VLOOKUP(bargiri[[#This Row],[شماره پیش فاکتور]],invoice[],16,0)</f>
        <v>بورس</v>
      </c>
      <c r="K1583" s="252">
        <f>bargiri[[#This Row],[فی]]*bargiri[[#This Row],[میزان بارگیری شده]]</f>
        <v>2442636000</v>
      </c>
    </row>
    <row r="1584" spans="1:11" ht="18.600000000000001">
      <c r="A1584" s="360" t="s">
        <v>629</v>
      </c>
      <c r="B1584" s="360" t="s">
        <v>116</v>
      </c>
      <c r="C1584" s="355" t="s">
        <v>536</v>
      </c>
      <c r="D1584">
        <v>8125</v>
      </c>
      <c r="E1584" s="143">
        <v>126000</v>
      </c>
      <c r="F1584" s="117">
        <v>1404</v>
      </c>
      <c r="G1584" s="360" t="s">
        <v>304</v>
      </c>
      <c r="H1584" s="144">
        <f>bargiri[[#This Row],[میزان بارگیری شده]]*bargiri[[#This Row],[فی]]</f>
        <v>1023750000</v>
      </c>
      <c r="I1584" s="360">
        <f>IF(year=bargiri[[#This Row],[سال]],1,0)</f>
        <v>0</v>
      </c>
      <c r="J1584" s="360" t="str">
        <f>VLOOKUP(bargiri[[#This Row],[شماره پیش فاکتور]],invoice[],16,0)</f>
        <v>بورس</v>
      </c>
      <c r="K1584" s="252">
        <f>bargiri[[#This Row],[فی]]*bargiri[[#This Row],[میزان بارگیری شده]]</f>
        <v>1023750000</v>
      </c>
    </row>
    <row r="1585" spans="1:11" ht="18.600000000000001">
      <c r="A1585" s="360" t="s">
        <v>629</v>
      </c>
      <c r="B1585" s="360" t="s">
        <v>103</v>
      </c>
      <c r="C1585" s="355" t="s">
        <v>560</v>
      </c>
      <c r="D1585">
        <v>7365</v>
      </c>
      <c r="E1585" s="143">
        <v>142000</v>
      </c>
      <c r="F1585" s="117">
        <v>1404</v>
      </c>
      <c r="G1585" s="360" t="s">
        <v>304</v>
      </c>
      <c r="H1585" s="144">
        <f>bargiri[[#This Row],[میزان بارگیری شده]]*bargiri[[#This Row],[فی]]</f>
        <v>1045830000</v>
      </c>
      <c r="I1585" s="360">
        <f>IF(year=bargiri[[#This Row],[سال]],1,0)</f>
        <v>0</v>
      </c>
      <c r="J1585" s="360" t="str">
        <f>VLOOKUP(bargiri[[#This Row],[شماره پیش فاکتور]],invoice[],16,0)</f>
        <v>انجمن</v>
      </c>
      <c r="K1585" s="252">
        <f>bargiri[[#This Row],[فی]]*bargiri[[#This Row],[میزان بارگیری شده]]</f>
        <v>1045830000</v>
      </c>
    </row>
    <row r="1586" spans="1:11" ht="18.600000000000001">
      <c r="A1586" s="360" t="s">
        <v>629</v>
      </c>
      <c r="B1586" s="360" t="s">
        <v>116</v>
      </c>
      <c r="C1586" s="355" t="s">
        <v>536</v>
      </c>
      <c r="D1586">
        <v>19960</v>
      </c>
      <c r="E1586" s="143">
        <v>126000</v>
      </c>
      <c r="F1586" s="117">
        <v>1404</v>
      </c>
      <c r="G1586" s="360" t="s">
        <v>304</v>
      </c>
      <c r="H1586" s="144">
        <f>bargiri[[#This Row],[میزان بارگیری شده]]*bargiri[[#This Row],[فی]]</f>
        <v>2514960000</v>
      </c>
      <c r="I1586" s="360">
        <f>IF(year=bargiri[[#This Row],[سال]],1,0)</f>
        <v>0</v>
      </c>
      <c r="J1586" s="360" t="str">
        <f>VLOOKUP(bargiri[[#This Row],[شماره پیش فاکتور]],invoice[],16,0)</f>
        <v>بورس</v>
      </c>
      <c r="K1586" s="252">
        <f>bargiri[[#This Row],[فی]]*bargiri[[#This Row],[میزان بارگیری شده]]</f>
        <v>2514960000</v>
      </c>
    </row>
    <row r="1587" spans="1:11" ht="18.600000000000001">
      <c r="A1587" s="360" t="s">
        <v>629</v>
      </c>
      <c r="B1587" s="360" t="s">
        <v>117</v>
      </c>
      <c r="C1587" s="355" t="s">
        <v>646</v>
      </c>
      <c r="D1587">
        <v>19970</v>
      </c>
      <c r="E1587" s="143">
        <v>201000</v>
      </c>
      <c r="F1587" s="117">
        <v>1404</v>
      </c>
      <c r="G1587" s="360" t="s">
        <v>304</v>
      </c>
      <c r="H1587" s="144">
        <f>bargiri[[#This Row],[میزان بارگیری شده]]*bargiri[[#This Row],[فی]]</f>
        <v>4013970000</v>
      </c>
      <c r="I1587" s="360">
        <f>IF(year=bargiri[[#This Row],[سال]],1,0)</f>
        <v>0</v>
      </c>
      <c r="J1587" s="360" t="str">
        <f>VLOOKUP(bargiri[[#This Row],[شماره پیش فاکتور]],invoice[],16,0)</f>
        <v>بورس</v>
      </c>
      <c r="K1587" s="252">
        <f>bargiri[[#This Row],[فی]]*bargiri[[#This Row],[میزان بارگیری شده]]</f>
        <v>4013970000</v>
      </c>
    </row>
    <row r="1588" spans="1:11" ht="18.600000000000001">
      <c r="A1588" s="360" t="s">
        <v>629</v>
      </c>
      <c r="B1588" s="360" t="s">
        <v>108</v>
      </c>
      <c r="C1588" s="355" t="s">
        <v>680</v>
      </c>
      <c r="D1588">
        <v>20145</v>
      </c>
      <c r="E1588" s="143">
        <v>201000</v>
      </c>
      <c r="F1588" s="117">
        <v>1404</v>
      </c>
      <c r="G1588" s="360" t="s">
        <v>304</v>
      </c>
      <c r="H1588" s="144">
        <f>bargiri[[#This Row],[میزان بارگیری شده]]*bargiri[[#This Row],[فی]]</f>
        <v>4049145000</v>
      </c>
      <c r="I1588" s="360">
        <f>IF(year=bargiri[[#This Row],[سال]],1,0)</f>
        <v>0</v>
      </c>
      <c r="J1588" s="360" t="str">
        <f>VLOOKUP(bargiri[[#This Row],[شماره پیش فاکتور]],invoice[],16,0)</f>
        <v>بورس</v>
      </c>
      <c r="K1588" s="252">
        <f>bargiri[[#This Row],[فی]]*bargiri[[#This Row],[میزان بارگیری شده]]</f>
        <v>4049145000</v>
      </c>
    </row>
    <row r="1589" spans="1:11" ht="18.600000000000001">
      <c r="A1589" s="360" t="s">
        <v>652</v>
      </c>
      <c r="B1589" s="360" t="s">
        <v>116</v>
      </c>
      <c r="C1589" s="355" t="s">
        <v>70</v>
      </c>
      <c r="D1589">
        <v>12885</v>
      </c>
      <c r="E1589" s="143">
        <v>92179</v>
      </c>
      <c r="F1589" s="117">
        <v>1404</v>
      </c>
      <c r="G1589" s="360" t="s">
        <v>304</v>
      </c>
      <c r="H1589" s="144">
        <f>bargiri[[#This Row],[میزان بارگیری شده]]*bargiri[[#This Row],[فی]]</f>
        <v>1187726415</v>
      </c>
      <c r="I1589" s="360">
        <f>IF(year=bargiri[[#This Row],[سال]],1,0)</f>
        <v>0</v>
      </c>
      <c r="J1589" s="360" t="str">
        <f>VLOOKUP(bargiri[[#This Row],[شماره پیش فاکتور]],invoice[],16,0)</f>
        <v>بورس</v>
      </c>
      <c r="K1589" s="252">
        <f>bargiri[[#This Row],[فی]]*bargiri[[#This Row],[میزان بارگیری شده]]</f>
        <v>1187726415</v>
      </c>
    </row>
    <row r="1590" spans="1:11" ht="18.600000000000001">
      <c r="A1590" s="360" t="s">
        <v>652</v>
      </c>
      <c r="B1590" s="360" t="s">
        <v>116</v>
      </c>
      <c r="C1590" s="355" t="s">
        <v>536</v>
      </c>
      <c r="D1590">
        <v>7115</v>
      </c>
      <c r="E1590" s="143">
        <v>126000</v>
      </c>
      <c r="F1590" s="117">
        <v>1404</v>
      </c>
      <c r="G1590" s="360" t="s">
        <v>304</v>
      </c>
      <c r="H1590" s="144">
        <f>bargiri[[#This Row],[میزان بارگیری شده]]*bargiri[[#This Row],[فی]]</f>
        <v>896490000</v>
      </c>
      <c r="I1590" s="360">
        <f>IF(year=bargiri[[#This Row],[سال]],1,0)</f>
        <v>0</v>
      </c>
      <c r="J1590" s="360" t="str">
        <f>VLOOKUP(bargiri[[#This Row],[شماره پیش فاکتور]],invoice[],16,0)</f>
        <v>بورس</v>
      </c>
      <c r="K1590" s="252">
        <f>bargiri[[#This Row],[فی]]*bargiri[[#This Row],[میزان بارگیری شده]]</f>
        <v>896490000</v>
      </c>
    </row>
    <row r="1591" spans="1:11" ht="18.600000000000001">
      <c r="A1591" s="360" t="s">
        <v>652</v>
      </c>
      <c r="B1591" s="360" t="s">
        <v>104</v>
      </c>
      <c r="C1591" s="355" t="s">
        <v>562</v>
      </c>
      <c r="D1591">
        <v>18170</v>
      </c>
      <c r="E1591" s="143">
        <v>142000</v>
      </c>
      <c r="F1591" s="117">
        <v>1404</v>
      </c>
      <c r="G1591" s="360" t="s">
        <v>304</v>
      </c>
      <c r="H1591" s="144">
        <f>bargiri[[#This Row],[میزان بارگیری شده]]*bargiri[[#This Row],[فی]]</f>
        <v>2580140000</v>
      </c>
      <c r="I1591" s="360">
        <f>IF(year=bargiri[[#This Row],[سال]],1,0)</f>
        <v>0</v>
      </c>
      <c r="J1591" s="360" t="str">
        <f>VLOOKUP(bargiri[[#This Row],[شماره پیش فاکتور]],invoice[],16,0)</f>
        <v>انجمن</v>
      </c>
      <c r="K1591" s="252">
        <f>bargiri[[#This Row],[فی]]*bargiri[[#This Row],[میزان بارگیری شده]]</f>
        <v>2580140000</v>
      </c>
    </row>
    <row r="1592" spans="1:11" ht="18.600000000000001">
      <c r="A1592" s="360" t="s">
        <v>652</v>
      </c>
      <c r="B1592" s="360" t="s">
        <v>118</v>
      </c>
      <c r="C1592" s="355" t="s">
        <v>84</v>
      </c>
      <c r="D1592">
        <v>21015</v>
      </c>
      <c r="E1592" s="143">
        <v>57273</v>
      </c>
      <c r="F1592" s="117">
        <v>1404</v>
      </c>
      <c r="G1592" s="360" t="s">
        <v>304</v>
      </c>
      <c r="H1592" s="144">
        <f>bargiri[[#This Row],[میزان بارگیری شده]]*bargiri[[#This Row],[فی]]</f>
        <v>1203592095</v>
      </c>
      <c r="I1592" s="360">
        <f>IF(year=bargiri[[#This Row],[سال]],1,0)</f>
        <v>0</v>
      </c>
      <c r="J1592" s="360" t="str">
        <f>VLOOKUP(bargiri[[#This Row],[شماره پیش فاکتور]],invoice[],16,0)</f>
        <v>عادی</v>
      </c>
      <c r="K1592" s="252">
        <f>bargiri[[#This Row],[فی]]*bargiri[[#This Row],[میزان بارگیری شده]]</f>
        <v>1203592095</v>
      </c>
    </row>
    <row r="1593" spans="1:11" ht="18.600000000000001">
      <c r="A1593" s="360" t="s">
        <v>652</v>
      </c>
      <c r="B1593" s="360" t="s">
        <v>118</v>
      </c>
      <c r="C1593" s="355" t="s">
        <v>84</v>
      </c>
      <c r="D1593">
        <v>20545</v>
      </c>
      <c r="E1593" s="143">
        <v>57273</v>
      </c>
      <c r="F1593" s="117">
        <v>1404</v>
      </c>
      <c r="G1593" s="360" t="s">
        <v>304</v>
      </c>
      <c r="H1593" s="144">
        <f>bargiri[[#This Row],[میزان بارگیری شده]]*bargiri[[#This Row],[فی]]</f>
        <v>1176673785</v>
      </c>
      <c r="I1593" s="360">
        <f>IF(year=bargiri[[#This Row],[سال]],1,0)</f>
        <v>0</v>
      </c>
      <c r="J1593" s="360" t="str">
        <f>VLOOKUP(bargiri[[#This Row],[شماره پیش فاکتور]],invoice[],16,0)</f>
        <v>عادی</v>
      </c>
      <c r="K1593" s="252">
        <f>bargiri[[#This Row],[فی]]*bargiri[[#This Row],[میزان بارگیری شده]]</f>
        <v>1176673785</v>
      </c>
    </row>
    <row r="1594" spans="1:11" ht="18.600000000000001">
      <c r="A1594" s="360" t="s">
        <v>652</v>
      </c>
      <c r="B1594" s="360" t="s">
        <v>123</v>
      </c>
      <c r="C1594" s="355" t="s">
        <v>533</v>
      </c>
      <c r="D1594">
        <v>5390</v>
      </c>
      <c r="E1594" s="143">
        <v>100000</v>
      </c>
      <c r="F1594" s="117">
        <v>1404</v>
      </c>
      <c r="G1594" s="360" t="s">
        <v>304</v>
      </c>
      <c r="H1594" s="144">
        <f>bargiri[[#This Row],[میزان بارگیری شده]]*bargiri[[#This Row],[فی]]</f>
        <v>539000000</v>
      </c>
      <c r="I1594" s="360">
        <f>IF(year=bargiri[[#This Row],[سال]],1,0)</f>
        <v>0</v>
      </c>
      <c r="J1594" s="360" t="str">
        <f>VLOOKUP(bargiri[[#This Row],[شماره پیش فاکتور]],invoice[],16,0)</f>
        <v>عادی</v>
      </c>
      <c r="K1594" s="252">
        <f>bargiri[[#This Row],[فی]]*bargiri[[#This Row],[میزان بارگیری شده]]</f>
        <v>539000000</v>
      </c>
    </row>
    <row r="1595" spans="1:11" ht="18.600000000000001">
      <c r="A1595" s="360" t="s">
        <v>652</v>
      </c>
      <c r="B1595" s="360" t="s">
        <v>123</v>
      </c>
      <c r="C1595" s="355" t="s">
        <v>569</v>
      </c>
      <c r="D1595">
        <v>2290</v>
      </c>
      <c r="E1595" s="143">
        <v>142000</v>
      </c>
      <c r="F1595" s="117">
        <v>1404</v>
      </c>
      <c r="G1595" s="360" t="s">
        <v>304</v>
      </c>
      <c r="H1595" s="144">
        <f>bargiri[[#This Row],[میزان بارگیری شده]]*bargiri[[#This Row],[فی]]</f>
        <v>325180000</v>
      </c>
      <c r="I1595" s="360">
        <f>IF(year=bargiri[[#This Row],[سال]],1,0)</f>
        <v>0</v>
      </c>
      <c r="J1595" s="360" t="str">
        <f>VLOOKUP(bargiri[[#This Row],[شماره پیش فاکتور]],invoice[],16,0)</f>
        <v>انجمن</v>
      </c>
      <c r="K1595" s="252">
        <f>bargiri[[#This Row],[فی]]*bargiri[[#This Row],[میزان بارگیری شده]]</f>
        <v>325180000</v>
      </c>
    </row>
    <row r="1596" spans="1:11" ht="18.600000000000001">
      <c r="A1596" s="360" t="s">
        <v>653</v>
      </c>
      <c r="B1596" s="360" t="s">
        <v>109</v>
      </c>
      <c r="C1596" s="355" t="s">
        <v>563</v>
      </c>
      <c r="D1596">
        <v>7380</v>
      </c>
      <c r="E1596" s="143">
        <v>142000</v>
      </c>
      <c r="F1596" s="117">
        <v>1404</v>
      </c>
      <c r="G1596" s="360" t="s">
        <v>304</v>
      </c>
      <c r="H1596" s="144">
        <f>bargiri[[#This Row],[میزان بارگیری شده]]*bargiri[[#This Row],[فی]]</f>
        <v>1047960000</v>
      </c>
      <c r="I1596" s="360">
        <f>IF(year=bargiri[[#This Row],[سال]],1,0)</f>
        <v>0</v>
      </c>
      <c r="J1596" s="360" t="str">
        <f>VLOOKUP(bargiri[[#This Row],[شماره پیش فاکتور]],invoice[],16,0)</f>
        <v>انجمن</v>
      </c>
      <c r="K1596" s="252">
        <f>bargiri[[#This Row],[فی]]*bargiri[[#This Row],[میزان بارگیری شده]]</f>
        <v>1047960000</v>
      </c>
    </row>
    <row r="1597" spans="1:11" ht="18.600000000000001">
      <c r="A1597" s="360" t="s">
        <v>653</v>
      </c>
      <c r="B1597" s="360" t="s">
        <v>116</v>
      </c>
      <c r="C1597" s="355" t="s">
        <v>70</v>
      </c>
      <c r="D1597">
        <v>7075</v>
      </c>
      <c r="E1597" s="143">
        <v>92179</v>
      </c>
      <c r="F1597" s="117">
        <v>1404</v>
      </c>
      <c r="G1597" s="360" t="s">
        <v>304</v>
      </c>
      <c r="H1597" s="144">
        <f>bargiri[[#This Row],[میزان بارگیری شده]]*bargiri[[#This Row],[فی]]</f>
        <v>652166425</v>
      </c>
      <c r="I1597" s="360">
        <f>IF(year=bargiri[[#This Row],[سال]],1,0)</f>
        <v>0</v>
      </c>
      <c r="J1597" s="360" t="str">
        <f>VLOOKUP(bargiri[[#This Row],[شماره پیش فاکتور]],invoice[],16,0)</f>
        <v>بورس</v>
      </c>
      <c r="K1597" s="252">
        <f>bargiri[[#This Row],[فی]]*bargiri[[#This Row],[میزان بارگیری شده]]</f>
        <v>652166425</v>
      </c>
    </row>
    <row r="1598" spans="1:11" ht="18.600000000000001">
      <c r="A1598" s="360" t="s">
        <v>653</v>
      </c>
      <c r="B1598" s="360" t="s">
        <v>109</v>
      </c>
      <c r="C1598" s="355" t="s">
        <v>563</v>
      </c>
      <c r="D1598">
        <v>7290</v>
      </c>
      <c r="E1598" s="143">
        <v>142000</v>
      </c>
      <c r="F1598" s="117">
        <v>1404</v>
      </c>
      <c r="G1598" s="360" t="s">
        <v>304</v>
      </c>
      <c r="H1598" s="144">
        <f>bargiri[[#This Row],[میزان بارگیری شده]]*bargiri[[#This Row],[فی]]</f>
        <v>1035180000</v>
      </c>
      <c r="I1598" s="360">
        <f>IF(year=bargiri[[#This Row],[سال]],1,0)</f>
        <v>0</v>
      </c>
      <c r="J1598" s="360" t="str">
        <f>VLOOKUP(bargiri[[#This Row],[شماره پیش فاکتور]],invoice[],16,0)</f>
        <v>انجمن</v>
      </c>
      <c r="K1598" s="252">
        <f>bargiri[[#This Row],[فی]]*bargiri[[#This Row],[میزان بارگیری شده]]</f>
        <v>1035180000</v>
      </c>
    </row>
    <row r="1599" spans="1:11" ht="18.600000000000001">
      <c r="A1599" s="360" t="s">
        <v>653</v>
      </c>
      <c r="B1599" s="360" t="s">
        <v>118</v>
      </c>
      <c r="C1599" s="355" t="s">
        <v>84</v>
      </c>
      <c r="D1599">
        <v>20535</v>
      </c>
      <c r="E1599" s="143">
        <v>57273</v>
      </c>
      <c r="F1599" s="117">
        <v>1404</v>
      </c>
      <c r="G1599" s="360" t="s">
        <v>304</v>
      </c>
      <c r="H1599" s="144">
        <f>bargiri[[#This Row],[میزان بارگیری شده]]*bargiri[[#This Row],[فی]]</f>
        <v>1176101055</v>
      </c>
      <c r="I1599" s="360">
        <f>IF(year=bargiri[[#This Row],[سال]],1,0)</f>
        <v>0</v>
      </c>
      <c r="J1599" s="360" t="str">
        <f>VLOOKUP(bargiri[[#This Row],[شماره پیش فاکتور]],invoice[],16,0)</f>
        <v>عادی</v>
      </c>
      <c r="K1599" s="252">
        <f>bargiri[[#This Row],[فی]]*bargiri[[#This Row],[میزان بارگیری شده]]</f>
        <v>1176101055</v>
      </c>
    </row>
    <row r="1600" spans="1:11" ht="18.600000000000001">
      <c r="A1600" s="360" t="s">
        <v>653</v>
      </c>
      <c r="B1600" s="360" t="s">
        <v>118</v>
      </c>
      <c r="C1600" s="355" t="s">
        <v>84</v>
      </c>
      <c r="D1600">
        <v>20555</v>
      </c>
      <c r="E1600" s="143">
        <v>57273</v>
      </c>
      <c r="F1600" s="117">
        <v>1404</v>
      </c>
      <c r="G1600" s="360" t="s">
        <v>304</v>
      </c>
      <c r="H1600" s="144">
        <f>bargiri[[#This Row],[میزان بارگیری شده]]*bargiri[[#This Row],[فی]]</f>
        <v>1177246515</v>
      </c>
      <c r="I1600" s="360">
        <f>IF(year=bargiri[[#This Row],[سال]],1,0)</f>
        <v>0</v>
      </c>
      <c r="J1600" s="360" t="str">
        <f>VLOOKUP(bargiri[[#This Row],[شماره پیش فاکتور]],invoice[],16,0)</f>
        <v>عادی</v>
      </c>
      <c r="K1600" s="252">
        <f>bargiri[[#This Row],[فی]]*bargiri[[#This Row],[میزان بارگیری شده]]</f>
        <v>1177246515</v>
      </c>
    </row>
    <row r="1601" spans="1:11" ht="18.600000000000001">
      <c r="A1601" s="360" t="s">
        <v>653</v>
      </c>
      <c r="B1601" s="360" t="s">
        <v>106</v>
      </c>
      <c r="C1601" s="355" t="s">
        <v>44</v>
      </c>
      <c r="D1601">
        <v>22160</v>
      </c>
      <c r="E1601" s="143">
        <v>80000</v>
      </c>
      <c r="F1601" s="117">
        <v>1404</v>
      </c>
      <c r="G1601" s="360" t="s">
        <v>304</v>
      </c>
      <c r="H1601" s="144">
        <f>bargiri[[#This Row],[میزان بارگیری شده]]*bargiri[[#This Row],[فی]]</f>
        <v>1772800000</v>
      </c>
      <c r="I1601" s="360">
        <f>IF(year=bargiri[[#This Row],[سال]],1,0)</f>
        <v>0</v>
      </c>
      <c r="J1601" s="360" t="str">
        <f>VLOOKUP(bargiri[[#This Row],[شماره پیش فاکتور]],invoice[],16,0)</f>
        <v>عادی</v>
      </c>
      <c r="K1601" s="252">
        <f>bargiri[[#This Row],[فی]]*bargiri[[#This Row],[میزان بارگیری شده]]</f>
        <v>1772800000</v>
      </c>
    </row>
    <row r="1602" spans="1:11" ht="18.600000000000001">
      <c r="A1602" s="360" t="s">
        <v>653</v>
      </c>
      <c r="B1602" s="360" t="s">
        <v>122</v>
      </c>
      <c r="C1602" s="355" t="s">
        <v>568</v>
      </c>
      <c r="D1602">
        <v>20135</v>
      </c>
      <c r="E1602" s="143">
        <v>142000</v>
      </c>
      <c r="F1602" s="117">
        <v>1404</v>
      </c>
      <c r="G1602" s="360" t="s">
        <v>304</v>
      </c>
      <c r="H1602" s="144">
        <f>bargiri[[#This Row],[میزان بارگیری شده]]*bargiri[[#This Row],[فی]]</f>
        <v>2859170000</v>
      </c>
      <c r="I1602" s="360">
        <f>IF(year=bargiri[[#This Row],[سال]],1,0)</f>
        <v>0</v>
      </c>
      <c r="J1602" s="360" t="str">
        <f>VLOOKUP(bargiri[[#This Row],[شماره پیش فاکتور]],invoice[],16,0)</f>
        <v>انجمن</v>
      </c>
      <c r="K1602" s="252">
        <f>bargiri[[#This Row],[فی]]*bargiri[[#This Row],[میزان بارگیری شده]]</f>
        <v>2859170000</v>
      </c>
    </row>
    <row r="1603" spans="1:11" ht="18.600000000000001">
      <c r="A1603" s="360" t="s">
        <v>653</v>
      </c>
      <c r="B1603" s="360" t="s">
        <v>99</v>
      </c>
      <c r="C1603" s="355" t="s">
        <v>12</v>
      </c>
      <c r="D1603">
        <v>19005</v>
      </c>
      <c r="E1603" s="143">
        <v>86500</v>
      </c>
      <c r="F1603" s="117">
        <v>1404</v>
      </c>
      <c r="G1603" s="360" t="s">
        <v>304</v>
      </c>
      <c r="H1603" s="144">
        <f>bargiri[[#This Row],[میزان بارگیری شده]]*bargiri[[#This Row],[فی]]</f>
        <v>1643932500</v>
      </c>
      <c r="I1603" s="360">
        <f>IF(year=bargiri[[#This Row],[سال]],1,0)</f>
        <v>0</v>
      </c>
      <c r="J1603" s="360" t="str">
        <f>VLOOKUP(bargiri[[#This Row],[شماره پیش فاکتور]],invoice[],16,0)</f>
        <v>عادی</v>
      </c>
      <c r="K1603" s="252">
        <f>bargiri[[#This Row],[فی]]*bargiri[[#This Row],[میزان بارگیری شده]]</f>
        <v>1643932500</v>
      </c>
    </row>
    <row r="1604" spans="1:11" ht="18.600000000000001">
      <c r="A1604" s="360" t="s">
        <v>654</v>
      </c>
      <c r="B1604" s="360" t="s">
        <v>116</v>
      </c>
      <c r="C1604" s="355" t="s">
        <v>71</v>
      </c>
      <c r="D1604">
        <v>10005</v>
      </c>
      <c r="E1604" s="143">
        <v>83800</v>
      </c>
      <c r="F1604" s="117">
        <v>1404</v>
      </c>
      <c r="G1604" s="360" t="s">
        <v>304</v>
      </c>
      <c r="H1604" s="144">
        <f>bargiri[[#This Row],[میزان بارگیری شده]]*bargiri[[#This Row],[فی]]</f>
        <v>838419000</v>
      </c>
      <c r="I1604" s="360">
        <f>IF(year=bargiri[[#This Row],[سال]],1,0)</f>
        <v>0</v>
      </c>
      <c r="J1604" s="360" t="str">
        <f>VLOOKUP(bargiri[[#This Row],[شماره پیش فاکتور]],invoice[],16,0)</f>
        <v>بورس</v>
      </c>
      <c r="K1604" s="252">
        <f>bargiri[[#This Row],[فی]]*bargiri[[#This Row],[میزان بارگیری شده]]</f>
        <v>838419000</v>
      </c>
    </row>
    <row r="1605" spans="1:11" ht="18.600000000000001">
      <c r="A1605" s="360" t="s">
        <v>654</v>
      </c>
      <c r="B1605" s="360" t="s">
        <v>116</v>
      </c>
      <c r="C1605" s="355" t="s">
        <v>70</v>
      </c>
      <c r="D1605">
        <v>10040</v>
      </c>
      <c r="E1605" s="143">
        <v>92179</v>
      </c>
      <c r="F1605" s="117">
        <v>1404</v>
      </c>
      <c r="G1605" s="360" t="s">
        <v>304</v>
      </c>
      <c r="H1605" s="144">
        <f>bargiri[[#This Row],[میزان بارگیری شده]]*bargiri[[#This Row],[فی]]</f>
        <v>925477160</v>
      </c>
      <c r="I1605" s="360">
        <f>IF(year=bargiri[[#This Row],[سال]],1,0)</f>
        <v>0</v>
      </c>
      <c r="J1605" s="360" t="str">
        <f>VLOOKUP(bargiri[[#This Row],[شماره پیش فاکتور]],invoice[],16,0)</f>
        <v>بورس</v>
      </c>
      <c r="K1605" s="252">
        <f>bargiri[[#This Row],[فی]]*bargiri[[#This Row],[میزان بارگیری شده]]</f>
        <v>925477160</v>
      </c>
    </row>
    <row r="1606" spans="1:11" ht="18.600000000000001">
      <c r="A1606" s="360" t="s">
        <v>654</v>
      </c>
      <c r="B1606" s="360" t="s">
        <v>125</v>
      </c>
      <c r="C1606" s="355" t="s">
        <v>570</v>
      </c>
      <c r="D1606">
        <v>14210</v>
      </c>
      <c r="E1606" s="143">
        <v>142000</v>
      </c>
      <c r="F1606" s="117">
        <v>1404</v>
      </c>
      <c r="G1606" s="360" t="s">
        <v>304</v>
      </c>
      <c r="H1606" s="144">
        <f>bargiri[[#This Row],[میزان بارگیری شده]]*bargiri[[#This Row],[فی]]</f>
        <v>2017820000</v>
      </c>
      <c r="I1606" s="360">
        <f>IF(year=bargiri[[#This Row],[سال]],1,0)</f>
        <v>0</v>
      </c>
      <c r="J1606" s="360" t="str">
        <f>VLOOKUP(bargiri[[#This Row],[شماره پیش فاکتور]],invoice[],16,0)</f>
        <v>انجمن</v>
      </c>
      <c r="K1606" s="252">
        <f>bargiri[[#This Row],[فی]]*bargiri[[#This Row],[میزان بارگیری شده]]</f>
        <v>2017820000</v>
      </c>
    </row>
    <row r="1607" spans="1:11" ht="18.600000000000001">
      <c r="A1607" s="360" t="s">
        <v>654</v>
      </c>
      <c r="B1607" s="360" t="s">
        <v>98</v>
      </c>
      <c r="C1607" s="355" t="s">
        <v>541</v>
      </c>
      <c r="D1607">
        <v>19805</v>
      </c>
      <c r="E1607" s="143">
        <v>151200</v>
      </c>
      <c r="F1607" s="117">
        <v>1404</v>
      </c>
      <c r="G1607" s="360" t="s">
        <v>304</v>
      </c>
      <c r="H1607" s="144">
        <f>bargiri[[#This Row],[میزان بارگیری شده]]*bargiri[[#This Row],[فی]]</f>
        <v>2994516000</v>
      </c>
      <c r="I1607" s="360">
        <f>IF(year=bargiri[[#This Row],[سال]],1,0)</f>
        <v>0</v>
      </c>
      <c r="J1607" s="360" t="str">
        <f>VLOOKUP(bargiri[[#This Row],[شماره پیش فاکتور]],invoice[],16,0)</f>
        <v>بورس</v>
      </c>
      <c r="K1607" s="252">
        <f>bargiri[[#This Row],[فی]]*bargiri[[#This Row],[میزان بارگیری شده]]</f>
        <v>2994516000</v>
      </c>
    </row>
    <row r="1608" spans="1:11" ht="18.600000000000001">
      <c r="A1608" s="360" t="s">
        <v>654</v>
      </c>
      <c r="B1608" s="360" t="s">
        <v>98</v>
      </c>
      <c r="C1608" s="355" t="s">
        <v>638</v>
      </c>
      <c r="D1608">
        <v>2430</v>
      </c>
      <c r="E1608" s="143">
        <v>151200</v>
      </c>
      <c r="F1608" s="117">
        <v>1404</v>
      </c>
      <c r="G1608" s="360" t="s">
        <v>304</v>
      </c>
      <c r="H1608" s="144">
        <f>bargiri[[#This Row],[میزان بارگیری شده]]*bargiri[[#This Row],[فی]]</f>
        <v>367416000</v>
      </c>
      <c r="I1608" s="360">
        <f>IF(year=bargiri[[#This Row],[سال]],1,0)</f>
        <v>0</v>
      </c>
      <c r="J1608" s="360" t="str">
        <f>VLOOKUP(bargiri[[#This Row],[شماره پیش فاکتور]],invoice[],16,0)</f>
        <v>بورس</v>
      </c>
      <c r="K1608" s="252">
        <f>bargiri[[#This Row],[فی]]*bargiri[[#This Row],[میزان بارگیری شده]]</f>
        <v>367416000</v>
      </c>
    </row>
    <row r="1609" spans="1:11" ht="18.600000000000001">
      <c r="A1609" s="360" t="s">
        <v>655</v>
      </c>
      <c r="B1609" s="360" t="s">
        <v>99</v>
      </c>
      <c r="C1609" s="355" t="s">
        <v>12</v>
      </c>
      <c r="D1609">
        <v>19125</v>
      </c>
      <c r="E1609" s="143">
        <v>86500</v>
      </c>
      <c r="F1609" s="117">
        <v>1404</v>
      </c>
      <c r="G1609" s="360" t="s">
        <v>304</v>
      </c>
      <c r="H1609" s="144">
        <f>bargiri[[#This Row],[میزان بارگیری شده]]*bargiri[[#This Row],[فی]]</f>
        <v>1654312500</v>
      </c>
      <c r="I1609" s="360">
        <f>IF(year=bargiri[[#This Row],[سال]],1,0)</f>
        <v>0</v>
      </c>
      <c r="J1609" s="360" t="str">
        <f>VLOOKUP(bargiri[[#This Row],[شماره پیش فاکتور]],invoice[],16,0)</f>
        <v>عادی</v>
      </c>
      <c r="K1609" s="252">
        <f>bargiri[[#This Row],[فی]]*bargiri[[#This Row],[میزان بارگیری شده]]</f>
        <v>1654312500</v>
      </c>
    </row>
    <row r="1610" spans="1:11" ht="18.600000000000001">
      <c r="A1610" s="360" t="s">
        <v>655</v>
      </c>
      <c r="B1610" s="360" t="s">
        <v>104</v>
      </c>
      <c r="C1610" s="355" t="s">
        <v>562</v>
      </c>
      <c r="D1610">
        <v>16910</v>
      </c>
      <c r="E1610" s="143">
        <v>142000</v>
      </c>
      <c r="F1610" s="117">
        <v>1404</v>
      </c>
      <c r="G1610" s="360" t="s">
        <v>304</v>
      </c>
      <c r="H1610" s="144">
        <f>bargiri[[#This Row],[میزان بارگیری شده]]*bargiri[[#This Row],[فی]]</f>
        <v>2401220000</v>
      </c>
      <c r="I1610" s="360">
        <f>IF(year=bargiri[[#This Row],[سال]],1,0)</f>
        <v>0</v>
      </c>
      <c r="J1610" s="360" t="str">
        <f>VLOOKUP(bargiri[[#This Row],[شماره پیش فاکتور]],invoice[],16,0)</f>
        <v>انجمن</v>
      </c>
      <c r="K1610" s="252">
        <f>bargiri[[#This Row],[فی]]*bargiri[[#This Row],[میزان بارگیری شده]]</f>
        <v>2401220000</v>
      </c>
    </row>
    <row r="1611" spans="1:11" ht="18.600000000000001">
      <c r="A1611" s="360" t="s">
        <v>655</v>
      </c>
      <c r="B1611" s="360" t="s">
        <v>99</v>
      </c>
      <c r="C1611" s="355" t="s">
        <v>12</v>
      </c>
      <c r="D1611">
        <v>7045</v>
      </c>
      <c r="E1611" s="143">
        <v>86500</v>
      </c>
      <c r="F1611" s="117">
        <v>1404</v>
      </c>
      <c r="G1611" s="360" t="s">
        <v>304</v>
      </c>
      <c r="H1611" s="144">
        <f>bargiri[[#This Row],[میزان بارگیری شده]]*bargiri[[#This Row],[فی]]</f>
        <v>609392500</v>
      </c>
      <c r="I1611" s="360">
        <f>IF(year=bargiri[[#This Row],[سال]],1,0)</f>
        <v>0</v>
      </c>
      <c r="J1611" s="360" t="str">
        <f>VLOOKUP(bargiri[[#This Row],[شماره پیش فاکتور]],invoice[],16,0)</f>
        <v>عادی</v>
      </c>
      <c r="K1611" s="252">
        <f>bargiri[[#This Row],[فی]]*bargiri[[#This Row],[میزان بارگیری شده]]</f>
        <v>609392500</v>
      </c>
    </row>
    <row r="1612" spans="1:11" ht="18.600000000000001">
      <c r="A1612" s="360" t="s">
        <v>655</v>
      </c>
      <c r="B1612" s="360" t="s">
        <v>109</v>
      </c>
      <c r="C1612" s="355" t="s">
        <v>563</v>
      </c>
      <c r="D1612">
        <v>20005</v>
      </c>
      <c r="E1612" s="143">
        <v>142000</v>
      </c>
      <c r="F1612" s="117">
        <v>1404</v>
      </c>
      <c r="G1612" s="360" t="s">
        <v>304</v>
      </c>
      <c r="H1612" s="144">
        <f>bargiri[[#This Row],[میزان بارگیری شده]]*bargiri[[#This Row],[فی]]</f>
        <v>2840710000</v>
      </c>
      <c r="I1612" s="360">
        <f>IF(year=bargiri[[#This Row],[سال]],1,0)</f>
        <v>0</v>
      </c>
      <c r="J1612" s="360" t="str">
        <f>VLOOKUP(bargiri[[#This Row],[شماره پیش فاکتور]],invoice[],16,0)</f>
        <v>انجمن</v>
      </c>
      <c r="K1612" s="252">
        <f>bargiri[[#This Row],[فی]]*bargiri[[#This Row],[میزان بارگیری شده]]</f>
        <v>2840710000</v>
      </c>
    </row>
    <row r="1613" spans="1:11" ht="18.600000000000001">
      <c r="A1613" s="360" t="s">
        <v>655</v>
      </c>
      <c r="B1613" s="360" t="s">
        <v>103</v>
      </c>
      <c r="C1613" s="355" t="s">
        <v>560</v>
      </c>
      <c r="D1613">
        <v>7535</v>
      </c>
      <c r="E1613" s="143">
        <v>142000</v>
      </c>
      <c r="F1613" s="117">
        <v>1404</v>
      </c>
      <c r="G1613" s="360" t="s">
        <v>304</v>
      </c>
      <c r="H1613" s="144">
        <f>bargiri[[#This Row],[میزان بارگیری شده]]*bargiri[[#This Row],[فی]]</f>
        <v>1069970000</v>
      </c>
      <c r="I1613" s="360">
        <f>IF(year=bargiri[[#This Row],[سال]],1,0)</f>
        <v>0</v>
      </c>
      <c r="J1613" s="360" t="str">
        <f>VLOOKUP(bargiri[[#This Row],[شماره پیش فاکتور]],invoice[],16,0)</f>
        <v>انجمن</v>
      </c>
      <c r="K1613" s="252">
        <f>bargiri[[#This Row],[فی]]*bargiri[[#This Row],[میزان بارگیری شده]]</f>
        <v>1069970000</v>
      </c>
    </row>
    <row r="1614" spans="1:11" ht="18.600000000000001">
      <c r="A1614" s="360" t="s">
        <v>655</v>
      </c>
      <c r="B1614" s="360" t="s">
        <v>103</v>
      </c>
      <c r="C1614" s="355" t="s">
        <v>560</v>
      </c>
      <c r="D1614">
        <v>7250</v>
      </c>
      <c r="E1614" s="143">
        <v>142000</v>
      </c>
      <c r="F1614" s="117">
        <v>1404</v>
      </c>
      <c r="G1614" s="360" t="s">
        <v>304</v>
      </c>
      <c r="H1614" s="144">
        <f>bargiri[[#This Row],[میزان بارگیری شده]]*bargiri[[#This Row],[فی]]</f>
        <v>1029500000</v>
      </c>
      <c r="I1614" s="360">
        <f>IF(year=bargiri[[#This Row],[سال]],1,0)</f>
        <v>0</v>
      </c>
      <c r="J1614" s="360" t="str">
        <f>VLOOKUP(bargiri[[#This Row],[شماره پیش فاکتور]],invoice[],16,0)</f>
        <v>انجمن</v>
      </c>
      <c r="K1614" s="252">
        <f>bargiri[[#This Row],[فی]]*bargiri[[#This Row],[میزان بارگیری شده]]</f>
        <v>1029500000</v>
      </c>
    </row>
    <row r="1615" spans="1:11" ht="18.600000000000001">
      <c r="A1615" s="360" t="s">
        <v>656</v>
      </c>
      <c r="B1615" s="360" t="s">
        <v>116</v>
      </c>
      <c r="C1615" s="355" t="s">
        <v>71</v>
      </c>
      <c r="D1615">
        <v>19990</v>
      </c>
      <c r="E1615" s="143">
        <v>83800</v>
      </c>
      <c r="F1615" s="117">
        <v>1404</v>
      </c>
      <c r="G1615" s="360" t="s">
        <v>304</v>
      </c>
      <c r="H1615" s="144">
        <f>bargiri[[#This Row],[میزان بارگیری شده]]*bargiri[[#This Row],[فی]]</f>
        <v>1675162000</v>
      </c>
      <c r="I1615" s="360">
        <f>IF(year=bargiri[[#This Row],[سال]],1,0)</f>
        <v>0</v>
      </c>
      <c r="J1615" s="360" t="str">
        <f>VLOOKUP(bargiri[[#This Row],[شماره پیش فاکتور]],invoice[],16,0)</f>
        <v>بورس</v>
      </c>
      <c r="K1615" s="252">
        <f>bargiri[[#This Row],[فی]]*bargiri[[#This Row],[میزان بارگیری شده]]</f>
        <v>1675162000</v>
      </c>
    </row>
    <row r="1616" spans="1:11" ht="18.600000000000001">
      <c r="A1616" s="360" t="s">
        <v>656</v>
      </c>
      <c r="B1616" s="360" t="s">
        <v>116</v>
      </c>
      <c r="C1616" s="355" t="s">
        <v>71</v>
      </c>
      <c r="D1616">
        <v>20005</v>
      </c>
      <c r="E1616" s="143">
        <v>83800</v>
      </c>
      <c r="F1616" s="117">
        <v>1404</v>
      </c>
      <c r="G1616" s="360" t="s">
        <v>304</v>
      </c>
      <c r="H1616" s="144">
        <f>bargiri[[#This Row],[میزان بارگیری شده]]*bargiri[[#This Row],[فی]]</f>
        <v>1676419000</v>
      </c>
      <c r="I1616" s="360">
        <f>IF(year=bargiri[[#This Row],[سال]],1,0)</f>
        <v>0</v>
      </c>
      <c r="J1616" s="360" t="str">
        <f>VLOOKUP(bargiri[[#This Row],[شماره پیش فاکتور]],invoice[],16,0)</f>
        <v>بورس</v>
      </c>
      <c r="K1616" s="252">
        <f>bargiri[[#This Row],[فی]]*bargiri[[#This Row],[میزان بارگیری شده]]</f>
        <v>1676419000</v>
      </c>
    </row>
    <row r="1617" spans="1:11" ht="18.600000000000001">
      <c r="A1617" s="360" t="s">
        <v>656</v>
      </c>
      <c r="B1617" s="360" t="s">
        <v>118</v>
      </c>
      <c r="C1617" s="355" t="s">
        <v>84</v>
      </c>
      <c r="D1617">
        <v>20940</v>
      </c>
      <c r="E1617" s="143">
        <v>57273</v>
      </c>
      <c r="F1617" s="117">
        <v>1404</v>
      </c>
      <c r="G1617" s="360" t="s">
        <v>304</v>
      </c>
      <c r="H1617" s="144">
        <f>bargiri[[#This Row],[میزان بارگیری شده]]*bargiri[[#This Row],[فی]]</f>
        <v>1199296620</v>
      </c>
      <c r="I1617" s="360">
        <f>IF(year=bargiri[[#This Row],[سال]],1,0)</f>
        <v>0</v>
      </c>
      <c r="J1617" s="360" t="str">
        <f>VLOOKUP(bargiri[[#This Row],[شماره پیش فاکتور]],invoice[],16,0)</f>
        <v>عادی</v>
      </c>
      <c r="K1617" s="252">
        <f>bargiri[[#This Row],[فی]]*bargiri[[#This Row],[میزان بارگیری شده]]</f>
        <v>1199296620</v>
      </c>
    </row>
    <row r="1618" spans="1:11" ht="18.600000000000001">
      <c r="A1618" s="360" t="s">
        <v>656</v>
      </c>
      <c r="B1618" s="360" t="s">
        <v>118</v>
      </c>
      <c r="C1618" s="355" t="s">
        <v>84</v>
      </c>
      <c r="D1618">
        <v>20510</v>
      </c>
      <c r="E1618" s="143">
        <v>57273</v>
      </c>
      <c r="F1618" s="117">
        <v>1404</v>
      </c>
      <c r="G1618" s="360" t="s">
        <v>304</v>
      </c>
      <c r="H1618" s="144">
        <f>bargiri[[#This Row],[میزان بارگیری شده]]*bargiri[[#This Row],[فی]]</f>
        <v>1174669230</v>
      </c>
      <c r="I1618" s="360">
        <f>IF(year=bargiri[[#This Row],[سال]],1,0)</f>
        <v>0</v>
      </c>
      <c r="J1618" s="360" t="str">
        <f>VLOOKUP(bargiri[[#This Row],[شماره پیش فاکتور]],invoice[],16,0)</f>
        <v>عادی</v>
      </c>
      <c r="K1618" s="252">
        <f>bargiri[[#This Row],[فی]]*bargiri[[#This Row],[میزان بارگیری شده]]</f>
        <v>1174669230</v>
      </c>
    </row>
    <row r="1619" spans="1:11" ht="18.600000000000001">
      <c r="A1619" s="360" t="s">
        <v>656</v>
      </c>
      <c r="B1619" s="360" t="s">
        <v>118</v>
      </c>
      <c r="C1619" s="355" t="s">
        <v>84</v>
      </c>
      <c r="D1619">
        <v>20695</v>
      </c>
      <c r="E1619" s="143">
        <v>57273</v>
      </c>
      <c r="F1619" s="117">
        <v>1404</v>
      </c>
      <c r="G1619" s="360" t="s">
        <v>304</v>
      </c>
      <c r="H1619" s="144">
        <f>bargiri[[#This Row],[میزان بارگیری شده]]*bargiri[[#This Row],[فی]]</f>
        <v>1185264735</v>
      </c>
      <c r="I1619" s="360">
        <f>IF(year=bargiri[[#This Row],[سال]],1,0)</f>
        <v>0</v>
      </c>
      <c r="J1619" s="360" t="str">
        <f>VLOOKUP(bargiri[[#This Row],[شماره پیش فاکتور]],invoice[],16,0)</f>
        <v>عادی</v>
      </c>
      <c r="K1619" s="252">
        <f>bargiri[[#This Row],[فی]]*bargiri[[#This Row],[میزان بارگیری شده]]</f>
        <v>1185264735</v>
      </c>
    </row>
    <row r="1620" spans="1:11" ht="18.600000000000001">
      <c r="A1620" s="360" t="s">
        <v>656</v>
      </c>
      <c r="B1620" s="360" t="s">
        <v>118</v>
      </c>
      <c r="C1620" s="355" t="s">
        <v>84</v>
      </c>
      <c r="D1620">
        <v>21075</v>
      </c>
      <c r="E1620" s="143">
        <v>57273</v>
      </c>
      <c r="F1620" s="117">
        <v>1404</v>
      </c>
      <c r="G1620" s="360" t="s">
        <v>304</v>
      </c>
      <c r="H1620" s="144">
        <f>bargiri[[#This Row],[میزان بارگیری شده]]*bargiri[[#This Row],[فی]]</f>
        <v>1207028475</v>
      </c>
      <c r="I1620" s="360">
        <f>IF(year=bargiri[[#This Row],[سال]],1,0)</f>
        <v>0</v>
      </c>
      <c r="J1620" s="360" t="str">
        <f>VLOOKUP(bargiri[[#This Row],[شماره پیش فاکتور]],invoice[],16,0)</f>
        <v>عادی</v>
      </c>
      <c r="K1620" s="252">
        <f>bargiri[[#This Row],[فی]]*bargiri[[#This Row],[میزان بارگیری شده]]</f>
        <v>1207028475</v>
      </c>
    </row>
    <row r="1621" spans="1:11" ht="18.600000000000001">
      <c r="A1621" s="360" t="s">
        <v>657</v>
      </c>
      <c r="B1621" s="360" t="s">
        <v>102</v>
      </c>
      <c r="C1621" s="355" t="s">
        <v>24</v>
      </c>
      <c r="D1621">
        <v>10360</v>
      </c>
      <c r="E1621" s="143">
        <v>70000</v>
      </c>
      <c r="F1621" s="117">
        <v>1404</v>
      </c>
      <c r="G1621" s="360" t="s">
        <v>304</v>
      </c>
      <c r="H1621" s="144">
        <f>bargiri[[#This Row],[میزان بارگیری شده]]*bargiri[[#This Row],[فی]]</f>
        <v>725200000</v>
      </c>
      <c r="I1621" s="360">
        <f>IF(year=bargiri[[#This Row],[سال]],1,0)</f>
        <v>0</v>
      </c>
      <c r="J1621" s="360" t="str">
        <f>VLOOKUP(bargiri[[#This Row],[شماره پیش فاکتور]],invoice[],16,0)</f>
        <v>عادی</v>
      </c>
      <c r="K1621" s="252">
        <f>bargiri[[#This Row],[فی]]*bargiri[[#This Row],[میزان بارگیری شده]]</f>
        <v>725200000</v>
      </c>
    </row>
    <row r="1622" spans="1:11" ht="18.600000000000001">
      <c r="A1622" s="360" t="s">
        <v>657</v>
      </c>
      <c r="B1622" s="360" t="s">
        <v>104</v>
      </c>
      <c r="C1622" s="355" t="s">
        <v>562</v>
      </c>
      <c r="D1622">
        <v>17985</v>
      </c>
      <c r="E1622" s="143">
        <v>142000</v>
      </c>
      <c r="F1622" s="117">
        <v>1404</v>
      </c>
      <c r="G1622" s="360" t="s">
        <v>304</v>
      </c>
      <c r="H1622" s="144">
        <f>bargiri[[#This Row],[میزان بارگیری شده]]*bargiri[[#This Row],[فی]]</f>
        <v>2553870000</v>
      </c>
      <c r="I1622" s="360">
        <f>IF(year=bargiri[[#This Row],[سال]],1,0)</f>
        <v>0</v>
      </c>
      <c r="J1622" s="360" t="str">
        <f>VLOOKUP(bargiri[[#This Row],[شماره پیش فاکتور]],invoice[],16,0)</f>
        <v>انجمن</v>
      </c>
      <c r="K1622" s="252">
        <f>bargiri[[#This Row],[فی]]*bargiri[[#This Row],[میزان بارگیری شده]]</f>
        <v>2553870000</v>
      </c>
    </row>
    <row r="1623" spans="1:11" ht="18.600000000000001">
      <c r="A1623" s="360" t="s">
        <v>657</v>
      </c>
      <c r="B1623" s="360" t="s">
        <v>106</v>
      </c>
      <c r="C1623" s="355" t="s">
        <v>44</v>
      </c>
      <c r="D1623">
        <v>20070</v>
      </c>
      <c r="E1623" s="143">
        <v>80000</v>
      </c>
      <c r="F1623" s="117">
        <v>1404</v>
      </c>
      <c r="G1623" s="360" t="s">
        <v>304</v>
      </c>
      <c r="H1623" s="144">
        <f>bargiri[[#This Row],[میزان بارگیری شده]]*bargiri[[#This Row],[فی]]</f>
        <v>1605600000</v>
      </c>
      <c r="I1623" s="360">
        <f>IF(year=bargiri[[#This Row],[سال]],1,0)</f>
        <v>0</v>
      </c>
      <c r="J1623" s="360" t="str">
        <f>VLOOKUP(bargiri[[#This Row],[شماره پیش فاکتور]],invoice[],16,0)</f>
        <v>عادی</v>
      </c>
      <c r="K1623" s="252">
        <f>bargiri[[#This Row],[فی]]*bargiri[[#This Row],[میزان بارگیری شده]]</f>
        <v>1605600000</v>
      </c>
    </row>
    <row r="1624" spans="1:11" ht="18.600000000000001">
      <c r="A1624" s="360" t="s">
        <v>657</v>
      </c>
      <c r="B1624" s="360" t="s">
        <v>99</v>
      </c>
      <c r="C1624" s="355" t="s">
        <v>12</v>
      </c>
      <c r="D1624">
        <v>18600</v>
      </c>
      <c r="E1624" s="143">
        <v>86500</v>
      </c>
      <c r="F1624" s="117">
        <v>1404</v>
      </c>
      <c r="G1624" s="360" t="s">
        <v>304</v>
      </c>
      <c r="H1624" s="144">
        <f>bargiri[[#This Row],[میزان بارگیری شده]]*bargiri[[#This Row],[فی]]</f>
        <v>1608900000</v>
      </c>
      <c r="I1624" s="360">
        <f>IF(year=bargiri[[#This Row],[سال]],1,0)</f>
        <v>0</v>
      </c>
      <c r="J1624" s="360" t="str">
        <f>VLOOKUP(bargiri[[#This Row],[شماره پیش فاکتور]],invoice[],16,0)</f>
        <v>عادی</v>
      </c>
      <c r="K1624" s="252">
        <f>bargiri[[#This Row],[فی]]*bargiri[[#This Row],[میزان بارگیری شده]]</f>
        <v>1608900000</v>
      </c>
    </row>
    <row r="1625" spans="1:11" ht="18.600000000000001">
      <c r="A1625" s="360" t="s">
        <v>658</v>
      </c>
      <c r="B1625" s="360" t="s">
        <v>99</v>
      </c>
      <c r="C1625" s="355" t="s">
        <v>12</v>
      </c>
      <c r="D1625">
        <v>18985</v>
      </c>
      <c r="E1625" s="143">
        <v>86500</v>
      </c>
      <c r="F1625" s="117">
        <v>1404</v>
      </c>
      <c r="G1625" s="360" t="s">
        <v>304</v>
      </c>
      <c r="H1625" s="144">
        <f>bargiri[[#This Row],[میزان بارگیری شده]]*bargiri[[#This Row],[فی]]</f>
        <v>1642202500</v>
      </c>
      <c r="I1625" s="360">
        <f>IF(year=bargiri[[#This Row],[سال]],1,0)</f>
        <v>0</v>
      </c>
      <c r="J1625" s="360" t="str">
        <f>VLOOKUP(bargiri[[#This Row],[شماره پیش فاکتور]],invoice[],16,0)</f>
        <v>عادی</v>
      </c>
      <c r="K1625" s="252">
        <f>bargiri[[#This Row],[فی]]*bargiri[[#This Row],[میزان بارگیری شده]]</f>
        <v>1642202500</v>
      </c>
    </row>
    <row r="1626" spans="1:11" ht="18.600000000000001">
      <c r="A1626" s="360" t="s">
        <v>658</v>
      </c>
      <c r="B1626" s="360" t="s">
        <v>117</v>
      </c>
      <c r="C1626" s="355" t="s">
        <v>566</v>
      </c>
      <c r="D1626">
        <v>19950</v>
      </c>
      <c r="E1626" s="143">
        <v>142000</v>
      </c>
      <c r="F1626" s="117">
        <v>1404</v>
      </c>
      <c r="G1626" s="360" t="s">
        <v>304</v>
      </c>
      <c r="H1626" s="144">
        <f>bargiri[[#This Row],[میزان بارگیری شده]]*bargiri[[#This Row],[فی]]</f>
        <v>2832900000</v>
      </c>
      <c r="I1626" s="360">
        <f>IF(year=bargiri[[#This Row],[سال]],1,0)</f>
        <v>0</v>
      </c>
      <c r="J1626" s="360" t="str">
        <f>VLOOKUP(bargiri[[#This Row],[شماره پیش فاکتور]],invoice[],16,0)</f>
        <v>انجمن</v>
      </c>
      <c r="K1626" s="252">
        <f>bargiri[[#This Row],[فی]]*bargiri[[#This Row],[میزان بارگیری شده]]</f>
        <v>2832900000</v>
      </c>
    </row>
    <row r="1627" spans="1:11" ht="18.600000000000001">
      <c r="A1627" s="360" t="s">
        <v>659</v>
      </c>
      <c r="B1627" s="360" t="s">
        <v>123</v>
      </c>
      <c r="C1627" s="355" t="s">
        <v>533</v>
      </c>
      <c r="D1627">
        <v>7715</v>
      </c>
      <c r="E1627" s="143">
        <v>100000</v>
      </c>
      <c r="F1627" s="117">
        <v>1404</v>
      </c>
      <c r="G1627" s="360" t="s">
        <v>304</v>
      </c>
      <c r="H1627" s="144">
        <f>bargiri[[#This Row],[میزان بارگیری شده]]*bargiri[[#This Row],[فی]]</f>
        <v>771500000</v>
      </c>
      <c r="I1627" s="360">
        <f>IF(year=bargiri[[#This Row],[سال]],1,0)</f>
        <v>0</v>
      </c>
      <c r="J1627" s="360" t="str">
        <f>VLOOKUP(bargiri[[#This Row],[شماره پیش فاکتور]],invoice[],16,0)</f>
        <v>عادی</v>
      </c>
      <c r="K1627" s="252">
        <f>bargiri[[#This Row],[فی]]*bargiri[[#This Row],[میزان بارگیری شده]]</f>
        <v>771500000</v>
      </c>
    </row>
    <row r="1628" spans="1:11" ht="18.600000000000001">
      <c r="A1628" s="360" t="s">
        <v>609</v>
      </c>
      <c r="B1628" s="360" t="s">
        <v>99</v>
      </c>
      <c r="C1628" s="355" t="s">
        <v>12</v>
      </c>
      <c r="D1628">
        <v>19995</v>
      </c>
      <c r="E1628" s="143">
        <v>86500</v>
      </c>
      <c r="F1628" s="117">
        <v>1404</v>
      </c>
      <c r="G1628" s="360" t="s">
        <v>304</v>
      </c>
      <c r="H1628" s="144">
        <f>bargiri[[#This Row],[میزان بارگیری شده]]*bargiri[[#This Row],[فی]]</f>
        <v>1729567500</v>
      </c>
      <c r="I1628" s="360">
        <f>IF(year=bargiri[[#This Row],[سال]],1,0)</f>
        <v>0</v>
      </c>
      <c r="J1628" s="360" t="str">
        <f>VLOOKUP(bargiri[[#This Row],[شماره پیش فاکتور]],invoice[],16,0)</f>
        <v>عادی</v>
      </c>
      <c r="K1628" s="252">
        <f>bargiri[[#This Row],[فی]]*bargiri[[#This Row],[میزان بارگیری شده]]</f>
        <v>1729567500</v>
      </c>
    </row>
    <row r="1629" spans="1:11" ht="18.600000000000001">
      <c r="A1629" s="360" t="s">
        <v>610</v>
      </c>
      <c r="B1629" s="360" t="s">
        <v>99</v>
      </c>
      <c r="C1629" s="355" t="s">
        <v>12</v>
      </c>
      <c r="D1629">
        <v>19155</v>
      </c>
      <c r="E1629" s="143">
        <v>86500</v>
      </c>
      <c r="F1629" s="117">
        <v>1404</v>
      </c>
      <c r="G1629" s="360" t="s">
        <v>304</v>
      </c>
      <c r="H1629" s="144">
        <f>bargiri[[#This Row],[میزان بارگیری شده]]*bargiri[[#This Row],[فی]]</f>
        <v>1656907500</v>
      </c>
      <c r="I1629" s="360">
        <f>IF(year=bargiri[[#This Row],[سال]],1,0)</f>
        <v>0</v>
      </c>
      <c r="J1629" s="360" t="str">
        <f>VLOOKUP(bargiri[[#This Row],[شماره پیش فاکتور]],invoice[],16,0)</f>
        <v>عادی</v>
      </c>
      <c r="K1629" s="252">
        <f>bargiri[[#This Row],[فی]]*bargiri[[#This Row],[میزان بارگیری شده]]</f>
        <v>1656907500</v>
      </c>
    </row>
    <row r="1630" spans="1:11" ht="18.600000000000001">
      <c r="A1630" s="360" t="s">
        <v>611</v>
      </c>
      <c r="B1630" s="360" t="s">
        <v>106</v>
      </c>
      <c r="C1630" s="355" t="s">
        <v>44</v>
      </c>
      <c r="D1630">
        <v>20570</v>
      </c>
      <c r="E1630" s="143">
        <v>80000</v>
      </c>
      <c r="F1630" s="117">
        <v>1404</v>
      </c>
      <c r="G1630" s="360" t="s">
        <v>304</v>
      </c>
      <c r="H1630" s="144">
        <f>bargiri[[#This Row],[میزان بارگیری شده]]*bargiri[[#This Row],[فی]]</f>
        <v>1645600000</v>
      </c>
      <c r="I1630" s="360">
        <f>IF(year=bargiri[[#This Row],[سال]],1,0)</f>
        <v>0</v>
      </c>
      <c r="J1630" s="360" t="str">
        <f>VLOOKUP(bargiri[[#This Row],[شماره پیش فاکتور]],invoice[],16,0)</f>
        <v>عادی</v>
      </c>
      <c r="K1630" s="252">
        <f>bargiri[[#This Row],[فی]]*bargiri[[#This Row],[میزان بارگیری شده]]</f>
        <v>1645600000</v>
      </c>
    </row>
    <row r="1631" spans="1:11" ht="18.600000000000001">
      <c r="A1631" s="360" t="s">
        <v>611</v>
      </c>
      <c r="B1631" s="360" t="s">
        <v>98</v>
      </c>
      <c r="C1631" s="355" t="s">
        <v>537</v>
      </c>
      <c r="D1631">
        <v>19910</v>
      </c>
      <c r="E1631" s="143">
        <v>151200</v>
      </c>
      <c r="F1631" s="117">
        <v>1404</v>
      </c>
      <c r="G1631" s="360" t="s">
        <v>304</v>
      </c>
      <c r="H1631" s="144">
        <f>bargiri[[#This Row],[میزان بارگیری شده]]*bargiri[[#This Row],[فی]]</f>
        <v>3010392000</v>
      </c>
      <c r="I1631" s="360">
        <f>IF(year=bargiri[[#This Row],[سال]],1,0)</f>
        <v>0</v>
      </c>
      <c r="J1631" s="360" t="str">
        <f>VLOOKUP(bargiri[[#This Row],[شماره پیش فاکتور]],invoice[],16,0)</f>
        <v>بورس</v>
      </c>
      <c r="K1631" s="252">
        <f>bargiri[[#This Row],[فی]]*bargiri[[#This Row],[میزان بارگیری شده]]</f>
        <v>3010392000</v>
      </c>
    </row>
    <row r="1632" spans="1:11" ht="18.600000000000001">
      <c r="A1632" s="360" t="s">
        <v>611</v>
      </c>
      <c r="B1632" s="360" t="s">
        <v>98</v>
      </c>
      <c r="C1632" s="355" t="s">
        <v>541</v>
      </c>
      <c r="D1632">
        <v>195</v>
      </c>
      <c r="E1632" s="143">
        <v>151200</v>
      </c>
      <c r="F1632" s="117">
        <v>1404</v>
      </c>
      <c r="G1632" s="360" t="s">
        <v>304</v>
      </c>
      <c r="H1632" s="144">
        <f>bargiri[[#This Row],[میزان بارگیری شده]]*bargiri[[#This Row],[فی]]</f>
        <v>29484000</v>
      </c>
      <c r="I1632" s="360">
        <f>IF(year=bargiri[[#This Row],[سال]],1,0)</f>
        <v>0</v>
      </c>
      <c r="J1632" s="360" t="str">
        <f>VLOOKUP(bargiri[[#This Row],[شماره پیش فاکتور]],invoice[],16,0)</f>
        <v>بورس</v>
      </c>
      <c r="K1632" s="252">
        <f>bargiri[[#This Row],[فی]]*bargiri[[#This Row],[میزان بارگیری شده]]</f>
        <v>29484000</v>
      </c>
    </row>
    <row r="1633" spans="1:11" ht="18.600000000000001">
      <c r="A1633" s="360" t="s">
        <v>611</v>
      </c>
      <c r="B1633" s="360" t="s">
        <v>99</v>
      </c>
      <c r="C1633" s="355" t="s">
        <v>12</v>
      </c>
      <c r="D1633">
        <v>18955</v>
      </c>
      <c r="E1633" s="143">
        <v>86500</v>
      </c>
      <c r="F1633" s="117">
        <v>1404</v>
      </c>
      <c r="G1633" s="360" t="s">
        <v>304</v>
      </c>
      <c r="H1633" s="144">
        <f>bargiri[[#This Row],[میزان بارگیری شده]]*bargiri[[#This Row],[فی]]</f>
        <v>1639607500</v>
      </c>
      <c r="I1633" s="360">
        <f>IF(year=bargiri[[#This Row],[سال]],1,0)</f>
        <v>0</v>
      </c>
      <c r="J1633" s="360" t="str">
        <f>VLOOKUP(bargiri[[#This Row],[شماره پیش فاکتور]],invoice[],16,0)</f>
        <v>عادی</v>
      </c>
      <c r="K1633" s="252">
        <f>bargiri[[#This Row],[فی]]*bargiri[[#This Row],[میزان بارگیری شده]]</f>
        <v>1639607500</v>
      </c>
    </row>
    <row r="1634" spans="1:11" ht="18.600000000000001">
      <c r="A1634" s="360" t="s">
        <v>611</v>
      </c>
      <c r="B1634" s="360" t="s">
        <v>118</v>
      </c>
      <c r="C1634" s="355" t="s">
        <v>84</v>
      </c>
      <c r="D1634">
        <v>20430</v>
      </c>
      <c r="E1634" s="143">
        <v>57273</v>
      </c>
      <c r="F1634" s="117">
        <v>1404</v>
      </c>
      <c r="G1634" s="360" t="s">
        <v>304</v>
      </c>
      <c r="H1634" s="144">
        <f>bargiri[[#This Row],[میزان بارگیری شده]]*bargiri[[#This Row],[فی]]</f>
        <v>1170087390</v>
      </c>
      <c r="I1634" s="360">
        <f>IF(year=bargiri[[#This Row],[سال]],1,0)</f>
        <v>0</v>
      </c>
      <c r="J1634" s="360" t="str">
        <f>VLOOKUP(bargiri[[#This Row],[شماره پیش فاکتور]],invoice[],16,0)</f>
        <v>عادی</v>
      </c>
      <c r="K1634" s="252">
        <f>bargiri[[#This Row],[فی]]*bargiri[[#This Row],[میزان بارگیری شده]]</f>
        <v>1170087390</v>
      </c>
    </row>
    <row r="1635" spans="1:11" ht="18.600000000000001">
      <c r="A1635" s="360" t="s">
        <v>611</v>
      </c>
      <c r="B1635" s="360" t="s">
        <v>118</v>
      </c>
      <c r="C1635" s="355" t="s">
        <v>84</v>
      </c>
      <c r="D1635">
        <v>20505</v>
      </c>
      <c r="E1635" s="143">
        <v>57273</v>
      </c>
      <c r="F1635" s="117">
        <v>1404</v>
      </c>
      <c r="G1635" s="360" t="s">
        <v>304</v>
      </c>
      <c r="H1635" s="144">
        <f>bargiri[[#This Row],[میزان بارگیری شده]]*bargiri[[#This Row],[فی]]</f>
        <v>1174382865</v>
      </c>
      <c r="I1635" s="360">
        <f>IF(year=bargiri[[#This Row],[سال]],1,0)</f>
        <v>0</v>
      </c>
      <c r="J1635" s="360" t="str">
        <f>VLOOKUP(bargiri[[#This Row],[شماره پیش فاکتور]],invoice[],16,0)</f>
        <v>عادی</v>
      </c>
      <c r="K1635" s="252">
        <f>bargiri[[#This Row],[فی]]*bargiri[[#This Row],[میزان بارگیری شده]]</f>
        <v>1174382865</v>
      </c>
    </row>
    <row r="1636" spans="1:11" ht="18.600000000000001">
      <c r="A1636" s="360" t="s">
        <v>611</v>
      </c>
      <c r="B1636" s="360" t="s">
        <v>114</v>
      </c>
      <c r="C1636" s="355" t="s">
        <v>62</v>
      </c>
      <c r="D1636">
        <v>22105</v>
      </c>
      <c r="E1636" s="143">
        <v>75000</v>
      </c>
      <c r="F1636" s="117">
        <v>1404</v>
      </c>
      <c r="G1636" s="360" t="s">
        <v>304</v>
      </c>
      <c r="H1636" s="144">
        <f>bargiri[[#This Row],[میزان بارگیری شده]]*bargiri[[#This Row],[فی]]</f>
        <v>1657875000</v>
      </c>
      <c r="I1636" s="360">
        <f>IF(year=bargiri[[#This Row],[سال]],1,0)</f>
        <v>0</v>
      </c>
      <c r="J1636" s="360" t="str">
        <f>VLOOKUP(bargiri[[#This Row],[شماره پیش فاکتور]],invoice[],16,0)</f>
        <v>عادی</v>
      </c>
      <c r="K1636" s="252">
        <f>bargiri[[#This Row],[فی]]*bargiri[[#This Row],[میزان بارگیری شده]]</f>
        <v>1657875000</v>
      </c>
    </row>
    <row r="1637" spans="1:11" ht="18.600000000000001">
      <c r="A1637" s="360" t="s">
        <v>611</v>
      </c>
      <c r="B1637" s="360" t="s">
        <v>99</v>
      </c>
      <c r="C1637" s="355" t="s">
        <v>12</v>
      </c>
      <c r="D1637">
        <v>18870</v>
      </c>
      <c r="E1637" s="143">
        <v>86500</v>
      </c>
      <c r="F1637" s="117">
        <v>1404</v>
      </c>
      <c r="G1637" s="360" t="s">
        <v>304</v>
      </c>
      <c r="H1637" s="144">
        <f>bargiri[[#This Row],[میزان بارگیری شده]]*bargiri[[#This Row],[فی]]</f>
        <v>1632255000</v>
      </c>
      <c r="I1637" s="360">
        <f>IF(year=bargiri[[#This Row],[سال]],1,0)</f>
        <v>0</v>
      </c>
      <c r="J1637" s="360" t="str">
        <f>VLOOKUP(bargiri[[#This Row],[شماره پیش فاکتور]],invoice[],16,0)</f>
        <v>عادی</v>
      </c>
      <c r="K1637" s="252">
        <f>bargiri[[#This Row],[فی]]*bargiri[[#This Row],[میزان بارگیری شده]]</f>
        <v>1632255000</v>
      </c>
    </row>
    <row r="1638" spans="1:11" ht="18.600000000000001">
      <c r="A1638" s="360" t="s">
        <v>604</v>
      </c>
      <c r="B1638" s="360" t="s">
        <v>114</v>
      </c>
      <c r="C1638" s="355" t="s">
        <v>62</v>
      </c>
      <c r="D1638">
        <v>22060</v>
      </c>
      <c r="E1638" s="143">
        <v>75000</v>
      </c>
      <c r="F1638" s="117">
        <v>1404</v>
      </c>
      <c r="G1638" s="360" t="s">
        <v>304</v>
      </c>
      <c r="H1638" s="144">
        <f>bargiri[[#This Row],[میزان بارگیری شده]]*bargiri[[#This Row],[فی]]</f>
        <v>1654500000</v>
      </c>
      <c r="I1638" s="360">
        <f>IF(year=bargiri[[#This Row],[سال]],1,0)</f>
        <v>0</v>
      </c>
      <c r="J1638" s="360" t="str">
        <f>VLOOKUP(bargiri[[#This Row],[شماره پیش فاکتور]],invoice[],16,0)</f>
        <v>عادی</v>
      </c>
      <c r="K1638" s="252">
        <f>bargiri[[#This Row],[فی]]*bargiri[[#This Row],[میزان بارگیری شده]]</f>
        <v>1654500000</v>
      </c>
    </row>
    <row r="1639" spans="1:11" ht="18.600000000000001">
      <c r="A1639" s="360" t="s">
        <v>605</v>
      </c>
      <c r="B1639" s="360" t="s">
        <v>102</v>
      </c>
      <c r="C1639" s="355" t="s">
        <v>24</v>
      </c>
      <c r="D1639">
        <v>11445</v>
      </c>
      <c r="E1639" s="143">
        <v>70000</v>
      </c>
      <c r="F1639" s="117">
        <v>1404</v>
      </c>
      <c r="G1639" s="360" t="s">
        <v>311</v>
      </c>
      <c r="H1639" s="144">
        <f>bargiri[[#This Row],[میزان بارگیری شده]]*bargiri[[#This Row],[فی]]</f>
        <v>801150000</v>
      </c>
      <c r="I1639" s="360">
        <f>IF(year=bargiri[[#This Row],[سال]],1,0)</f>
        <v>0</v>
      </c>
      <c r="J1639" s="360" t="str">
        <f>VLOOKUP(bargiri[[#This Row],[شماره پیش فاکتور]],invoice[],16,0)</f>
        <v>عادی</v>
      </c>
      <c r="K1639" s="252">
        <f>bargiri[[#This Row],[فی]]*bargiri[[#This Row],[میزان بارگیری شده]]</f>
        <v>801150000</v>
      </c>
    </row>
    <row r="1640" spans="1:11" ht="18.600000000000001">
      <c r="A1640" s="360" t="s">
        <v>606</v>
      </c>
      <c r="B1640" s="360" t="s">
        <v>116</v>
      </c>
      <c r="C1640" s="355" t="s">
        <v>565</v>
      </c>
      <c r="D1640">
        <v>20025</v>
      </c>
      <c r="E1640" s="143">
        <v>142000</v>
      </c>
      <c r="F1640" s="117">
        <v>1404</v>
      </c>
      <c r="G1640" s="360" t="s">
        <v>311</v>
      </c>
      <c r="H1640" s="144">
        <f>bargiri[[#This Row],[میزان بارگیری شده]]*bargiri[[#This Row],[فی]]</f>
        <v>2843550000</v>
      </c>
      <c r="I1640" s="360">
        <f>IF(year=bargiri[[#This Row],[سال]],1,0)</f>
        <v>0</v>
      </c>
      <c r="J1640" s="360" t="str">
        <f>VLOOKUP(bargiri[[#This Row],[شماره پیش فاکتور]],invoice[],16,0)</f>
        <v>انجمن</v>
      </c>
      <c r="K1640" s="252">
        <f>bargiri[[#This Row],[فی]]*bargiri[[#This Row],[میزان بارگیری شده]]</f>
        <v>2843550000</v>
      </c>
    </row>
    <row r="1641" spans="1:11" ht="18.600000000000001">
      <c r="A1641" s="360" t="s">
        <v>607</v>
      </c>
      <c r="B1641" s="360" t="s">
        <v>117</v>
      </c>
      <c r="C1641" s="355" t="s">
        <v>566</v>
      </c>
      <c r="D1641">
        <v>20055</v>
      </c>
      <c r="E1641" s="143">
        <v>142000</v>
      </c>
      <c r="F1641" s="117">
        <v>1404</v>
      </c>
      <c r="G1641" s="360" t="s">
        <v>311</v>
      </c>
      <c r="H1641" s="144">
        <f>bargiri[[#This Row],[میزان بارگیری شده]]*bargiri[[#This Row],[فی]]</f>
        <v>2847810000</v>
      </c>
      <c r="I1641" s="360">
        <f>IF(year=bargiri[[#This Row],[سال]],1,0)</f>
        <v>0</v>
      </c>
      <c r="J1641" s="360" t="str">
        <f>VLOOKUP(bargiri[[#This Row],[شماره پیش فاکتور]],invoice[],16,0)</f>
        <v>انجمن</v>
      </c>
      <c r="K1641" s="252">
        <f>bargiri[[#This Row],[فی]]*bargiri[[#This Row],[میزان بارگیری شده]]</f>
        <v>2847810000</v>
      </c>
    </row>
    <row r="1642" spans="1:11" ht="18.600000000000001">
      <c r="A1642" s="360" t="s">
        <v>596</v>
      </c>
      <c r="B1642" s="360" t="s">
        <v>116</v>
      </c>
      <c r="C1642" s="355" t="s">
        <v>565</v>
      </c>
      <c r="D1642">
        <v>8125</v>
      </c>
      <c r="E1642" s="143">
        <v>142000</v>
      </c>
      <c r="F1642" s="117">
        <v>1404</v>
      </c>
      <c r="G1642" s="360" t="s">
        <v>311</v>
      </c>
      <c r="H1642" s="144">
        <f>bargiri[[#This Row],[میزان بارگیری شده]]*bargiri[[#This Row],[فی]]</f>
        <v>1153750000</v>
      </c>
      <c r="I1642" s="360">
        <f>IF(year=bargiri[[#This Row],[سال]],1,0)</f>
        <v>0</v>
      </c>
      <c r="J1642" s="360" t="str">
        <f>VLOOKUP(bargiri[[#This Row],[شماره پیش فاکتور]],invoice[],16,0)</f>
        <v>انجمن</v>
      </c>
      <c r="K1642" s="252">
        <f>bargiri[[#This Row],[فی]]*bargiri[[#This Row],[میزان بارگیری شده]]</f>
        <v>1153750000</v>
      </c>
    </row>
    <row r="1643" spans="1:11" ht="18.600000000000001">
      <c r="A1643" s="360" t="s">
        <v>596</v>
      </c>
      <c r="B1643" s="360" t="s">
        <v>116</v>
      </c>
      <c r="C1643" s="355" t="s">
        <v>565</v>
      </c>
      <c r="D1643">
        <v>18835</v>
      </c>
      <c r="E1643" s="143">
        <v>142000</v>
      </c>
      <c r="F1643" s="117">
        <v>1404</v>
      </c>
      <c r="G1643" s="360" t="s">
        <v>311</v>
      </c>
      <c r="H1643" s="144">
        <f>bargiri[[#This Row],[میزان بارگیری شده]]*bargiri[[#This Row],[فی]]</f>
        <v>2674570000</v>
      </c>
      <c r="I1643" s="360">
        <f>IF(year=bargiri[[#This Row],[سال]],1,0)</f>
        <v>0</v>
      </c>
      <c r="J1643" s="360" t="str">
        <f>VLOOKUP(bargiri[[#This Row],[شماره پیش فاکتور]],invoice[],16,0)</f>
        <v>انجمن</v>
      </c>
      <c r="K1643" s="252">
        <f>bargiri[[#This Row],[فی]]*bargiri[[#This Row],[میزان بارگیری شده]]</f>
        <v>2674570000</v>
      </c>
    </row>
    <row r="1644" spans="1:11" ht="18.600000000000001">
      <c r="A1644" s="360" t="s">
        <v>597</v>
      </c>
      <c r="B1644" s="360" t="s">
        <v>116</v>
      </c>
      <c r="C1644" s="355" t="s">
        <v>565</v>
      </c>
      <c r="D1644">
        <v>15085</v>
      </c>
      <c r="E1644" s="143">
        <v>142000</v>
      </c>
      <c r="F1644" s="117">
        <v>1404</v>
      </c>
      <c r="G1644" s="360" t="s">
        <v>311</v>
      </c>
      <c r="H1644" s="144">
        <f>bargiri[[#This Row],[میزان بارگیری شده]]*bargiri[[#This Row],[فی]]</f>
        <v>2142070000</v>
      </c>
      <c r="I1644" s="360">
        <f>IF(year=bargiri[[#This Row],[سال]],1,0)</f>
        <v>0</v>
      </c>
      <c r="J1644" s="360" t="str">
        <f>VLOOKUP(bargiri[[#This Row],[شماره پیش فاکتور]],invoice[],16,0)</f>
        <v>انجمن</v>
      </c>
      <c r="K1644" s="252">
        <f>bargiri[[#This Row],[فی]]*bargiri[[#This Row],[میزان بارگیری شده]]</f>
        <v>2142070000</v>
      </c>
    </row>
    <row r="1645" spans="1:11" ht="18.600000000000001">
      <c r="A1645" s="360" t="s">
        <v>597</v>
      </c>
      <c r="B1645" s="360" t="s">
        <v>116</v>
      </c>
      <c r="C1645" s="355" t="s">
        <v>564</v>
      </c>
      <c r="D1645">
        <v>3535</v>
      </c>
      <c r="E1645" s="143">
        <v>142000</v>
      </c>
      <c r="F1645" s="117">
        <v>1404</v>
      </c>
      <c r="G1645" s="360" t="s">
        <v>311</v>
      </c>
      <c r="H1645" s="144">
        <f>bargiri[[#This Row],[میزان بارگیری شده]]*bargiri[[#This Row],[فی]]</f>
        <v>501970000</v>
      </c>
      <c r="I1645" s="360">
        <f>IF(year=bargiri[[#This Row],[سال]],1,0)</f>
        <v>0</v>
      </c>
      <c r="J1645" s="360" t="str">
        <f>VLOOKUP(bargiri[[#This Row],[شماره پیش فاکتور]],invoice[],16,0)</f>
        <v>انجمن</v>
      </c>
      <c r="K1645" s="252">
        <f>bargiri[[#This Row],[فی]]*bargiri[[#This Row],[میزان بارگیری شده]]</f>
        <v>501970000</v>
      </c>
    </row>
    <row r="1646" spans="1:11" ht="18.600000000000001">
      <c r="A1646" s="360" t="s">
        <v>597</v>
      </c>
      <c r="B1646" s="360" t="s">
        <v>116</v>
      </c>
      <c r="C1646" s="355" t="s">
        <v>565</v>
      </c>
      <c r="D1646">
        <v>16465</v>
      </c>
      <c r="E1646" s="143">
        <v>142000</v>
      </c>
      <c r="F1646" s="117">
        <v>1404</v>
      </c>
      <c r="G1646" s="360" t="s">
        <v>311</v>
      </c>
      <c r="H1646" s="144">
        <f>bargiri[[#This Row],[میزان بارگیری شده]]*bargiri[[#This Row],[فی]]</f>
        <v>2338030000</v>
      </c>
      <c r="I1646" s="360">
        <f>IF(year=bargiri[[#This Row],[سال]],1,0)</f>
        <v>0</v>
      </c>
      <c r="J1646" s="360" t="str">
        <f>VLOOKUP(bargiri[[#This Row],[شماره پیش فاکتور]],invoice[],16,0)</f>
        <v>انجمن</v>
      </c>
      <c r="K1646" s="252">
        <f>bargiri[[#This Row],[فی]]*bargiri[[#This Row],[میزان بارگیری شده]]</f>
        <v>2338030000</v>
      </c>
    </row>
    <row r="1647" spans="1:11" ht="18.600000000000001">
      <c r="A1647" s="360" t="s">
        <v>597</v>
      </c>
      <c r="B1647" s="360" t="s">
        <v>109</v>
      </c>
      <c r="C1647" s="355" t="s">
        <v>563</v>
      </c>
      <c r="D1647">
        <v>7305</v>
      </c>
      <c r="E1647" s="143">
        <v>142000</v>
      </c>
      <c r="F1647" s="117">
        <v>1404</v>
      </c>
      <c r="G1647" s="360" t="s">
        <v>311</v>
      </c>
      <c r="H1647" s="144">
        <f>bargiri[[#This Row],[میزان بارگیری شده]]*bargiri[[#This Row],[فی]]</f>
        <v>1037310000</v>
      </c>
      <c r="I1647" s="360">
        <f>IF(year=bargiri[[#This Row],[سال]],1,0)</f>
        <v>0</v>
      </c>
      <c r="J1647" s="360" t="str">
        <f>VLOOKUP(bargiri[[#This Row],[شماره پیش فاکتور]],invoice[],16,0)</f>
        <v>انجمن</v>
      </c>
      <c r="K1647" s="252">
        <f>bargiri[[#This Row],[فی]]*bargiri[[#This Row],[میزان بارگیری شده]]</f>
        <v>1037310000</v>
      </c>
    </row>
    <row r="1648" spans="1:11" ht="18.600000000000001">
      <c r="A1648" s="360" t="s">
        <v>598</v>
      </c>
      <c r="B1648" s="360" t="s">
        <v>116</v>
      </c>
      <c r="C1648" s="355" t="s">
        <v>564</v>
      </c>
      <c r="D1648">
        <v>20115</v>
      </c>
      <c r="E1648" s="143">
        <v>142000</v>
      </c>
      <c r="F1648" s="117">
        <v>1404</v>
      </c>
      <c r="G1648" s="360" t="s">
        <v>311</v>
      </c>
      <c r="H1648" s="144">
        <f>bargiri[[#This Row],[میزان بارگیری شده]]*bargiri[[#This Row],[فی]]</f>
        <v>2856330000</v>
      </c>
      <c r="I1648" s="360">
        <f>IF(year=bargiri[[#This Row],[سال]],1,0)</f>
        <v>0</v>
      </c>
      <c r="J1648" s="360" t="str">
        <f>VLOOKUP(bargiri[[#This Row],[شماره پیش فاکتور]],invoice[],16,0)</f>
        <v>انجمن</v>
      </c>
      <c r="K1648" s="252">
        <f>bargiri[[#This Row],[فی]]*bargiri[[#This Row],[میزان بارگیری شده]]</f>
        <v>2856330000</v>
      </c>
    </row>
    <row r="1649" spans="1:11" ht="18.600000000000001">
      <c r="A1649" s="360" t="s">
        <v>599</v>
      </c>
      <c r="B1649" s="360" t="s">
        <v>109</v>
      </c>
      <c r="C1649" s="355" t="s">
        <v>563</v>
      </c>
      <c r="D1649">
        <v>7500</v>
      </c>
      <c r="E1649" s="143">
        <v>142000</v>
      </c>
      <c r="F1649" s="117">
        <v>1404</v>
      </c>
      <c r="G1649" s="360" t="s">
        <v>311</v>
      </c>
      <c r="H1649" s="144">
        <f>bargiri[[#This Row],[میزان بارگیری شده]]*bargiri[[#This Row],[فی]]</f>
        <v>1065000000</v>
      </c>
      <c r="I1649" s="360">
        <f>IF(year=bargiri[[#This Row],[سال]],1,0)</f>
        <v>0</v>
      </c>
      <c r="J1649" s="360" t="str">
        <f>VLOOKUP(bargiri[[#This Row],[شماره پیش فاکتور]],invoice[],16,0)</f>
        <v>انجمن</v>
      </c>
      <c r="K1649" s="252">
        <f>bargiri[[#This Row],[فی]]*bargiri[[#This Row],[میزان بارگیری شده]]</f>
        <v>1065000000</v>
      </c>
    </row>
    <row r="1650" spans="1:11" ht="18.600000000000001">
      <c r="A1650" s="360" t="s">
        <v>599</v>
      </c>
      <c r="B1650" s="360" t="s">
        <v>109</v>
      </c>
      <c r="C1650" s="355" t="s">
        <v>563</v>
      </c>
      <c r="D1650">
        <v>6670</v>
      </c>
      <c r="E1650" s="143">
        <v>142000</v>
      </c>
      <c r="F1650" s="117">
        <v>1404</v>
      </c>
      <c r="G1650" s="360" t="s">
        <v>311</v>
      </c>
      <c r="H1650" s="144">
        <f>bargiri[[#This Row],[میزان بارگیری شده]]*bargiri[[#This Row],[فی]]</f>
        <v>947140000</v>
      </c>
      <c r="I1650" s="360">
        <f>IF(year=bargiri[[#This Row],[سال]],1,0)</f>
        <v>0</v>
      </c>
      <c r="J1650" s="360" t="str">
        <f>VLOOKUP(bargiri[[#This Row],[شماره پیش فاکتور]],invoice[],16,0)</f>
        <v>انجمن</v>
      </c>
      <c r="K1650" s="252">
        <f>bargiri[[#This Row],[فی]]*bargiri[[#This Row],[میزان بارگیری شده]]</f>
        <v>947140000</v>
      </c>
    </row>
    <row r="1651" spans="1:11" ht="18.600000000000001">
      <c r="A1651" s="360" t="s">
        <v>599</v>
      </c>
      <c r="B1651" s="360" t="s">
        <v>102</v>
      </c>
      <c r="C1651" s="355" t="s">
        <v>24</v>
      </c>
      <c r="D1651">
        <v>11520</v>
      </c>
      <c r="E1651" s="143">
        <v>70000</v>
      </c>
      <c r="F1651" s="117">
        <v>1404</v>
      </c>
      <c r="G1651" s="360" t="s">
        <v>311</v>
      </c>
      <c r="H1651" s="144">
        <f>bargiri[[#This Row],[میزان بارگیری شده]]*bargiri[[#This Row],[فی]]</f>
        <v>806400000</v>
      </c>
      <c r="I1651" s="360">
        <f>IF(year=bargiri[[#This Row],[سال]],1,0)</f>
        <v>0</v>
      </c>
      <c r="J1651" s="360" t="str">
        <f>VLOOKUP(bargiri[[#This Row],[شماره پیش فاکتور]],invoice[],16,0)</f>
        <v>عادی</v>
      </c>
      <c r="K1651" s="252">
        <f>bargiri[[#This Row],[فی]]*bargiri[[#This Row],[میزان بارگیری شده]]</f>
        <v>806400000</v>
      </c>
    </row>
    <row r="1652" spans="1:11" ht="18.600000000000001">
      <c r="A1652" s="360" t="s">
        <v>600</v>
      </c>
      <c r="B1652" s="360" t="s">
        <v>106</v>
      </c>
      <c r="C1652" s="355" t="s">
        <v>44</v>
      </c>
      <c r="D1652">
        <v>18690</v>
      </c>
      <c r="E1652" s="143">
        <v>80000</v>
      </c>
      <c r="F1652" s="117">
        <v>1404</v>
      </c>
      <c r="G1652" s="360" t="s">
        <v>311</v>
      </c>
      <c r="H1652" s="144">
        <f>bargiri[[#This Row],[میزان بارگیری شده]]*bargiri[[#This Row],[فی]]</f>
        <v>1495200000</v>
      </c>
      <c r="I1652" s="360">
        <f>IF(year=bargiri[[#This Row],[سال]],1,0)</f>
        <v>0</v>
      </c>
      <c r="J1652" s="360" t="str">
        <f>VLOOKUP(bargiri[[#This Row],[شماره پیش فاکتور]],invoice[],16,0)</f>
        <v>عادی</v>
      </c>
      <c r="K1652" s="252">
        <f>bargiri[[#This Row],[فی]]*bargiri[[#This Row],[میزان بارگیری شده]]</f>
        <v>1495200000</v>
      </c>
    </row>
    <row r="1653" spans="1:11" ht="18.600000000000001">
      <c r="A1653" s="360" t="s">
        <v>600</v>
      </c>
      <c r="B1653" s="360" t="s">
        <v>122</v>
      </c>
      <c r="C1653" s="355" t="s">
        <v>568</v>
      </c>
      <c r="D1653">
        <v>22840</v>
      </c>
      <c r="E1653" s="143">
        <v>142000</v>
      </c>
      <c r="F1653" s="117">
        <v>1404</v>
      </c>
      <c r="G1653" s="360" t="s">
        <v>311</v>
      </c>
      <c r="H1653" s="144">
        <f>bargiri[[#This Row],[میزان بارگیری شده]]*bargiri[[#This Row],[فی]]</f>
        <v>3243280000</v>
      </c>
      <c r="I1653" s="360">
        <f>IF(year=bargiri[[#This Row],[سال]],1,0)</f>
        <v>0</v>
      </c>
      <c r="J1653" s="360" t="str">
        <f>VLOOKUP(bargiri[[#This Row],[شماره پیش فاکتور]],invoice[],16,0)</f>
        <v>انجمن</v>
      </c>
      <c r="K1653" s="252">
        <f>bargiri[[#This Row],[فی]]*bargiri[[#This Row],[میزان بارگیری شده]]</f>
        <v>3243280000</v>
      </c>
    </row>
    <row r="1654" spans="1:11" ht="18.600000000000001">
      <c r="A1654" s="360" t="s">
        <v>600</v>
      </c>
      <c r="B1654" s="360" t="s">
        <v>109</v>
      </c>
      <c r="C1654" s="355" t="s">
        <v>563</v>
      </c>
      <c r="D1654">
        <v>19770</v>
      </c>
      <c r="E1654" s="143">
        <v>142000</v>
      </c>
      <c r="F1654" s="117">
        <v>1404</v>
      </c>
      <c r="G1654" s="360" t="s">
        <v>311</v>
      </c>
      <c r="H1654" s="144">
        <f>bargiri[[#This Row],[میزان بارگیری شده]]*bargiri[[#This Row],[فی]]</f>
        <v>2807340000</v>
      </c>
      <c r="I1654" s="360">
        <f>IF(year=bargiri[[#This Row],[سال]],1,0)</f>
        <v>0</v>
      </c>
      <c r="J1654" s="360" t="str">
        <f>VLOOKUP(bargiri[[#This Row],[شماره پیش فاکتور]],invoice[],16,0)</f>
        <v>انجمن</v>
      </c>
      <c r="K1654" s="252">
        <f>bargiri[[#This Row],[فی]]*bargiri[[#This Row],[میزان بارگیری شده]]</f>
        <v>2807340000</v>
      </c>
    </row>
    <row r="1655" spans="1:11" ht="18.600000000000001">
      <c r="A1655" s="360" t="s">
        <v>600</v>
      </c>
      <c r="B1655" s="360" t="s">
        <v>116</v>
      </c>
      <c r="C1655" s="355" t="s">
        <v>564</v>
      </c>
      <c r="D1655">
        <v>19945</v>
      </c>
      <c r="E1655" s="143">
        <v>142000</v>
      </c>
      <c r="F1655" s="117">
        <v>1404</v>
      </c>
      <c r="G1655" s="360" t="s">
        <v>311</v>
      </c>
      <c r="H1655" s="144">
        <f>bargiri[[#This Row],[میزان بارگیری شده]]*bargiri[[#This Row],[فی]]</f>
        <v>2832190000</v>
      </c>
      <c r="I1655" s="360">
        <f>IF(year=bargiri[[#This Row],[سال]],1,0)</f>
        <v>0</v>
      </c>
      <c r="J1655" s="360" t="str">
        <f>VLOOKUP(bargiri[[#This Row],[شماره پیش فاکتور]],invoice[],16,0)</f>
        <v>انجمن</v>
      </c>
      <c r="K1655" s="252">
        <f>bargiri[[#This Row],[فی]]*bargiri[[#This Row],[میزان بارگیری شده]]</f>
        <v>2832190000</v>
      </c>
    </row>
    <row r="1656" spans="1:11" ht="18.600000000000001">
      <c r="A1656" s="360" t="s">
        <v>601</v>
      </c>
      <c r="B1656" s="360" t="s">
        <v>116</v>
      </c>
      <c r="C1656" s="355" t="s">
        <v>564</v>
      </c>
      <c r="D1656">
        <v>19990</v>
      </c>
      <c r="E1656" s="143">
        <v>142000</v>
      </c>
      <c r="F1656" s="117">
        <v>1404</v>
      </c>
      <c r="G1656" s="360" t="s">
        <v>311</v>
      </c>
      <c r="H1656" s="144">
        <f>bargiri[[#This Row],[میزان بارگیری شده]]*bargiri[[#This Row],[فی]]</f>
        <v>2838580000</v>
      </c>
      <c r="I1656" s="360">
        <f>IF(year=bargiri[[#This Row],[سال]],1,0)</f>
        <v>0</v>
      </c>
      <c r="J1656" s="360" t="str">
        <f>VLOOKUP(bargiri[[#This Row],[شماره پیش فاکتور]],invoice[],16,0)</f>
        <v>انجمن</v>
      </c>
      <c r="K1656" s="252">
        <f>bargiri[[#This Row],[فی]]*bargiri[[#This Row],[میزان بارگیری شده]]</f>
        <v>2838580000</v>
      </c>
    </row>
    <row r="1657" spans="1:11" ht="18.600000000000001">
      <c r="A1657" s="360" t="s">
        <v>600</v>
      </c>
      <c r="B1657" s="360" t="s">
        <v>106</v>
      </c>
      <c r="C1657" s="355" t="s">
        <v>44</v>
      </c>
      <c r="D1657">
        <v>22385</v>
      </c>
      <c r="E1657" s="143">
        <v>80000</v>
      </c>
      <c r="F1657" s="117">
        <v>1404</v>
      </c>
      <c r="G1657" s="360" t="s">
        <v>311</v>
      </c>
      <c r="H1657" s="144">
        <f>bargiri[[#This Row],[میزان بارگیری شده]]*bargiri[[#This Row],[فی]]</f>
        <v>1790800000</v>
      </c>
      <c r="I1657" s="360">
        <f>IF(year=bargiri[[#This Row],[سال]],1,0)</f>
        <v>0</v>
      </c>
      <c r="J1657" s="360" t="str">
        <f>VLOOKUP(bargiri[[#This Row],[شماره پیش فاکتور]],invoice[],16,0)</f>
        <v>عادی</v>
      </c>
      <c r="K1657" s="252">
        <f>bargiri[[#This Row],[فی]]*bargiri[[#This Row],[میزان بارگیری شده]]</f>
        <v>1790800000</v>
      </c>
    </row>
    <row r="1658" spans="1:11" ht="18.600000000000001">
      <c r="A1658" s="360" t="s">
        <v>600</v>
      </c>
      <c r="B1658" s="360" t="s">
        <v>104</v>
      </c>
      <c r="C1658" s="355" t="s">
        <v>562</v>
      </c>
      <c r="D1658">
        <v>18020</v>
      </c>
      <c r="E1658" s="143">
        <v>142000</v>
      </c>
      <c r="F1658" s="117">
        <v>1404</v>
      </c>
      <c r="G1658" s="360" t="s">
        <v>311</v>
      </c>
      <c r="H1658" s="144">
        <f>bargiri[[#This Row],[میزان بارگیری شده]]*bargiri[[#This Row],[فی]]</f>
        <v>2558840000</v>
      </c>
      <c r="I1658" s="360">
        <f>IF(year=bargiri[[#This Row],[سال]],1,0)</f>
        <v>0</v>
      </c>
      <c r="J1658" s="360" t="str">
        <f>VLOOKUP(bargiri[[#This Row],[شماره پیش فاکتور]],invoice[],16,0)</f>
        <v>انجمن</v>
      </c>
      <c r="K1658" s="252">
        <f>bargiri[[#This Row],[فی]]*bargiri[[#This Row],[میزان بارگیری شده]]</f>
        <v>2558840000</v>
      </c>
    </row>
    <row r="1659" spans="1:11" ht="18.600000000000001">
      <c r="A1659" s="360" t="s">
        <v>601</v>
      </c>
      <c r="B1659" s="360" t="s">
        <v>102</v>
      </c>
      <c r="C1659" s="355" t="s">
        <v>24</v>
      </c>
      <c r="D1659">
        <v>10625</v>
      </c>
      <c r="E1659" s="143">
        <v>70000</v>
      </c>
      <c r="F1659" s="117">
        <v>1404</v>
      </c>
      <c r="G1659" s="360" t="s">
        <v>311</v>
      </c>
      <c r="H1659" s="144">
        <f>bargiri[[#This Row],[میزان بارگیری شده]]*bargiri[[#This Row],[فی]]</f>
        <v>743750000</v>
      </c>
      <c r="I1659" s="360">
        <f>IF(year=bargiri[[#This Row],[سال]],1,0)</f>
        <v>0</v>
      </c>
      <c r="J1659" s="360" t="str">
        <f>VLOOKUP(bargiri[[#This Row],[شماره پیش فاکتور]],invoice[],16,0)</f>
        <v>عادی</v>
      </c>
      <c r="K1659" s="252">
        <f>bargiri[[#This Row],[فی]]*bargiri[[#This Row],[میزان بارگیری شده]]</f>
        <v>743750000</v>
      </c>
    </row>
    <row r="1660" spans="1:11" ht="18.600000000000001">
      <c r="A1660" s="360" t="s">
        <v>601</v>
      </c>
      <c r="B1660" s="360" t="s">
        <v>101</v>
      </c>
      <c r="C1660" s="355" t="s">
        <v>19</v>
      </c>
      <c r="D1660">
        <v>18050</v>
      </c>
      <c r="E1660" s="143">
        <v>75000</v>
      </c>
      <c r="F1660" s="117">
        <v>1404</v>
      </c>
      <c r="G1660" s="360" t="s">
        <v>311</v>
      </c>
      <c r="H1660" s="144">
        <f>bargiri[[#This Row],[میزان بارگیری شده]]*bargiri[[#This Row],[فی]]</f>
        <v>1353750000</v>
      </c>
      <c r="I1660" s="360">
        <f>IF(year=bargiri[[#This Row],[سال]],1,0)</f>
        <v>0</v>
      </c>
      <c r="J1660" s="360" t="str">
        <f>VLOOKUP(bargiri[[#This Row],[شماره پیش فاکتور]],invoice[],16,0)</f>
        <v>عادی</v>
      </c>
      <c r="K1660" s="252">
        <f>bargiri[[#This Row],[فی]]*bargiri[[#This Row],[میزان بارگیری شده]]</f>
        <v>1353750000</v>
      </c>
    </row>
    <row r="1661" spans="1:11" ht="18.600000000000001">
      <c r="A1661" s="360" t="s">
        <v>601</v>
      </c>
      <c r="B1661" s="360" t="s">
        <v>109</v>
      </c>
      <c r="C1661" s="355" t="s">
        <v>563</v>
      </c>
      <c r="D1661">
        <v>7355</v>
      </c>
      <c r="E1661" s="143">
        <v>142000</v>
      </c>
      <c r="F1661" s="117">
        <v>1404</v>
      </c>
      <c r="G1661" s="360" t="s">
        <v>311</v>
      </c>
      <c r="H1661" s="144">
        <f>bargiri[[#This Row],[میزان بارگیری شده]]*bargiri[[#This Row],[فی]]</f>
        <v>1044410000</v>
      </c>
      <c r="I1661" s="360">
        <f>IF(year=bargiri[[#This Row],[سال]],1,0)</f>
        <v>0</v>
      </c>
      <c r="J1661" s="360" t="str">
        <f>VLOOKUP(bargiri[[#This Row],[شماره پیش فاکتور]],invoice[],16,0)</f>
        <v>انجمن</v>
      </c>
      <c r="K1661" s="252">
        <f>bargiri[[#This Row],[فی]]*bargiri[[#This Row],[میزان بارگیری شده]]</f>
        <v>1044410000</v>
      </c>
    </row>
    <row r="1662" spans="1:11" ht="18.600000000000001">
      <c r="A1662" s="360" t="s">
        <v>601</v>
      </c>
      <c r="B1662" s="360" t="s">
        <v>118</v>
      </c>
      <c r="C1662" s="355" t="s">
        <v>84</v>
      </c>
      <c r="D1662">
        <v>20950</v>
      </c>
      <c r="E1662" s="143">
        <v>57273</v>
      </c>
      <c r="F1662" s="117">
        <v>1404</v>
      </c>
      <c r="G1662" s="360" t="s">
        <v>311</v>
      </c>
      <c r="H1662" s="144">
        <f>bargiri[[#This Row],[میزان بارگیری شده]]*bargiri[[#This Row],[فی]]</f>
        <v>1199869350</v>
      </c>
      <c r="I1662" s="360">
        <f>IF(year=bargiri[[#This Row],[سال]],1,0)</f>
        <v>0</v>
      </c>
      <c r="J1662" s="360" t="str">
        <f>VLOOKUP(bargiri[[#This Row],[شماره پیش فاکتور]],invoice[],16,0)</f>
        <v>عادی</v>
      </c>
      <c r="K1662" s="252">
        <f>bargiri[[#This Row],[فی]]*bargiri[[#This Row],[میزان بارگیری شده]]</f>
        <v>1199869350</v>
      </c>
    </row>
    <row r="1663" spans="1:11" ht="18.600000000000001">
      <c r="A1663" s="360" t="s">
        <v>601</v>
      </c>
      <c r="B1663" s="360" t="s">
        <v>118</v>
      </c>
      <c r="C1663" s="355" t="s">
        <v>84</v>
      </c>
      <c r="D1663">
        <v>20970</v>
      </c>
      <c r="E1663" s="143">
        <v>57273</v>
      </c>
      <c r="F1663" s="117">
        <v>1404</v>
      </c>
      <c r="G1663" s="360" t="s">
        <v>311</v>
      </c>
      <c r="H1663" s="144">
        <f>bargiri[[#This Row],[میزان بارگیری شده]]*bargiri[[#This Row],[فی]]</f>
        <v>1201014810</v>
      </c>
      <c r="I1663" s="360">
        <f>IF(year=bargiri[[#This Row],[سال]],1,0)</f>
        <v>0</v>
      </c>
      <c r="J1663" s="360" t="str">
        <f>VLOOKUP(bargiri[[#This Row],[شماره پیش فاکتور]],invoice[],16,0)</f>
        <v>عادی</v>
      </c>
      <c r="K1663" s="252">
        <f>bargiri[[#This Row],[فی]]*bargiri[[#This Row],[میزان بارگیری شده]]</f>
        <v>1201014810</v>
      </c>
    </row>
    <row r="1664" spans="1:11" ht="18.600000000000001">
      <c r="A1664" s="360" t="s">
        <v>601</v>
      </c>
      <c r="B1664" s="360" t="s">
        <v>123</v>
      </c>
      <c r="C1664" s="355" t="s">
        <v>533</v>
      </c>
      <c r="D1664">
        <v>7805</v>
      </c>
      <c r="E1664" s="143">
        <v>100000</v>
      </c>
      <c r="F1664" s="117">
        <v>1404</v>
      </c>
      <c r="G1664" s="360" t="s">
        <v>311</v>
      </c>
      <c r="H1664" s="144">
        <f>bargiri[[#This Row],[میزان بارگیری شده]]*bargiri[[#This Row],[فی]]</f>
        <v>780500000</v>
      </c>
      <c r="I1664" s="360">
        <f>IF(year=bargiri[[#This Row],[سال]],1,0)</f>
        <v>0</v>
      </c>
      <c r="J1664" s="360" t="str">
        <f>VLOOKUP(bargiri[[#This Row],[شماره پیش فاکتور]],invoice[],16,0)</f>
        <v>عادی</v>
      </c>
      <c r="K1664" s="252">
        <f>bargiri[[#This Row],[فی]]*bargiri[[#This Row],[میزان بارگیری شده]]</f>
        <v>780500000</v>
      </c>
    </row>
    <row r="1665" spans="1:11" ht="18.600000000000001">
      <c r="A1665" s="360" t="s">
        <v>601</v>
      </c>
      <c r="B1665" s="360" t="s">
        <v>113</v>
      </c>
      <c r="C1665" s="355" t="s">
        <v>61</v>
      </c>
      <c r="D1665">
        <v>19955</v>
      </c>
      <c r="E1665" s="143">
        <v>75000</v>
      </c>
      <c r="F1665" s="117">
        <v>1404</v>
      </c>
      <c r="G1665" s="360" t="s">
        <v>311</v>
      </c>
      <c r="H1665" s="144">
        <f>bargiri[[#This Row],[میزان بارگیری شده]]*bargiri[[#This Row],[فی]]</f>
        <v>1496625000</v>
      </c>
      <c r="I1665" s="360">
        <f>IF(year=bargiri[[#This Row],[سال]],1,0)</f>
        <v>0</v>
      </c>
      <c r="J1665" s="360" t="str">
        <f>VLOOKUP(bargiri[[#This Row],[شماره پیش فاکتور]],invoice[],16,0)</f>
        <v>عادی</v>
      </c>
      <c r="K1665" s="252">
        <f>bargiri[[#This Row],[فی]]*bargiri[[#This Row],[میزان بارگیری شده]]</f>
        <v>1496625000</v>
      </c>
    </row>
    <row r="1666" spans="1:11" ht="18.600000000000001">
      <c r="A1666" s="360" t="s">
        <v>601</v>
      </c>
      <c r="B1666" s="360" t="s">
        <v>109</v>
      </c>
      <c r="C1666" s="355" t="s">
        <v>563</v>
      </c>
      <c r="D1666">
        <v>7345</v>
      </c>
      <c r="E1666" s="143">
        <v>142000</v>
      </c>
      <c r="F1666" s="117">
        <v>1404</v>
      </c>
      <c r="G1666" s="360" t="s">
        <v>311</v>
      </c>
      <c r="H1666" s="144">
        <f>bargiri[[#This Row],[میزان بارگیری شده]]*bargiri[[#This Row],[فی]]</f>
        <v>1042990000</v>
      </c>
      <c r="I1666" s="360">
        <f>IF(year=bargiri[[#This Row],[سال]],1,0)</f>
        <v>0</v>
      </c>
      <c r="J1666" s="360" t="str">
        <f>VLOOKUP(bargiri[[#This Row],[شماره پیش فاکتور]],invoice[],16,0)</f>
        <v>انجمن</v>
      </c>
      <c r="K1666" s="252">
        <f>bargiri[[#This Row],[فی]]*bargiri[[#This Row],[میزان بارگیری شده]]</f>
        <v>1042990000</v>
      </c>
    </row>
    <row r="1667" spans="1:11" ht="18.600000000000001">
      <c r="A1667" s="360" t="s">
        <v>601</v>
      </c>
      <c r="B1667" s="360" t="s">
        <v>113</v>
      </c>
      <c r="C1667" s="355" t="s">
        <v>61</v>
      </c>
      <c r="D1667">
        <v>9060</v>
      </c>
      <c r="E1667" s="143">
        <v>75000</v>
      </c>
      <c r="F1667" s="117">
        <v>1404</v>
      </c>
      <c r="G1667" s="360" t="s">
        <v>311</v>
      </c>
      <c r="H1667" s="144">
        <f>bargiri[[#This Row],[میزان بارگیری شده]]*bargiri[[#This Row],[فی]]</f>
        <v>679500000</v>
      </c>
      <c r="I1667" s="360">
        <f>IF(year=bargiri[[#This Row],[سال]],1,0)</f>
        <v>0</v>
      </c>
      <c r="J1667" s="360" t="str">
        <f>VLOOKUP(bargiri[[#This Row],[شماره پیش فاکتور]],invoice[],16,0)</f>
        <v>عادی</v>
      </c>
      <c r="K1667" s="252">
        <f>bargiri[[#This Row],[فی]]*bargiri[[#This Row],[میزان بارگیری شده]]</f>
        <v>679500000</v>
      </c>
    </row>
    <row r="1668" spans="1:11" ht="18.600000000000001">
      <c r="A1668" s="360" t="s">
        <v>602</v>
      </c>
      <c r="B1668" s="360" t="s">
        <v>118</v>
      </c>
      <c r="C1668" s="355" t="s">
        <v>84</v>
      </c>
      <c r="D1668">
        <v>19875</v>
      </c>
      <c r="E1668" s="143">
        <v>57273</v>
      </c>
      <c r="F1668" s="117">
        <v>1404</v>
      </c>
      <c r="G1668" s="360" t="s">
        <v>311</v>
      </c>
      <c r="H1668" s="144">
        <f>bargiri[[#This Row],[میزان بارگیری شده]]*bargiri[[#This Row],[فی]]</f>
        <v>1138300875</v>
      </c>
      <c r="I1668" s="360">
        <f>IF(year=bargiri[[#This Row],[سال]],1,0)</f>
        <v>0</v>
      </c>
      <c r="J1668" s="360" t="str">
        <f>VLOOKUP(bargiri[[#This Row],[شماره پیش فاکتور]],invoice[],16,0)</f>
        <v>عادی</v>
      </c>
      <c r="K1668" s="252">
        <f>bargiri[[#This Row],[فی]]*bargiri[[#This Row],[میزان بارگیری شده]]</f>
        <v>1138300875</v>
      </c>
    </row>
    <row r="1669" spans="1:11" ht="18.600000000000001">
      <c r="A1669" s="360" t="s">
        <v>602</v>
      </c>
      <c r="B1669" s="360" t="s">
        <v>113</v>
      </c>
      <c r="C1669" s="355" t="s">
        <v>61</v>
      </c>
      <c r="D1669">
        <v>18645</v>
      </c>
      <c r="E1669" s="143">
        <v>75000</v>
      </c>
      <c r="F1669" s="117">
        <v>1404</v>
      </c>
      <c r="G1669" s="360" t="s">
        <v>311</v>
      </c>
      <c r="H1669" s="144">
        <f>bargiri[[#This Row],[میزان بارگیری شده]]*bargiri[[#This Row],[فی]]</f>
        <v>1398375000</v>
      </c>
      <c r="I1669" s="360">
        <f>IF(year=bargiri[[#This Row],[سال]],1,0)</f>
        <v>0</v>
      </c>
      <c r="J1669" s="360" t="str">
        <f>VLOOKUP(bargiri[[#This Row],[شماره پیش فاکتور]],invoice[],16,0)</f>
        <v>عادی</v>
      </c>
      <c r="K1669" s="252">
        <f>bargiri[[#This Row],[فی]]*bargiri[[#This Row],[میزان بارگیری شده]]</f>
        <v>1398375000</v>
      </c>
    </row>
    <row r="1670" spans="1:11" ht="18.600000000000001">
      <c r="A1670" s="360" t="s">
        <v>602</v>
      </c>
      <c r="B1670" s="360" t="s">
        <v>109</v>
      </c>
      <c r="C1670" s="355" t="s">
        <v>563</v>
      </c>
      <c r="D1670">
        <v>7570</v>
      </c>
      <c r="E1670" s="143">
        <v>142000</v>
      </c>
      <c r="F1670" s="117">
        <v>1404</v>
      </c>
      <c r="G1670" s="360" t="s">
        <v>311</v>
      </c>
      <c r="H1670" s="144">
        <f>bargiri[[#This Row],[میزان بارگیری شده]]*bargiri[[#This Row],[فی]]</f>
        <v>1074940000</v>
      </c>
      <c r="I1670" s="360">
        <f>IF(year=bargiri[[#This Row],[سال]],1,0)</f>
        <v>0</v>
      </c>
      <c r="J1670" s="360" t="str">
        <f>VLOOKUP(bargiri[[#This Row],[شماره پیش فاکتور]],invoice[],16,0)</f>
        <v>انجمن</v>
      </c>
      <c r="K1670" s="252">
        <f>bargiri[[#This Row],[فی]]*bargiri[[#This Row],[میزان بارگیری شده]]</f>
        <v>1074940000</v>
      </c>
    </row>
    <row r="1671" spans="1:11" ht="18.600000000000001">
      <c r="A1671" s="360" t="s">
        <v>602</v>
      </c>
      <c r="B1671" s="360" t="s">
        <v>118</v>
      </c>
      <c r="C1671" s="355" t="s">
        <v>84</v>
      </c>
      <c r="D1671">
        <v>20610</v>
      </c>
      <c r="E1671" s="143">
        <v>57273</v>
      </c>
      <c r="F1671" s="117">
        <v>1404</v>
      </c>
      <c r="G1671" s="360" t="s">
        <v>311</v>
      </c>
      <c r="H1671" s="144">
        <f>bargiri[[#This Row],[میزان بارگیری شده]]*bargiri[[#This Row],[فی]]</f>
        <v>1180396530</v>
      </c>
      <c r="I1671" s="360">
        <f>IF(year=bargiri[[#This Row],[سال]],1,0)</f>
        <v>0</v>
      </c>
      <c r="J1671" s="360" t="str">
        <f>VLOOKUP(bargiri[[#This Row],[شماره پیش فاکتور]],invoice[],16,0)</f>
        <v>عادی</v>
      </c>
      <c r="K1671" s="252">
        <f>bargiri[[#This Row],[فی]]*bargiri[[#This Row],[میزان بارگیری شده]]</f>
        <v>1180396530</v>
      </c>
    </row>
    <row r="1672" spans="1:11" ht="18.600000000000001">
      <c r="A1672" s="360" t="s">
        <v>603</v>
      </c>
      <c r="B1672" s="360" t="s">
        <v>122</v>
      </c>
      <c r="C1672" s="355" t="s">
        <v>568</v>
      </c>
      <c r="D1672">
        <v>22050</v>
      </c>
      <c r="E1672" s="143">
        <v>142000</v>
      </c>
      <c r="F1672" s="117">
        <v>1404</v>
      </c>
      <c r="G1672" s="360" t="s">
        <v>311</v>
      </c>
      <c r="H1672" s="144">
        <f>bargiri[[#This Row],[میزان بارگیری شده]]*bargiri[[#This Row],[فی]]</f>
        <v>3131100000</v>
      </c>
      <c r="I1672" s="360">
        <f>IF(year=bargiri[[#This Row],[سال]],1,0)</f>
        <v>0</v>
      </c>
      <c r="J1672" s="360" t="str">
        <f>VLOOKUP(bargiri[[#This Row],[شماره پیش فاکتور]],invoice[],16,0)</f>
        <v>انجمن</v>
      </c>
      <c r="K1672" s="252">
        <f>bargiri[[#This Row],[فی]]*bargiri[[#This Row],[میزان بارگیری شده]]</f>
        <v>3131100000</v>
      </c>
    </row>
    <row r="1673" spans="1:11" ht="18.600000000000001">
      <c r="A1673" s="360" t="s">
        <v>603</v>
      </c>
      <c r="B1673" s="360" t="s">
        <v>98</v>
      </c>
      <c r="C1673" s="355" t="s">
        <v>537</v>
      </c>
      <c r="D1673">
        <v>14250</v>
      </c>
      <c r="E1673" s="143">
        <v>151200</v>
      </c>
      <c r="F1673" s="117">
        <v>1404</v>
      </c>
      <c r="G1673" s="360" t="s">
        <v>311</v>
      </c>
      <c r="H1673" s="144">
        <f>bargiri[[#This Row],[میزان بارگیری شده]]*bargiri[[#This Row],[فی]]</f>
        <v>2154600000</v>
      </c>
      <c r="I1673" s="360">
        <f>IF(year=bargiri[[#This Row],[سال]],1,0)</f>
        <v>0</v>
      </c>
      <c r="J1673" s="360" t="str">
        <f>VLOOKUP(bargiri[[#This Row],[شماره پیش فاکتور]],invoice[],16,0)</f>
        <v>بورس</v>
      </c>
      <c r="K1673" s="252">
        <f>bargiri[[#This Row],[فی]]*bargiri[[#This Row],[میزان بارگیری شده]]</f>
        <v>2154600000</v>
      </c>
    </row>
    <row r="1674" spans="1:11" ht="18.600000000000001">
      <c r="A1674" s="360" t="s">
        <v>603</v>
      </c>
      <c r="B1674" s="360" t="s">
        <v>98</v>
      </c>
      <c r="C1674" s="355" t="s">
        <v>543</v>
      </c>
      <c r="D1674">
        <v>5985</v>
      </c>
      <c r="E1674" s="143">
        <v>80000</v>
      </c>
      <c r="F1674" s="117">
        <v>1404</v>
      </c>
      <c r="G1674" s="360" t="s">
        <v>311</v>
      </c>
      <c r="H1674" s="144">
        <f>bargiri[[#This Row],[میزان بارگیری شده]]*bargiri[[#This Row],[فی]]</f>
        <v>478800000</v>
      </c>
      <c r="I1674" s="360">
        <f>IF(year=bargiri[[#This Row],[سال]],1,0)</f>
        <v>0</v>
      </c>
      <c r="J1674" s="360" t="str">
        <f>VLOOKUP(bargiri[[#This Row],[شماره پیش فاکتور]],invoice[],16,0)</f>
        <v>تعادلی</v>
      </c>
      <c r="K1674" s="252">
        <f>bargiri[[#This Row],[فی]]*bargiri[[#This Row],[میزان بارگیری شده]]</f>
        <v>478800000</v>
      </c>
    </row>
    <row r="1675" spans="1:11" ht="18.600000000000001">
      <c r="A1675" s="360" t="s">
        <v>603</v>
      </c>
      <c r="B1675" s="360" t="s">
        <v>118</v>
      </c>
      <c r="C1675" s="355" t="s">
        <v>84</v>
      </c>
      <c r="D1675">
        <v>20575</v>
      </c>
      <c r="E1675" s="143">
        <v>57273</v>
      </c>
      <c r="F1675" s="117">
        <v>1404</v>
      </c>
      <c r="G1675" s="360" t="s">
        <v>311</v>
      </c>
      <c r="H1675" s="144">
        <f>bargiri[[#This Row],[میزان بارگیری شده]]*bargiri[[#This Row],[فی]]</f>
        <v>1178391975</v>
      </c>
      <c r="I1675" s="360">
        <f>IF(year=bargiri[[#This Row],[سال]],1,0)</f>
        <v>0</v>
      </c>
      <c r="J1675" s="360" t="str">
        <f>VLOOKUP(bargiri[[#This Row],[شماره پیش فاکتور]],invoice[],16,0)</f>
        <v>عادی</v>
      </c>
      <c r="K1675" s="252">
        <f>bargiri[[#This Row],[فی]]*bargiri[[#This Row],[میزان بارگیری شده]]</f>
        <v>1178391975</v>
      </c>
    </row>
    <row r="1676" spans="1:11" ht="18.600000000000001">
      <c r="A1676" s="360" t="s">
        <v>603</v>
      </c>
      <c r="B1676" s="360" t="s">
        <v>118</v>
      </c>
      <c r="C1676" s="355" t="s">
        <v>84</v>
      </c>
      <c r="D1676">
        <v>20555</v>
      </c>
      <c r="E1676" s="143">
        <v>57273</v>
      </c>
      <c r="F1676" s="117">
        <v>1404</v>
      </c>
      <c r="G1676" s="360" t="s">
        <v>311</v>
      </c>
      <c r="H1676" s="144">
        <f>bargiri[[#This Row],[میزان بارگیری شده]]*bargiri[[#This Row],[فی]]</f>
        <v>1177246515</v>
      </c>
      <c r="I1676" s="360">
        <f>IF(year=bargiri[[#This Row],[سال]],1,0)</f>
        <v>0</v>
      </c>
      <c r="J1676" s="360" t="str">
        <f>VLOOKUP(bargiri[[#This Row],[شماره پیش فاکتور]],invoice[],16,0)</f>
        <v>عادی</v>
      </c>
      <c r="K1676" s="252">
        <f>bargiri[[#This Row],[فی]]*bargiri[[#This Row],[میزان بارگیری شده]]</f>
        <v>1177246515</v>
      </c>
    </row>
    <row r="1677" spans="1:11" ht="18.600000000000001">
      <c r="A1677" s="360" t="s">
        <v>603</v>
      </c>
      <c r="B1677" s="360" t="s">
        <v>123</v>
      </c>
      <c r="C1677" s="355" t="s">
        <v>533</v>
      </c>
      <c r="D1677">
        <v>7800</v>
      </c>
      <c r="E1677" s="143">
        <v>100000</v>
      </c>
      <c r="F1677" s="117">
        <v>1404</v>
      </c>
      <c r="G1677" s="360" t="s">
        <v>311</v>
      </c>
      <c r="H1677" s="144">
        <f>bargiri[[#This Row],[میزان بارگیری شده]]*bargiri[[#This Row],[فی]]</f>
        <v>780000000</v>
      </c>
      <c r="I1677" s="360">
        <f>IF(year=bargiri[[#This Row],[سال]],1,0)</f>
        <v>0</v>
      </c>
      <c r="J1677" s="360" t="str">
        <f>VLOOKUP(bargiri[[#This Row],[شماره پیش فاکتور]],invoice[],16,0)</f>
        <v>عادی</v>
      </c>
      <c r="K1677" s="252">
        <f>bargiri[[#This Row],[فی]]*bargiri[[#This Row],[میزان بارگیری شده]]</f>
        <v>780000000</v>
      </c>
    </row>
    <row r="1678" spans="1:11" ht="18.600000000000001">
      <c r="A1678" s="360" t="s">
        <v>603</v>
      </c>
      <c r="B1678" s="360" t="s">
        <v>118</v>
      </c>
      <c r="C1678" s="355" t="s">
        <v>84</v>
      </c>
      <c r="D1678">
        <v>20635</v>
      </c>
      <c r="E1678" s="143">
        <v>57273</v>
      </c>
      <c r="F1678" s="117">
        <v>1404</v>
      </c>
      <c r="G1678" s="360" t="s">
        <v>311</v>
      </c>
      <c r="H1678" s="144">
        <f>bargiri[[#This Row],[میزان بارگیری شده]]*bargiri[[#This Row],[فی]]</f>
        <v>1181828355</v>
      </c>
      <c r="I1678" s="360">
        <f>IF(year=bargiri[[#This Row],[سال]],1,0)</f>
        <v>0</v>
      </c>
      <c r="J1678" s="360" t="str">
        <f>VLOOKUP(bargiri[[#This Row],[شماره پیش فاکتور]],invoice[],16,0)</f>
        <v>عادی</v>
      </c>
      <c r="K1678" s="252">
        <f>bargiri[[#This Row],[فی]]*bargiri[[#This Row],[میزان بارگیری شده]]</f>
        <v>1181828355</v>
      </c>
    </row>
    <row r="1679" spans="1:11" ht="18.600000000000001">
      <c r="A1679" s="360" t="s">
        <v>594</v>
      </c>
      <c r="B1679" s="360" t="s">
        <v>103</v>
      </c>
      <c r="C1679" s="355" t="s">
        <v>560</v>
      </c>
      <c r="D1679">
        <v>7490</v>
      </c>
      <c r="E1679" s="143">
        <v>142000</v>
      </c>
      <c r="F1679" s="117">
        <v>1404</v>
      </c>
      <c r="G1679" s="360" t="s">
        <v>311</v>
      </c>
      <c r="H1679" s="144">
        <f>bargiri[[#This Row],[میزان بارگیری شده]]*bargiri[[#This Row],[فی]]</f>
        <v>1063580000</v>
      </c>
      <c r="I1679" s="360">
        <f>IF(year=bargiri[[#This Row],[سال]],1,0)</f>
        <v>0</v>
      </c>
      <c r="J1679" s="360" t="str">
        <f>VLOOKUP(bargiri[[#This Row],[شماره پیش فاکتور]],invoice[],16,0)</f>
        <v>انجمن</v>
      </c>
      <c r="K1679" s="252">
        <f>bargiri[[#This Row],[فی]]*bargiri[[#This Row],[میزان بارگیری شده]]</f>
        <v>1063580000</v>
      </c>
    </row>
    <row r="1680" spans="1:11" ht="18.600000000000001">
      <c r="A1680" s="360" t="s">
        <v>594</v>
      </c>
      <c r="B1680" s="360" t="s">
        <v>121</v>
      </c>
      <c r="C1680" s="355" t="s">
        <v>567</v>
      </c>
      <c r="D1680">
        <v>20015</v>
      </c>
      <c r="E1680" s="143">
        <v>142000</v>
      </c>
      <c r="F1680" s="117">
        <v>1404</v>
      </c>
      <c r="G1680" s="360" t="s">
        <v>311</v>
      </c>
      <c r="H1680" s="144">
        <f>bargiri[[#This Row],[میزان بارگیری شده]]*bargiri[[#This Row],[فی]]</f>
        <v>2842130000</v>
      </c>
      <c r="I1680" s="360">
        <f>IF(year=bargiri[[#This Row],[سال]],1,0)</f>
        <v>0</v>
      </c>
      <c r="J1680" s="360" t="str">
        <f>VLOOKUP(bargiri[[#This Row],[شماره پیش فاکتور]],invoice[],16,0)</f>
        <v>انجمن</v>
      </c>
      <c r="K1680" s="252">
        <f>bargiri[[#This Row],[فی]]*bargiri[[#This Row],[میزان بارگیری شده]]</f>
        <v>2842130000</v>
      </c>
    </row>
    <row r="1681" spans="1:11" ht="18.600000000000001">
      <c r="A1681" s="360" t="s">
        <v>594</v>
      </c>
      <c r="B1681" s="360" t="s">
        <v>104</v>
      </c>
      <c r="C1681" s="355" t="s">
        <v>562</v>
      </c>
      <c r="D1681">
        <v>18505</v>
      </c>
      <c r="E1681" s="143">
        <v>142000</v>
      </c>
      <c r="F1681" s="117">
        <v>1404</v>
      </c>
      <c r="G1681" s="360" t="s">
        <v>311</v>
      </c>
      <c r="H1681" s="144">
        <f>bargiri[[#This Row],[میزان بارگیری شده]]*bargiri[[#This Row],[فی]]</f>
        <v>2627710000</v>
      </c>
      <c r="I1681" s="360">
        <f>IF(year=bargiri[[#This Row],[سال]],1,0)</f>
        <v>0</v>
      </c>
      <c r="J1681" s="360" t="str">
        <f>VLOOKUP(bargiri[[#This Row],[شماره پیش فاکتور]],invoice[],16,0)</f>
        <v>انجمن</v>
      </c>
      <c r="K1681" s="252">
        <f>bargiri[[#This Row],[فی]]*bargiri[[#This Row],[میزان بارگیری شده]]</f>
        <v>2627710000</v>
      </c>
    </row>
    <row r="1682" spans="1:11" ht="18.600000000000001">
      <c r="A1682" s="360" t="s">
        <v>594</v>
      </c>
      <c r="B1682" s="360" t="s">
        <v>114</v>
      </c>
      <c r="C1682" s="355" t="s">
        <v>62</v>
      </c>
      <c r="D1682">
        <v>22495</v>
      </c>
      <c r="E1682" s="143">
        <v>75000</v>
      </c>
      <c r="F1682" s="117">
        <v>1404</v>
      </c>
      <c r="G1682" s="360" t="s">
        <v>311</v>
      </c>
      <c r="H1682" s="144">
        <f>bargiri[[#This Row],[میزان بارگیری شده]]*bargiri[[#This Row],[فی]]</f>
        <v>1687125000</v>
      </c>
      <c r="I1682" s="360">
        <f>IF(year=bargiri[[#This Row],[سال]],1,0)</f>
        <v>0</v>
      </c>
      <c r="J1682" s="360" t="str">
        <f>VLOOKUP(bargiri[[#This Row],[شماره پیش فاکتور]],invoice[],16,0)</f>
        <v>عادی</v>
      </c>
      <c r="K1682" s="252">
        <f>bargiri[[#This Row],[فی]]*bargiri[[#This Row],[میزان بارگیری شده]]</f>
        <v>1687125000</v>
      </c>
    </row>
    <row r="1683" spans="1:11" ht="18.600000000000001">
      <c r="A1683" s="360" t="s">
        <v>594</v>
      </c>
      <c r="B1683" s="360" t="s">
        <v>113</v>
      </c>
      <c r="C1683" s="355" t="s">
        <v>61</v>
      </c>
      <c r="D1683">
        <v>19125</v>
      </c>
      <c r="E1683" s="143">
        <v>75000</v>
      </c>
      <c r="F1683" s="117">
        <v>1404</v>
      </c>
      <c r="G1683" s="360" t="s">
        <v>311</v>
      </c>
      <c r="H1683" s="144">
        <f>bargiri[[#This Row],[میزان بارگیری شده]]*bargiri[[#This Row],[فی]]</f>
        <v>1434375000</v>
      </c>
      <c r="I1683" s="360">
        <f>IF(year=bargiri[[#This Row],[سال]],1,0)</f>
        <v>0</v>
      </c>
      <c r="J1683" s="360" t="str">
        <f>VLOOKUP(bargiri[[#This Row],[شماره پیش فاکتور]],invoice[],16,0)</f>
        <v>عادی</v>
      </c>
      <c r="K1683" s="252">
        <f>bargiri[[#This Row],[فی]]*bargiri[[#This Row],[میزان بارگیری شده]]</f>
        <v>1434375000</v>
      </c>
    </row>
    <row r="1684" spans="1:11" ht="18.600000000000001">
      <c r="A1684" s="360" t="s">
        <v>594</v>
      </c>
      <c r="B1684" s="360" t="s">
        <v>109</v>
      </c>
      <c r="C1684" s="355" t="s">
        <v>563</v>
      </c>
      <c r="D1684">
        <v>7490</v>
      </c>
      <c r="E1684" s="143">
        <v>142000</v>
      </c>
      <c r="F1684" s="117">
        <v>1404</v>
      </c>
      <c r="G1684" s="360" t="s">
        <v>311</v>
      </c>
      <c r="H1684" s="144">
        <f>bargiri[[#This Row],[میزان بارگیری شده]]*bargiri[[#This Row],[فی]]</f>
        <v>1063580000</v>
      </c>
      <c r="I1684" s="360">
        <f>IF(year=bargiri[[#This Row],[سال]],1,0)</f>
        <v>0</v>
      </c>
      <c r="J1684" s="360" t="str">
        <f>VLOOKUP(bargiri[[#This Row],[شماره پیش فاکتور]],invoice[],16,0)</f>
        <v>انجمن</v>
      </c>
      <c r="K1684" s="252">
        <f>bargiri[[#This Row],[فی]]*bargiri[[#This Row],[میزان بارگیری شده]]</f>
        <v>1063580000</v>
      </c>
    </row>
    <row r="1685" spans="1:11" ht="18.600000000000001">
      <c r="A1685" s="360" t="s">
        <v>592</v>
      </c>
      <c r="B1685" s="360" t="s">
        <v>116</v>
      </c>
      <c r="C1685" s="355" t="s">
        <v>564</v>
      </c>
      <c r="D1685">
        <v>19990</v>
      </c>
      <c r="E1685" s="143">
        <v>142000</v>
      </c>
      <c r="F1685" s="117">
        <v>1404</v>
      </c>
      <c r="G1685" s="360" t="s">
        <v>311</v>
      </c>
      <c r="H1685" s="144">
        <f>bargiri[[#This Row],[میزان بارگیری شده]]*bargiri[[#This Row],[فی]]</f>
        <v>2838580000</v>
      </c>
      <c r="I1685" s="360">
        <f>IF(year=bargiri[[#This Row],[سال]],1,0)</f>
        <v>0</v>
      </c>
      <c r="J1685" s="360" t="str">
        <f>VLOOKUP(bargiri[[#This Row],[شماره پیش فاکتور]],invoice[],16,0)</f>
        <v>انجمن</v>
      </c>
      <c r="K1685" s="252">
        <f>bargiri[[#This Row],[فی]]*bargiri[[#This Row],[میزان بارگیری شده]]</f>
        <v>2838580000</v>
      </c>
    </row>
    <row r="1686" spans="1:11" ht="18.600000000000001">
      <c r="A1686" s="360" t="s">
        <v>592</v>
      </c>
      <c r="B1686" s="360" t="s">
        <v>116</v>
      </c>
      <c r="C1686" s="355" t="s">
        <v>564</v>
      </c>
      <c r="D1686">
        <v>16065</v>
      </c>
      <c r="E1686" s="143">
        <v>142000</v>
      </c>
      <c r="F1686" s="117">
        <v>1404</v>
      </c>
      <c r="G1686" s="360" t="s">
        <v>311</v>
      </c>
      <c r="H1686" s="144">
        <f>bargiri[[#This Row],[میزان بارگیری شده]]*bargiri[[#This Row],[فی]]</f>
        <v>2281230000</v>
      </c>
      <c r="I1686" s="360">
        <f>IF(year=bargiri[[#This Row],[سال]],1,0)</f>
        <v>0</v>
      </c>
      <c r="J1686" s="360" t="str">
        <f>VLOOKUP(bargiri[[#This Row],[شماره پیش فاکتور]],invoice[],16,0)</f>
        <v>انجمن</v>
      </c>
      <c r="K1686" s="252">
        <f>bargiri[[#This Row],[فی]]*bargiri[[#This Row],[میزان بارگیری شده]]</f>
        <v>2281230000</v>
      </c>
    </row>
    <row r="1687" spans="1:11" ht="18.600000000000001">
      <c r="A1687" s="360" t="s">
        <v>592</v>
      </c>
      <c r="B1687" s="360" t="s">
        <v>125</v>
      </c>
      <c r="C1687" s="355" t="s">
        <v>570</v>
      </c>
      <c r="D1687">
        <v>14320</v>
      </c>
      <c r="E1687" s="143">
        <v>142000</v>
      </c>
      <c r="F1687" s="117">
        <v>1404</v>
      </c>
      <c r="G1687" s="360" t="s">
        <v>311</v>
      </c>
      <c r="H1687" s="144">
        <f>bargiri[[#This Row],[میزان بارگیری شده]]*bargiri[[#This Row],[فی]]</f>
        <v>2033440000</v>
      </c>
      <c r="I1687" s="360">
        <f>IF(year=bargiri[[#This Row],[سال]],1,0)</f>
        <v>0</v>
      </c>
      <c r="J1687" s="360" t="str">
        <f>VLOOKUP(bargiri[[#This Row],[شماره پیش فاکتور]],invoice[],16,0)</f>
        <v>انجمن</v>
      </c>
      <c r="K1687" s="252">
        <f>bargiri[[#This Row],[فی]]*bargiri[[#This Row],[میزان بارگیری شده]]</f>
        <v>2033440000</v>
      </c>
    </row>
    <row r="1688" spans="1:11" ht="18.600000000000001">
      <c r="A1688" s="360" t="s">
        <v>592</v>
      </c>
      <c r="B1688" s="360" t="s">
        <v>104</v>
      </c>
      <c r="C1688" s="355" t="s">
        <v>38</v>
      </c>
      <c r="D1688">
        <v>8660</v>
      </c>
      <c r="E1688" s="143">
        <v>83800</v>
      </c>
      <c r="F1688" s="117">
        <v>1404</v>
      </c>
      <c r="G1688" s="360" t="s">
        <v>311</v>
      </c>
      <c r="H1688" s="144">
        <f>bargiri[[#This Row],[میزان بارگیری شده]]*bargiri[[#This Row],[فی]]</f>
        <v>725708000</v>
      </c>
      <c r="I1688" s="360">
        <f>IF(year=bargiri[[#This Row],[سال]],1,0)</f>
        <v>0</v>
      </c>
      <c r="J1688" s="360" t="str">
        <f>VLOOKUP(bargiri[[#This Row],[شماره پیش فاکتور]],invoice[],16,0)</f>
        <v>بورس</v>
      </c>
      <c r="K1688" s="252">
        <f>bargiri[[#This Row],[فی]]*bargiri[[#This Row],[میزان بارگیری شده]]</f>
        <v>725708000</v>
      </c>
    </row>
    <row r="1689" spans="1:11" ht="18.600000000000001">
      <c r="A1689" s="360" t="s">
        <v>592</v>
      </c>
      <c r="B1689" s="360" t="s">
        <v>104</v>
      </c>
      <c r="C1689" s="355" t="s">
        <v>562</v>
      </c>
      <c r="D1689">
        <v>9315</v>
      </c>
      <c r="E1689" s="143">
        <v>142000</v>
      </c>
      <c r="F1689" s="117">
        <v>1404</v>
      </c>
      <c r="G1689" s="360" t="s">
        <v>311</v>
      </c>
      <c r="H1689" s="144">
        <f>bargiri[[#This Row],[میزان بارگیری شده]]*bargiri[[#This Row],[فی]]</f>
        <v>1322730000</v>
      </c>
      <c r="I1689" s="360">
        <f>IF(year=bargiri[[#This Row],[سال]],1,0)</f>
        <v>0</v>
      </c>
      <c r="J1689" s="360" t="str">
        <f>VLOOKUP(bargiri[[#This Row],[شماره پیش فاکتور]],invoice[],16,0)</f>
        <v>انجمن</v>
      </c>
      <c r="K1689" s="252">
        <f>bargiri[[#This Row],[فی]]*bargiri[[#This Row],[میزان بارگیری شده]]</f>
        <v>1322730000</v>
      </c>
    </row>
    <row r="1690" spans="1:11" ht="18.600000000000001">
      <c r="A1690" s="360" t="s">
        <v>591</v>
      </c>
      <c r="B1690" s="360" t="s">
        <v>102</v>
      </c>
      <c r="C1690" s="355" t="s">
        <v>24</v>
      </c>
      <c r="D1690">
        <v>11635</v>
      </c>
      <c r="E1690" s="143">
        <v>70000</v>
      </c>
      <c r="F1690" s="117">
        <v>1404</v>
      </c>
      <c r="G1690" s="360" t="s">
        <v>311</v>
      </c>
      <c r="H1690" s="144">
        <f>bargiri[[#This Row],[میزان بارگیری شده]]*bargiri[[#This Row],[فی]]</f>
        <v>814450000</v>
      </c>
      <c r="I1690" s="360">
        <f>IF(year=bargiri[[#This Row],[سال]],1,0)</f>
        <v>0</v>
      </c>
      <c r="J1690" s="360" t="str">
        <f>VLOOKUP(bargiri[[#This Row],[شماره پیش فاکتور]],invoice[],16,0)</f>
        <v>عادی</v>
      </c>
      <c r="K1690" s="252">
        <f>bargiri[[#This Row],[فی]]*bargiri[[#This Row],[میزان بارگیری شده]]</f>
        <v>814450000</v>
      </c>
    </row>
    <row r="1691" spans="1:11" ht="18.600000000000001">
      <c r="A1691" s="360" t="s">
        <v>591</v>
      </c>
      <c r="B1691" s="360" t="s">
        <v>117</v>
      </c>
      <c r="C1691" s="355" t="s">
        <v>79</v>
      </c>
      <c r="D1691">
        <v>16750</v>
      </c>
      <c r="E1691" s="143">
        <v>75000</v>
      </c>
      <c r="F1691" s="117">
        <v>1404</v>
      </c>
      <c r="G1691" s="360" t="s">
        <v>311</v>
      </c>
      <c r="H1691" s="144">
        <f>bargiri[[#This Row],[میزان بارگیری شده]]*bargiri[[#This Row],[فی]]</f>
        <v>1256250000</v>
      </c>
      <c r="I1691" s="360">
        <f>IF(year=bargiri[[#This Row],[سال]],1,0)</f>
        <v>0</v>
      </c>
      <c r="J1691" s="360" t="str">
        <f>VLOOKUP(bargiri[[#This Row],[شماره پیش فاکتور]],invoice[],16,0)</f>
        <v>عادی</v>
      </c>
      <c r="K1691" s="252">
        <f>bargiri[[#This Row],[فی]]*bargiri[[#This Row],[میزان بارگیری شده]]</f>
        <v>1256250000</v>
      </c>
    </row>
    <row r="1692" spans="1:11" ht="18.600000000000001">
      <c r="A1692" s="360" t="s">
        <v>591</v>
      </c>
      <c r="B1692" s="360" t="s">
        <v>117</v>
      </c>
      <c r="C1692" s="355" t="s">
        <v>566</v>
      </c>
      <c r="D1692">
        <v>3250</v>
      </c>
      <c r="E1692" s="143">
        <v>142000</v>
      </c>
      <c r="F1692" s="117">
        <v>1404</v>
      </c>
      <c r="G1692" s="360" t="s">
        <v>311</v>
      </c>
      <c r="H1692" s="144">
        <f>bargiri[[#This Row],[میزان بارگیری شده]]*bargiri[[#This Row],[فی]]</f>
        <v>461500000</v>
      </c>
      <c r="I1692" s="360">
        <f>IF(year=bargiri[[#This Row],[سال]],1,0)</f>
        <v>0</v>
      </c>
      <c r="J1692" s="360" t="str">
        <f>VLOOKUP(bargiri[[#This Row],[شماره پیش فاکتور]],invoice[],16,0)</f>
        <v>انجمن</v>
      </c>
      <c r="K1692" s="252">
        <f>bargiri[[#This Row],[فی]]*bargiri[[#This Row],[میزان بارگیری شده]]</f>
        <v>461500000</v>
      </c>
    </row>
    <row r="1693" spans="1:11" ht="18.600000000000001">
      <c r="A1693" s="360" t="s">
        <v>591</v>
      </c>
      <c r="B1693" s="360" t="s">
        <v>103</v>
      </c>
      <c r="C1693" s="355" t="s">
        <v>560</v>
      </c>
      <c r="D1693">
        <v>7370</v>
      </c>
      <c r="E1693" s="143">
        <v>142000</v>
      </c>
      <c r="F1693" s="117">
        <v>1404</v>
      </c>
      <c r="G1693" s="360" t="s">
        <v>311</v>
      </c>
      <c r="H1693" s="144">
        <f>bargiri[[#This Row],[میزان بارگیری شده]]*bargiri[[#This Row],[فی]]</f>
        <v>1046540000</v>
      </c>
      <c r="I1693" s="360">
        <f>IF(year=bargiri[[#This Row],[سال]],1,0)</f>
        <v>0</v>
      </c>
      <c r="J1693" s="360" t="str">
        <f>VLOOKUP(bargiri[[#This Row],[شماره پیش فاکتور]],invoice[],16,0)</f>
        <v>انجمن</v>
      </c>
      <c r="K1693" s="252">
        <f>bargiri[[#This Row],[فی]]*bargiri[[#This Row],[میزان بارگیری شده]]</f>
        <v>1046540000</v>
      </c>
    </row>
    <row r="1694" spans="1:11" ht="18.600000000000001">
      <c r="A1694" s="360" t="s">
        <v>591</v>
      </c>
      <c r="B1694" s="360" t="s">
        <v>116</v>
      </c>
      <c r="C1694" s="355" t="s">
        <v>564</v>
      </c>
      <c r="D1694">
        <v>20000</v>
      </c>
      <c r="E1694" s="143">
        <v>142000</v>
      </c>
      <c r="F1694" s="117">
        <v>1404</v>
      </c>
      <c r="G1694" s="360" t="s">
        <v>311</v>
      </c>
      <c r="H1694" s="144">
        <f>bargiri[[#This Row],[میزان بارگیری شده]]*bargiri[[#This Row],[فی]]</f>
        <v>2840000000</v>
      </c>
      <c r="I1694" s="360">
        <f>IF(year=bargiri[[#This Row],[سال]],1,0)</f>
        <v>0</v>
      </c>
      <c r="J1694" s="360" t="str">
        <f>VLOOKUP(bargiri[[#This Row],[شماره پیش فاکتور]],invoice[],16,0)</f>
        <v>انجمن</v>
      </c>
      <c r="K1694" s="252">
        <f>bargiri[[#This Row],[فی]]*bargiri[[#This Row],[میزان بارگیری شده]]</f>
        <v>2840000000</v>
      </c>
    </row>
    <row r="1695" spans="1:11" ht="18.600000000000001">
      <c r="A1695" s="360" t="s">
        <v>591</v>
      </c>
      <c r="B1695" s="360" t="s">
        <v>109</v>
      </c>
      <c r="C1695" s="355" t="s">
        <v>563</v>
      </c>
      <c r="D1695">
        <v>7420</v>
      </c>
      <c r="E1695" s="143">
        <v>142000</v>
      </c>
      <c r="F1695" s="117">
        <v>1404</v>
      </c>
      <c r="G1695" s="360" t="s">
        <v>311</v>
      </c>
      <c r="H1695" s="144">
        <f>bargiri[[#This Row],[میزان بارگیری شده]]*bargiri[[#This Row],[فی]]</f>
        <v>1053640000</v>
      </c>
      <c r="I1695" s="360">
        <f>IF(year=bargiri[[#This Row],[سال]],1,0)</f>
        <v>0</v>
      </c>
      <c r="J1695" s="360" t="str">
        <f>VLOOKUP(bargiri[[#This Row],[شماره پیش فاکتور]],invoice[],16,0)</f>
        <v>انجمن</v>
      </c>
      <c r="K1695" s="252">
        <f>bargiri[[#This Row],[فی]]*bargiri[[#This Row],[میزان بارگیری شده]]</f>
        <v>1053640000</v>
      </c>
    </row>
    <row r="1696" spans="1:11" ht="18.600000000000001">
      <c r="A1696" s="360" t="s">
        <v>590</v>
      </c>
      <c r="B1696" s="360" t="s">
        <v>106</v>
      </c>
      <c r="C1696" s="355" t="s">
        <v>44</v>
      </c>
      <c r="D1696">
        <v>22075</v>
      </c>
      <c r="E1696" s="143">
        <v>80000</v>
      </c>
      <c r="F1696" s="117">
        <v>1404</v>
      </c>
      <c r="G1696" s="360" t="s">
        <v>311</v>
      </c>
      <c r="H1696" s="144">
        <f>bargiri[[#This Row],[میزان بارگیری شده]]*bargiri[[#This Row],[فی]]</f>
        <v>1766000000</v>
      </c>
      <c r="I1696" s="360">
        <f>IF(year=bargiri[[#This Row],[سال]],1,0)</f>
        <v>0</v>
      </c>
      <c r="J1696" s="360" t="str">
        <f>VLOOKUP(bargiri[[#This Row],[شماره پیش فاکتور]],invoice[],16,0)</f>
        <v>عادی</v>
      </c>
      <c r="K1696" s="252">
        <f>bargiri[[#This Row],[فی]]*bargiri[[#This Row],[میزان بارگیری شده]]</f>
        <v>1766000000</v>
      </c>
    </row>
    <row r="1697" spans="1:11" ht="18.600000000000001">
      <c r="A1697" s="360" t="s">
        <v>590</v>
      </c>
      <c r="B1697" s="360" t="s">
        <v>103</v>
      </c>
      <c r="C1697" s="355" t="s">
        <v>560</v>
      </c>
      <c r="D1697">
        <v>7250</v>
      </c>
      <c r="E1697" s="143">
        <v>142000</v>
      </c>
      <c r="F1697" s="117">
        <v>1404</v>
      </c>
      <c r="G1697" s="360" t="s">
        <v>311</v>
      </c>
      <c r="H1697" s="144">
        <f>bargiri[[#This Row],[میزان بارگیری شده]]*bargiri[[#This Row],[فی]]</f>
        <v>1029500000</v>
      </c>
      <c r="I1697" s="360">
        <f>IF(year=bargiri[[#This Row],[سال]],1,0)</f>
        <v>0</v>
      </c>
      <c r="J1697" s="360" t="str">
        <f>VLOOKUP(bargiri[[#This Row],[شماره پیش فاکتور]],invoice[],16,0)</f>
        <v>انجمن</v>
      </c>
      <c r="K1697" s="252">
        <f>bargiri[[#This Row],[فی]]*bargiri[[#This Row],[میزان بارگیری شده]]</f>
        <v>1029500000</v>
      </c>
    </row>
    <row r="1698" spans="1:11" ht="18.600000000000001">
      <c r="A1698" s="360" t="s">
        <v>587</v>
      </c>
      <c r="B1698" s="360" t="s">
        <v>103</v>
      </c>
      <c r="C1698" s="355" t="s">
        <v>560</v>
      </c>
      <c r="D1698">
        <v>7490</v>
      </c>
      <c r="E1698" s="143">
        <v>142000</v>
      </c>
      <c r="F1698" s="117">
        <v>1404</v>
      </c>
      <c r="G1698" s="360" t="s">
        <v>311</v>
      </c>
      <c r="H1698" s="144">
        <f>bargiri[[#This Row],[میزان بارگیری شده]]*bargiri[[#This Row],[فی]]</f>
        <v>1063580000</v>
      </c>
      <c r="I1698" s="360">
        <f>IF(year=bargiri[[#This Row],[سال]],1,0)</f>
        <v>0</v>
      </c>
      <c r="J1698" s="360" t="str">
        <f>VLOOKUP(bargiri[[#This Row],[شماره پیش فاکتور]],invoice[],16,0)</f>
        <v>انجمن</v>
      </c>
      <c r="K1698" s="252">
        <f>bargiri[[#This Row],[فی]]*bargiri[[#This Row],[میزان بارگیری شده]]</f>
        <v>1063580000</v>
      </c>
    </row>
    <row r="1699" spans="1:11" ht="18.600000000000001">
      <c r="A1699" s="360" t="s">
        <v>587</v>
      </c>
      <c r="B1699" s="360" t="s">
        <v>101</v>
      </c>
      <c r="C1699" s="355" t="s">
        <v>19</v>
      </c>
      <c r="D1699">
        <v>21190</v>
      </c>
      <c r="E1699" s="143">
        <v>75000</v>
      </c>
      <c r="F1699" s="117">
        <v>1404</v>
      </c>
      <c r="G1699" s="360" t="s">
        <v>311</v>
      </c>
      <c r="H1699" s="144">
        <f>bargiri[[#This Row],[میزان بارگیری شده]]*bargiri[[#This Row],[فی]]</f>
        <v>1589250000</v>
      </c>
      <c r="I1699" s="360">
        <f>IF(year=bargiri[[#This Row],[سال]],1,0)</f>
        <v>0</v>
      </c>
      <c r="J1699" s="360" t="str">
        <f>VLOOKUP(bargiri[[#This Row],[شماره پیش فاکتور]],invoice[],16,0)</f>
        <v>عادی</v>
      </c>
      <c r="K1699" s="252">
        <f>bargiri[[#This Row],[فی]]*bargiri[[#This Row],[میزان بارگیری شده]]</f>
        <v>1589250000</v>
      </c>
    </row>
    <row r="1700" spans="1:11" ht="18.600000000000001">
      <c r="A1700" s="360" t="s">
        <v>587</v>
      </c>
      <c r="B1700" s="360" t="s">
        <v>103</v>
      </c>
      <c r="C1700" s="355" t="s">
        <v>560</v>
      </c>
      <c r="D1700">
        <v>7500</v>
      </c>
      <c r="E1700" s="143">
        <v>142000</v>
      </c>
      <c r="F1700" s="117">
        <v>1404</v>
      </c>
      <c r="G1700" s="360" t="s">
        <v>311</v>
      </c>
      <c r="H1700" s="144">
        <f>bargiri[[#This Row],[میزان بارگیری شده]]*bargiri[[#This Row],[فی]]</f>
        <v>1065000000</v>
      </c>
      <c r="I1700" s="360">
        <f>IF(year=bargiri[[#This Row],[سال]],1,0)</f>
        <v>0</v>
      </c>
      <c r="J1700" s="360" t="str">
        <f>VLOOKUP(bargiri[[#This Row],[شماره پیش فاکتور]],invoice[],16,0)</f>
        <v>انجمن</v>
      </c>
      <c r="K1700" s="252">
        <f>bargiri[[#This Row],[فی]]*bargiri[[#This Row],[میزان بارگیری شده]]</f>
        <v>1065000000</v>
      </c>
    </row>
    <row r="1701" spans="1:11" ht="18.600000000000001">
      <c r="A1701" s="360" t="s">
        <v>588</v>
      </c>
      <c r="B1701" s="360" t="s">
        <v>120</v>
      </c>
      <c r="C1701" s="355" t="s">
        <v>88</v>
      </c>
      <c r="D1701">
        <v>9030</v>
      </c>
      <c r="E1701" s="143">
        <v>80000</v>
      </c>
      <c r="F1701" s="117">
        <v>1404</v>
      </c>
      <c r="G1701" s="360" t="s">
        <v>311</v>
      </c>
      <c r="H1701" s="144">
        <f>bargiri[[#This Row],[میزان بارگیری شده]]*bargiri[[#This Row],[فی]]</f>
        <v>722400000</v>
      </c>
      <c r="I1701" s="360">
        <f>IF(year=bargiri[[#This Row],[سال]],1,0)</f>
        <v>0</v>
      </c>
      <c r="J1701" s="360" t="str">
        <f>VLOOKUP(bargiri[[#This Row],[شماره پیش فاکتور]],invoice[],16,0)</f>
        <v>عادی</v>
      </c>
      <c r="K1701" s="252">
        <f>bargiri[[#This Row],[فی]]*bargiri[[#This Row],[میزان بارگیری شده]]</f>
        <v>722400000</v>
      </c>
    </row>
    <row r="1702" spans="1:11" ht="18.600000000000001">
      <c r="A1702" s="360" t="s">
        <v>589</v>
      </c>
      <c r="B1702" s="360" t="s">
        <v>109</v>
      </c>
      <c r="C1702" s="355" t="s">
        <v>563</v>
      </c>
      <c r="D1702">
        <v>7440</v>
      </c>
      <c r="E1702" s="143">
        <v>142000</v>
      </c>
      <c r="F1702" s="117">
        <v>1404</v>
      </c>
      <c r="G1702" s="360" t="s">
        <v>311</v>
      </c>
      <c r="H1702" s="144">
        <f>bargiri[[#This Row],[میزان بارگیری شده]]*bargiri[[#This Row],[فی]]</f>
        <v>1056480000</v>
      </c>
      <c r="I1702" s="360">
        <f>IF(year=bargiri[[#This Row],[سال]],1,0)</f>
        <v>0</v>
      </c>
      <c r="J1702" s="360" t="str">
        <f>VLOOKUP(bargiri[[#This Row],[شماره پیش فاکتور]],invoice[],16,0)</f>
        <v>انجمن</v>
      </c>
      <c r="K1702" s="252">
        <f>bargiri[[#This Row],[فی]]*bargiri[[#This Row],[میزان بارگیری شده]]</f>
        <v>1056480000</v>
      </c>
    </row>
    <row r="1703" spans="1:11" ht="18.600000000000001">
      <c r="A1703" s="360" t="s">
        <v>589</v>
      </c>
      <c r="B1703" s="360" t="s">
        <v>118</v>
      </c>
      <c r="C1703" s="355" t="s">
        <v>84</v>
      </c>
      <c r="D1703">
        <v>20440</v>
      </c>
      <c r="E1703" s="143">
        <v>57273</v>
      </c>
      <c r="F1703" s="117">
        <v>1404</v>
      </c>
      <c r="G1703" s="360" t="s">
        <v>311</v>
      </c>
      <c r="H1703" s="144">
        <f>bargiri[[#This Row],[میزان بارگیری شده]]*bargiri[[#This Row],[فی]]</f>
        <v>1170660120</v>
      </c>
      <c r="I1703" s="360">
        <f>IF(year=bargiri[[#This Row],[سال]],1,0)</f>
        <v>0</v>
      </c>
      <c r="J1703" s="360" t="str">
        <f>VLOOKUP(bargiri[[#This Row],[شماره پیش فاکتور]],invoice[],16,0)</f>
        <v>عادی</v>
      </c>
      <c r="K1703" s="252">
        <f>bargiri[[#This Row],[فی]]*bargiri[[#This Row],[میزان بارگیری شده]]</f>
        <v>1170660120</v>
      </c>
    </row>
    <row r="1704" spans="1:11" ht="18.600000000000001">
      <c r="A1704" s="360" t="s">
        <v>589</v>
      </c>
      <c r="B1704" s="360" t="s">
        <v>109</v>
      </c>
      <c r="C1704" s="355" t="s">
        <v>563</v>
      </c>
      <c r="D1704">
        <v>7525</v>
      </c>
      <c r="E1704" s="143">
        <v>142000</v>
      </c>
      <c r="F1704" s="117">
        <v>1404</v>
      </c>
      <c r="G1704" s="360" t="s">
        <v>311</v>
      </c>
      <c r="H1704" s="144">
        <f>bargiri[[#This Row],[میزان بارگیری شده]]*bargiri[[#This Row],[فی]]</f>
        <v>1068550000</v>
      </c>
      <c r="I1704" s="360">
        <f>IF(year=bargiri[[#This Row],[سال]],1,0)</f>
        <v>0</v>
      </c>
      <c r="J1704" s="360" t="str">
        <f>VLOOKUP(bargiri[[#This Row],[شماره پیش فاکتور]],invoice[],16,0)</f>
        <v>انجمن</v>
      </c>
      <c r="K1704" s="252">
        <f>bargiri[[#This Row],[فی]]*bargiri[[#This Row],[میزان بارگیری شده]]</f>
        <v>1068550000</v>
      </c>
    </row>
    <row r="1705" spans="1:11" ht="18.600000000000001">
      <c r="A1705" s="360" t="s">
        <v>589</v>
      </c>
      <c r="B1705" s="360" t="s">
        <v>118</v>
      </c>
      <c r="C1705" s="355" t="s">
        <v>84</v>
      </c>
      <c r="D1705">
        <v>20445</v>
      </c>
      <c r="E1705" s="143">
        <v>57273</v>
      </c>
      <c r="F1705" s="117">
        <v>1404</v>
      </c>
      <c r="G1705" s="360" t="s">
        <v>311</v>
      </c>
      <c r="H1705" s="144">
        <f>bargiri[[#This Row],[میزان بارگیری شده]]*bargiri[[#This Row],[فی]]</f>
        <v>1170946485</v>
      </c>
      <c r="I1705" s="360">
        <f>IF(year=bargiri[[#This Row],[سال]],1,0)</f>
        <v>0</v>
      </c>
      <c r="J1705" s="360" t="str">
        <f>VLOOKUP(bargiri[[#This Row],[شماره پیش فاکتور]],invoice[],16,0)</f>
        <v>عادی</v>
      </c>
      <c r="K1705" s="252">
        <f>bargiri[[#This Row],[فی]]*bargiri[[#This Row],[میزان بارگیری شده]]</f>
        <v>1170946485</v>
      </c>
    </row>
    <row r="1706" spans="1:11" ht="18.600000000000001">
      <c r="A1706" s="360" t="s">
        <v>589</v>
      </c>
      <c r="B1706" s="360" t="s">
        <v>118</v>
      </c>
      <c r="C1706" s="355" t="s">
        <v>84</v>
      </c>
      <c r="D1706">
        <v>20530</v>
      </c>
      <c r="E1706" s="143">
        <v>57273</v>
      </c>
      <c r="F1706" s="117">
        <v>1404</v>
      </c>
      <c r="G1706" s="360" t="s">
        <v>311</v>
      </c>
      <c r="H1706" s="144">
        <f>bargiri[[#This Row],[میزان بارگیری شده]]*bargiri[[#This Row],[فی]]</f>
        <v>1175814690</v>
      </c>
      <c r="I1706" s="360">
        <f>IF(year=bargiri[[#This Row],[سال]],1,0)</f>
        <v>0</v>
      </c>
      <c r="J1706" s="360" t="str">
        <f>VLOOKUP(bargiri[[#This Row],[شماره پیش فاکتور]],invoice[],16,0)</f>
        <v>عادی</v>
      </c>
      <c r="K1706" s="252">
        <f>bargiri[[#This Row],[فی]]*bargiri[[#This Row],[میزان بارگیری شده]]</f>
        <v>1175814690</v>
      </c>
    </row>
    <row r="1707" spans="1:11" ht="18.600000000000001">
      <c r="A1707" s="360" t="s">
        <v>589</v>
      </c>
      <c r="B1707" s="360" t="s">
        <v>118</v>
      </c>
      <c r="C1707" s="355" t="s">
        <v>84</v>
      </c>
      <c r="D1707">
        <v>20525</v>
      </c>
      <c r="E1707" s="143">
        <v>57273</v>
      </c>
      <c r="F1707" s="117">
        <v>1404</v>
      </c>
      <c r="G1707" s="360" t="s">
        <v>311</v>
      </c>
      <c r="H1707" s="144">
        <f>bargiri[[#This Row],[میزان بارگیری شده]]*bargiri[[#This Row],[فی]]</f>
        <v>1175528325</v>
      </c>
      <c r="I1707" s="360">
        <f>IF(year=bargiri[[#This Row],[سال]],1,0)</f>
        <v>0</v>
      </c>
      <c r="J1707" s="360" t="str">
        <f>VLOOKUP(bargiri[[#This Row],[شماره پیش فاکتور]],invoice[],16,0)</f>
        <v>عادی</v>
      </c>
      <c r="K1707" s="252">
        <f>bargiri[[#This Row],[فی]]*bargiri[[#This Row],[میزان بارگیری شده]]</f>
        <v>1175528325</v>
      </c>
    </row>
    <row r="1708" spans="1:11" ht="18.600000000000001">
      <c r="A1708" s="360" t="s">
        <v>589</v>
      </c>
      <c r="B1708" s="360" t="s">
        <v>118</v>
      </c>
      <c r="C1708" s="355" t="s">
        <v>84</v>
      </c>
      <c r="D1708">
        <v>20530</v>
      </c>
      <c r="E1708" s="143">
        <v>57273</v>
      </c>
      <c r="F1708" s="117">
        <v>1404</v>
      </c>
      <c r="G1708" s="360" t="s">
        <v>311</v>
      </c>
      <c r="H1708" s="144">
        <f>bargiri[[#This Row],[میزان بارگیری شده]]*bargiri[[#This Row],[فی]]</f>
        <v>1175814690</v>
      </c>
      <c r="I1708" s="360">
        <f>IF(year=bargiri[[#This Row],[سال]],1,0)</f>
        <v>0</v>
      </c>
      <c r="J1708" s="360" t="str">
        <f>VLOOKUP(bargiri[[#This Row],[شماره پیش فاکتور]],invoice[],16,0)</f>
        <v>عادی</v>
      </c>
      <c r="K1708" s="252">
        <f>bargiri[[#This Row],[فی]]*bargiri[[#This Row],[میزان بارگیری شده]]</f>
        <v>1175814690</v>
      </c>
    </row>
    <row r="1709" spans="1:11" ht="18.600000000000001">
      <c r="A1709" s="360" t="s">
        <v>573</v>
      </c>
      <c r="B1709" s="360" t="s">
        <v>104</v>
      </c>
      <c r="C1709" s="355" t="s">
        <v>38</v>
      </c>
      <c r="D1709">
        <v>18025</v>
      </c>
      <c r="E1709" s="143">
        <v>83800</v>
      </c>
      <c r="F1709" s="117">
        <v>1404</v>
      </c>
      <c r="G1709" s="360" t="s">
        <v>311</v>
      </c>
      <c r="H1709" s="144">
        <f>bargiri[[#This Row],[میزان بارگیری شده]]*bargiri[[#This Row],[فی]]</f>
        <v>1510495000</v>
      </c>
      <c r="I1709" s="360">
        <f>IF(year=bargiri[[#This Row],[سال]],1,0)</f>
        <v>0</v>
      </c>
      <c r="J1709" s="360" t="str">
        <f>VLOOKUP(bargiri[[#This Row],[شماره پیش فاکتور]],invoice[],16,0)</f>
        <v>بورس</v>
      </c>
      <c r="K1709" s="252">
        <f>bargiri[[#This Row],[فی]]*bargiri[[#This Row],[میزان بارگیری شده]]</f>
        <v>1510495000</v>
      </c>
    </row>
    <row r="1710" spans="1:11" ht="18.600000000000001">
      <c r="A1710" s="360" t="s">
        <v>573</v>
      </c>
      <c r="B1710" s="360" t="s">
        <v>118</v>
      </c>
      <c r="C1710" s="355" t="s">
        <v>84</v>
      </c>
      <c r="D1710">
        <v>20540</v>
      </c>
      <c r="E1710" s="143">
        <v>57273</v>
      </c>
      <c r="F1710" s="117">
        <v>1404</v>
      </c>
      <c r="G1710" s="360" t="s">
        <v>311</v>
      </c>
      <c r="H1710" s="144">
        <f>bargiri[[#This Row],[میزان بارگیری شده]]*bargiri[[#This Row],[فی]]</f>
        <v>1176387420</v>
      </c>
      <c r="I1710" s="360">
        <f>IF(year=bargiri[[#This Row],[سال]],1,0)</f>
        <v>0</v>
      </c>
      <c r="J1710" s="360" t="str">
        <f>VLOOKUP(bargiri[[#This Row],[شماره پیش فاکتور]],invoice[],16,0)</f>
        <v>عادی</v>
      </c>
      <c r="K1710" s="252">
        <f>bargiri[[#This Row],[فی]]*bargiri[[#This Row],[میزان بارگیری شده]]</f>
        <v>1176387420</v>
      </c>
    </row>
    <row r="1711" spans="1:11" ht="18.600000000000001">
      <c r="A1711" s="360" t="s">
        <v>573</v>
      </c>
      <c r="B1711" s="360" t="s">
        <v>113</v>
      </c>
      <c r="C1711" s="355" t="s">
        <v>61</v>
      </c>
      <c r="D1711">
        <v>18645</v>
      </c>
      <c r="E1711" s="143">
        <v>75000</v>
      </c>
      <c r="F1711" s="117">
        <v>1404</v>
      </c>
      <c r="G1711" s="360" t="s">
        <v>311</v>
      </c>
      <c r="H1711" s="144">
        <f>bargiri[[#This Row],[میزان بارگیری شده]]*bargiri[[#This Row],[فی]]</f>
        <v>1398375000</v>
      </c>
      <c r="I1711" s="360">
        <f>IF(year=bargiri[[#This Row],[سال]],1,0)</f>
        <v>0</v>
      </c>
      <c r="J1711" s="360" t="str">
        <f>VLOOKUP(bargiri[[#This Row],[شماره پیش فاکتور]],invoice[],16,0)</f>
        <v>عادی</v>
      </c>
      <c r="K1711" s="252">
        <f>bargiri[[#This Row],[فی]]*bargiri[[#This Row],[میزان بارگیری شده]]</f>
        <v>1398375000</v>
      </c>
    </row>
    <row r="1712" spans="1:11" ht="18.600000000000001">
      <c r="A1712" s="360" t="s">
        <v>573</v>
      </c>
      <c r="B1712" s="360" t="s">
        <v>118</v>
      </c>
      <c r="C1712" s="355" t="s">
        <v>84</v>
      </c>
      <c r="D1712">
        <v>20460</v>
      </c>
      <c r="E1712" s="143">
        <v>57273</v>
      </c>
      <c r="F1712" s="117">
        <v>1404</v>
      </c>
      <c r="G1712" s="360" t="s">
        <v>311</v>
      </c>
      <c r="H1712" s="144">
        <f>bargiri[[#This Row],[میزان بارگیری شده]]*bargiri[[#This Row],[فی]]</f>
        <v>1171805580</v>
      </c>
      <c r="I1712" s="360">
        <f>IF(year=bargiri[[#This Row],[سال]],1,0)</f>
        <v>0</v>
      </c>
      <c r="J1712" s="360" t="str">
        <f>VLOOKUP(bargiri[[#This Row],[شماره پیش فاکتور]],invoice[],16,0)</f>
        <v>عادی</v>
      </c>
      <c r="K1712" s="252">
        <f>bargiri[[#This Row],[فی]]*bargiri[[#This Row],[میزان بارگیری شده]]</f>
        <v>1171805580</v>
      </c>
    </row>
    <row r="1713" spans="1:11" ht="18.600000000000001">
      <c r="A1713" s="360" t="s">
        <v>574</v>
      </c>
      <c r="B1713" s="360" t="s">
        <v>114</v>
      </c>
      <c r="C1713" s="355" t="s">
        <v>62</v>
      </c>
      <c r="D1713">
        <v>21685</v>
      </c>
      <c r="E1713" s="143">
        <v>75000</v>
      </c>
      <c r="F1713" s="117">
        <v>1404</v>
      </c>
      <c r="G1713" s="360" t="s">
        <v>311</v>
      </c>
      <c r="H1713" s="144">
        <f>bargiri[[#This Row],[میزان بارگیری شده]]*bargiri[[#This Row],[فی]]</f>
        <v>1626375000</v>
      </c>
      <c r="I1713" s="360">
        <f>IF(year=bargiri[[#This Row],[سال]],1,0)</f>
        <v>0</v>
      </c>
      <c r="J1713" s="360" t="str">
        <f>VLOOKUP(bargiri[[#This Row],[شماره پیش فاکتور]],invoice[],16,0)</f>
        <v>عادی</v>
      </c>
      <c r="K1713" s="252">
        <f>bargiri[[#This Row],[فی]]*bargiri[[#This Row],[میزان بارگیری شده]]</f>
        <v>1626375000</v>
      </c>
    </row>
    <row r="1714" spans="1:11" ht="18.600000000000001">
      <c r="A1714" s="360" t="s">
        <v>574</v>
      </c>
      <c r="B1714" s="360" t="s">
        <v>116</v>
      </c>
      <c r="C1714" s="355" t="s">
        <v>564</v>
      </c>
      <c r="D1714">
        <v>17980</v>
      </c>
      <c r="E1714" s="143">
        <v>142000</v>
      </c>
      <c r="F1714" s="117">
        <v>1404</v>
      </c>
      <c r="G1714" s="360" t="s">
        <v>311</v>
      </c>
      <c r="H1714" s="144">
        <f>bargiri[[#This Row],[میزان بارگیری شده]]*bargiri[[#This Row],[فی]]</f>
        <v>2553160000</v>
      </c>
      <c r="I1714" s="360">
        <f>IF(year=bargiri[[#This Row],[سال]],1,0)</f>
        <v>0</v>
      </c>
      <c r="J1714" s="360" t="str">
        <f>VLOOKUP(bargiri[[#This Row],[شماره پیش فاکتور]],invoice[],16,0)</f>
        <v>انجمن</v>
      </c>
      <c r="K1714" s="252">
        <f>bargiri[[#This Row],[فی]]*bargiri[[#This Row],[میزان بارگیری شده]]</f>
        <v>2553160000</v>
      </c>
    </row>
    <row r="1715" spans="1:11" ht="18.600000000000001">
      <c r="A1715" s="360" t="s">
        <v>574</v>
      </c>
      <c r="B1715" s="360" t="s">
        <v>113</v>
      </c>
      <c r="C1715" s="355" t="s">
        <v>61</v>
      </c>
      <c r="D1715">
        <v>18525</v>
      </c>
      <c r="E1715" s="143">
        <v>75000</v>
      </c>
      <c r="F1715" s="117">
        <v>1404</v>
      </c>
      <c r="G1715" s="360" t="s">
        <v>311</v>
      </c>
      <c r="H1715" s="144">
        <f>bargiri[[#This Row],[میزان بارگیری شده]]*bargiri[[#This Row],[فی]]</f>
        <v>1389375000</v>
      </c>
      <c r="I1715" s="360">
        <f>IF(year=bargiri[[#This Row],[سال]],1,0)</f>
        <v>0</v>
      </c>
      <c r="J1715" s="360" t="str">
        <f>VLOOKUP(bargiri[[#This Row],[شماره پیش فاکتور]],invoice[],16,0)</f>
        <v>عادی</v>
      </c>
      <c r="K1715" s="252">
        <f>bargiri[[#This Row],[فی]]*bargiri[[#This Row],[میزان بارگیری شده]]</f>
        <v>1389375000</v>
      </c>
    </row>
    <row r="1716" spans="1:11" ht="18.600000000000001">
      <c r="A1716" s="360" t="s">
        <v>574</v>
      </c>
      <c r="B1716" s="360" t="s">
        <v>109</v>
      </c>
      <c r="C1716" s="355" t="s">
        <v>563</v>
      </c>
      <c r="D1716">
        <v>19975</v>
      </c>
      <c r="E1716" s="143">
        <v>142000</v>
      </c>
      <c r="F1716" s="117">
        <v>1404</v>
      </c>
      <c r="G1716" s="360" t="s">
        <v>311</v>
      </c>
      <c r="H1716" s="144">
        <f>bargiri[[#This Row],[میزان بارگیری شده]]*bargiri[[#This Row],[فی]]</f>
        <v>2836450000</v>
      </c>
      <c r="I1716" s="360">
        <f>IF(year=bargiri[[#This Row],[سال]],1,0)</f>
        <v>0</v>
      </c>
      <c r="J1716" s="360" t="str">
        <f>VLOOKUP(bargiri[[#This Row],[شماره پیش فاکتور]],invoice[],16,0)</f>
        <v>انجمن</v>
      </c>
      <c r="K1716" s="252">
        <f>bargiri[[#This Row],[فی]]*bargiri[[#This Row],[میزان بارگیری شده]]</f>
        <v>2836450000</v>
      </c>
    </row>
    <row r="1717" spans="1:11" ht="18.600000000000001">
      <c r="A1717" s="360" t="s">
        <v>574</v>
      </c>
      <c r="B1717" s="360" t="s">
        <v>116</v>
      </c>
      <c r="C1717" s="355" t="s">
        <v>564</v>
      </c>
      <c r="D1717">
        <v>20005</v>
      </c>
      <c r="E1717" s="143">
        <v>142000</v>
      </c>
      <c r="F1717" s="117">
        <v>1404</v>
      </c>
      <c r="G1717" s="360" t="s">
        <v>311</v>
      </c>
      <c r="H1717" s="144">
        <f>bargiri[[#This Row],[میزان بارگیری شده]]*bargiri[[#This Row],[فی]]</f>
        <v>2840710000</v>
      </c>
      <c r="I1717" s="360">
        <f>IF(year=bargiri[[#This Row],[سال]],1,0)</f>
        <v>0</v>
      </c>
      <c r="J1717" s="360" t="str">
        <f>VLOOKUP(bargiri[[#This Row],[شماره پیش فاکتور]],invoice[],16,0)</f>
        <v>انجمن</v>
      </c>
      <c r="K1717" s="252">
        <f>bargiri[[#This Row],[فی]]*bargiri[[#This Row],[میزان بارگیری شده]]</f>
        <v>2840710000</v>
      </c>
    </row>
    <row r="1718" spans="1:11" ht="18.600000000000001">
      <c r="A1718" s="360" t="s">
        <v>575</v>
      </c>
      <c r="B1718" s="360" t="s">
        <v>116</v>
      </c>
      <c r="C1718" s="355" t="s">
        <v>564</v>
      </c>
      <c r="D1718">
        <v>18750</v>
      </c>
      <c r="E1718" s="143">
        <v>142000</v>
      </c>
      <c r="F1718" s="117">
        <v>1404</v>
      </c>
      <c r="G1718" s="360" t="s">
        <v>311</v>
      </c>
      <c r="H1718" s="144">
        <f>bargiri[[#This Row],[میزان بارگیری شده]]*bargiri[[#This Row],[فی]]</f>
        <v>2662500000</v>
      </c>
      <c r="I1718" s="360">
        <f>IF(year=bargiri[[#This Row],[سال]],1,0)</f>
        <v>0</v>
      </c>
      <c r="J1718" s="360" t="str">
        <f>VLOOKUP(bargiri[[#This Row],[شماره پیش فاکتور]],invoice[],16,0)</f>
        <v>انجمن</v>
      </c>
      <c r="K1718" s="252">
        <f>bargiri[[#This Row],[فی]]*bargiri[[#This Row],[میزان بارگیری شده]]</f>
        <v>2662500000</v>
      </c>
    </row>
    <row r="1719" spans="1:11" ht="18.600000000000001">
      <c r="A1719" s="360" t="s">
        <v>575</v>
      </c>
      <c r="B1719" s="360" t="s">
        <v>102</v>
      </c>
      <c r="C1719" s="355" t="s">
        <v>24</v>
      </c>
      <c r="D1719">
        <v>11780</v>
      </c>
      <c r="E1719" s="143">
        <v>70000</v>
      </c>
      <c r="F1719" s="117">
        <v>1404</v>
      </c>
      <c r="G1719" s="360" t="s">
        <v>311</v>
      </c>
      <c r="H1719" s="144">
        <f>bargiri[[#This Row],[میزان بارگیری شده]]*bargiri[[#This Row],[فی]]</f>
        <v>824600000</v>
      </c>
      <c r="I1719" s="360">
        <f>IF(year=bargiri[[#This Row],[سال]],1,0)</f>
        <v>0</v>
      </c>
      <c r="J1719" s="360" t="str">
        <f>VLOOKUP(bargiri[[#This Row],[شماره پیش فاکتور]],invoice[],16,0)</f>
        <v>عادی</v>
      </c>
      <c r="K1719" s="252">
        <f>bargiri[[#This Row],[فی]]*bargiri[[#This Row],[میزان بارگیری شده]]</f>
        <v>824600000</v>
      </c>
    </row>
    <row r="1720" spans="1:11" ht="18.600000000000001">
      <c r="A1720" s="360" t="s">
        <v>575</v>
      </c>
      <c r="B1720" s="360" t="s">
        <v>122</v>
      </c>
      <c r="C1720" s="355" t="s">
        <v>91</v>
      </c>
      <c r="D1720">
        <v>9615</v>
      </c>
      <c r="E1720" s="143">
        <v>75000</v>
      </c>
      <c r="F1720" s="117">
        <v>1404</v>
      </c>
      <c r="G1720" s="360" t="s">
        <v>311</v>
      </c>
      <c r="H1720" s="144">
        <f>bargiri[[#This Row],[میزان بارگیری شده]]*bargiri[[#This Row],[فی]]</f>
        <v>721125000</v>
      </c>
      <c r="I1720" s="360">
        <f>IF(year=bargiri[[#This Row],[سال]],1,0)</f>
        <v>0</v>
      </c>
      <c r="J1720" s="360" t="str">
        <f>VLOOKUP(bargiri[[#This Row],[شماره پیش فاکتور]],invoice[],16,0)</f>
        <v>عادی</v>
      </c>
      <c r="K1720" s="252">
        <f>bargiri[[#This Row],[فی]]*bargiri[[#This Row],[میزان بارگیری شده]]</f>
        <v>721125000</v>
      </c>
    </row>
    <row r="1721" spans="1:11" ht="18.600000000000001">
      <c r="A1721" s="360" t="s">
        <v>575</v>
      </c>
      <c r="B1721" s="360" t="s">
        <v>122</v>
      </c>
      <c r="C1721" s="355" t="s">
        <v>568</v>
      </c>
      <c r="D1721">
        <v>10355</v>
      </c>
      <c r="E1721" s="143">
        <v>142000</v>
      </c>
      <c r="F1721" s="117">
        <v>1404</v>
      </c>
      <c r="G1721" s="360" t="s">
        <v>311</v>
      </c>
      <c r="H1721" s="144">
        <f>bargiri[[#This Row],[میزان بارگیری شده]]*bargiri[[#This Row],[فی]]</f>
        <v>1470410000</v>
      </c>
      <c r="I1721" s="360">
        <f>IF(year=bargiri[[#This Row],[سال]],1,0)</f>
        <v>0</v>
      </c>
      <c r="J1721" s="360" t="str">
        <f>VLOOKUP(bargiri[[#This Row],[شماره پیش فاکتور]],invoice[],16,0)</f>
        <v>انجمن</v>
      </c>
      <c r="K1721" s="252">
        <f>bargiri[[#This Row],[فی]]*bargiri[[#This Row],[میزان بارگیری شده]]</f>
        <v>1470410000</v>
      </c>
    </row>
    <row r="1722" spans="1:11" ht="18.600000000000001">
      <c r="A1722" s="360" t="s">
        <v>576</v>
      </c>
      <c r="B1722" s="360" t="s">
        <v>98</v>
      </c>
      <c r="C1722" s="355" t="s">
        <v>543</v>
      </c>
      <c r="D1722">
        <v>23190</v>
      </c>
      <c r="E1722" s="143">
        <v>80000</v>
      </c>
      <c r="F1722" s="117">
        <v>1404</v>
      </c>
      <c r="G1722" s="360" t="s">
        <v>311</v>
      </c>
      <c r="H1722" s="144">
        <f>bargiri[[#This Row],[میزان بارگیری شده]]*bargiri[[#This Row],[فی]]</f>
        <v>1855200000</v>
      </c>
      <c r="I1722" s="360">
        <f>IF(year=bargiri[[#This Row],[سال]],1,0)</f>
        <v>0</v>
      </c>
      <c r="J1722" s="360" t="str">
        <f>VLOOKUP(bargiri[[#This Row],[شماره پیش فاکتور]],invoice[],16,0)</f>
        <v>تعادلی</v>
      </c>
      <c r="K1722" s="252">
        <f>bargiri[[#This Row],[فی]]*bargiri[[#This Row],[میزان بارگیری شده]]</f>
        <v>1855200000</v>
      </c>
    </row>
    <row r="1723" spans="1:11" ht="18.600000000000001">
      <c r="A1723" s="360" t="s">
        <v>577</v>
      </c>
      <c r="B1723" s="360" t="s">
        <v>103</v>
      </c>
      <c r="C1723" s="355" t="s">
        <v>560</v>
      </c>
      <c r="D1723">
        <v>7140</v>
      </c>
      <c r="E1723" s="143">
        <v>142000</v>
      </c>
      <c r="F1723" s="117">
        <v>1404</v>
      </c>
      <c r="G1723" s="360" t="s">
        <v>311</v>
      </c>
      <c r="H1723" s="144">
        <f>bargiri[[#This Row],[میزان بارگیری شده]]*bargiri[[#This Row],[فی]]</f>
        <v>1013880000</v>
      </c>
      <c r="I1723" s="360">
        <f>IF(year=bargiri[[#This Row],[سال]],1,0)</f>
        <v>0</v>
      </c>
      <c r="J1723" s="360" t="str">
        <f>VLOOKUP(bargiri[[#This Row],[شماره پیش فاکتور]],invoice[],16,0)</f>
        <v>انجمن</v>
      </c>
      <c r="K1723" s="252">
        <f>bargiri[[#This Row],[فی]]*bargiri[[#This Row],[میزان بارگیری شده]]</f>
        <v>1013880000</v>
      </c>
    </row>
    <row r="1724" spans="1:11" ht="18.600000000000001">
      <c r="A1724" s="360" t="s">
        <v>577</v>
      </c>
      <c r="B1724" s="360" t="s">
        <v>103</v>
      </c>
      <c r="C1724" s="355" t="s">
        <v>560</v>
      </c>
      <c r="D1724">
        <v>7165</v>
      </c>
      <c r="E1724" s="143">
        <v>142000</v>
      </c>
      <c r="F1724" s="117">
        <v>1404</v>
      </c>
      <c r="G1724" s="360" t="s">
        <v>311</v>
      </c>
      <c r="H1724" s="144">
        <f>bargiri[[#This Row],[میزان بارگیری شده]]*bargiri[[#This Row],[فی]]</f>
        <v>1017430000</v>
      </c>
      <c r="I1724" s="360">
        <f>IF(year=bargiri[[#This Row],[سال]],1,0)</f>
        <v>0</v>
      </c>
      <c r="J1724" s="360" t="str">
        <f>VLOOKUP(bargiri[[#This Row],[شماره پیش فاکتور]],invoice[],16,0)</f>
        <v>انجمن</v>
      </c>
      <c r="K1724" s="252">
        <f>bargiri[[#This Row],[فی]]*bargiri[[#This Row],[میزان بارگیری شده]]</f>
        <v>1017430000</v>
      </c>
    </row>
    <row r="1725" spans="1:11" ht="18.600000000000001">
      <c r="A1725" s="360" t="s">
        <v>577</v>
      </c>
      <c r="B1725" s="360" t="s">
        <v>116</v>
      </c>
      <c r="C1725" s="355" t="s">
        <v>564</v>
      </c>
      <c r="D1725">
        <v>17880</v>
      </c>
      <c r="E1725" s="143">
        <v>142000</v>
      </c>
      <c r="F1725" s="117">
        <v>1404</v>
      </c>
      <c r="G1725" s="360" t="s">
        <v>311</v>
      </c>
      <c r="H1725" s="144">
        <f>bargiri[[#This Row],[میزان بارگیری شده]]*bargiri[[#This Row],[فی]]</f>
        <v>2538960000</v>
      </c>
      <c r="I1725" s="360">
        <f>IF(year=bargiri[[#This Row],[سال]],1,0)</f>
        <v>0</v>
      </c>
      <c r="J1725" s="360" t="str">
        <f>VLOOKUP(bargiri[[#This Row],[شماره پیش فاکتور]],invoice[],16,0)</f>
        <v>انجمن</v>
      </c>
      <c r="K1725" s="252">
        <f>bargiri[[#This Row],[فی]]*bargiri[[#This Row],[میزان بارگیری شده]]</f>
        <v>2538960000</v>
      </c>
    </row>
    <row r="1726" spans="1:11" ht="18.600000000000001">
      <c r="A1726" s="360" t="s">
        <v>577</v>
      </c>
      <c r="B1726" s="360" t="s">
        <v>104</v>
      </c>
      <c r="C1726" s="355" t="s">
        <v>38</v>
      </c>
      <c r="D1726">
        <v>17990</v>
      </c>
      <c r="E1726" s="143">
        <v>83800</v>
      </c>
      <c r="F1726" s="117">
        <v>1404</v>
      </c>
      <c r="G1726" s="360" t="s">
        <v>311</v>
      </c>
      <c r="H1726" s="144">
        <f>bargiri[[#This Row],[میزان بارگیری شده]]*bargiri[[#This Row],[فی]]</f>
        <v>1507562000</v>
      </c>
      <c r="I1726" s="360">
        <f>IF(year=bargiri[[#This Row],[سال]],1,0)</f>
        <v>0</v>
      </c>
      <c r="J1726" s="360" t="str">
        <f>VLOOKUP(bargiri[[#This Row],[شماره پیش فاکتور]],invoice[],16,0)</f>
        <v>بورس</v>
      </c>
      <c r="K1726" s="252">
        <f>bargiri[[#This Row],[فی]]*bargiri[[#This Row],[میزان بارگیری شده]]</f>
        <v>1507562000</v>
      </c>
    </row>
    <row r="1727" spans="1:11" ht="18.600000000000001">
      <c r="A1727" s="360" t="s">
        <v>577</v>
      </c>
      <c r="B1727" s="360" t="s">
        <v>103</v>
      </c>
      <c r="C1727" s="355" t="s">
        <v>560</v>
      </c>
      <c r="D1727">
        <v>7515</v>
      </c>
      <c r="E1727" s="143">
        <v>142000</v>
      </c>
      <c r="F1727" s="117">
        <v>1404</v>
      </c>
      <c r="G1727" s="360" t="s">
        <v>311</v>
      </c>
      <c r="H1727" s="144">
        <f>bargiri[[#This Row],[میزان بارگیری شده]]*bargiri[[#This Row],[فی]]</f>
        <v>1067130000</v>
      </c>
      <c r="I1727" s="360">
        <f>IF(year=bargiri[[#This Row],[سال]],1,0)</f>
        <v>0</v>
      </c>
      <c r="J1727" s="360" t="str">
        <f>VLOOKUP(bargiri[[#This Row],[شماره پیش فاکتور]],invoice[],16,0)</f>
        <v>انجمن</v>
      </c>
      <c r="K1727" s="252">
        <f>bargiri[[#This Row],[فی]]*bargiri[[#This Row],[میزان بارگیری شده]]</f>
        <v>1067130000</v>
      </c>
    </row>
    <row r="1728" spans="1:11" ht="18.600000000000001">
      <c r="A1728" s="360" t="s">
        <v>577</v>
      </c>
      <c r="B1728" s="360" t="s">
        <v>113</v>
      </c>
      <c r="C1728" s="355" t="s">
        <v>61</v>
      </c>
      <c r="D1728">
        <v>18990</v>
      </c>
      <c r="E1728" s="143">
        <v>75000</v>
      </c>
      <c r="F1728" s="117">
        <v>1404</v>
      </c>
      <c r="G1728" s="360" t="s">
        <v>311</v>
      </c>
      <c r="H1728" s="144">
        <f>bargiri[[#This Row],[میزان بارگیری شده]]*bargiri[[#This Row],[فی]]</f>
        <v>1424250000</v>
      </c>
      <c r="I1728" s="360">
        <f>IF(year=bargiri[[#This Row],[سال]],1,0)</f>
        <v>0</v>
      </c>
      <c r="J1728" s="360" t="str">
        <f>VLOOKUP(bargiri[[#This Row],[شماره پیش فاکتور]],invoice[],16,0)</f>
        <v>عادی</v>
      </c>
      <c r="K1728" s="252">
        <f>bargiri[[#This Row],[فی]]*bargiri[[#This Row],[میزان بارگیری شده]]</f>
        <v>1424250000</v>
      </c>
    </row>
    <row r="1729" spans="1:11" ht="18.600000000000001">
      <c r="A1729" s="360" t="s">
        <v>576</v>
      </c>
      <c r="B1729" s="360" t="s">
        <v>122</v>
      </c>
      <c r="C1729" s="355" t="s">
        <v>91</v>
      </c>
      <c r="D1729">
        <v>19840</v>
      </c>
      <c r="E1729" s="143">
        <v>75000</v>
      </c>
      <c r="F1729" s="117">
        <v>1404</v>
      </c>
      <c r="G1729" s="360" t="s">
        <v>311</v>
      </c>
      <c r="H1729" s="144">
        <f>bargiri[[#This Row],[میزان بارگیری شده]]*bargiri[[#This Row],[فی]]</f>
        <v>1488000000</v>
      </c>
      <c r="I1729" s="360">
        <f>IF(year=bargiri[[#This Row],[سال]],1,0)</f>
        <v>0</v>
      </c>
      <c r="J1729" s="360" t="str">
        <f>VLOOKUP(bargiri[[#This Row],[شماره پیش فاکتور]],invoice[],16,0)</f>
        <v>عادی</v>
      </c>
      <c r="K1729" s="252">
        <f>bargiri[[#This Row],[فی]]*bargiri[[#This Row],[میزان بارگیری شده]]</f>
        <v>1488000000</v>
      </c>
    </row>
    <row r="1730" spans="1:11" ht="18.600000000000001">
      <c r="A1730" s="360" t="s">
        <v>576</v>
      </c>
      <c r="B1730" s="360" t="s">
        <v>109</v>
      </c>
      <c r="C1730" s="355" t="s">
        <v>563</v>
      </c>
      <c r="D1730">
        <v>7535</v>
      </c>
      <c r="E1730" s="143">
        <v>142000</v>
      </c>
      <c r="F1730" s="117">
        <v>1404</v>
      </c>
      <c r="G1730" s="360" t="s">
        <v>311</v>
      </c>
      <c r="H1730" s="144">
        <f>bargiri[[#This Row],[میزان بارگیری شده]]*bargiri[[#This Row],[فی]]</f>
        <v>1069970000</v>
      </c>
      <c r="I1730" s="360">
        <f>IF(year=bargiri[[#This Row],[سال]],1,0)</f>
        <v>0</v>
      </c>
      <c r="J1730" s="360" t="str">
        <f>VLOOKUP(bargiri[[#This Row],[شماره پیش فاکتور]],invoice[],16,0)</f>
        <v>انجمن</v>
      </c>
      <c r="K1730" s="252">
        <f>bargiri[[#This Row],[فی]]*bargiri[[#This Row],[میزان بارگیری شده]]</f>
        <v>1069970000</v>
      </c>
    </row>
    <row r="1731" spans="1:11" ht="18.600000000000001">
      <c r="A1731" s="360" t="s">
        <v>576</v>
      </c>
      <c r="B1731" s="360" t="s">
        <v>102</v>
      </c>
      <c r="C1731" s="355" t="s">
        <v>24</v>
      </c>
      <c r="D1731">
        <v>11800</v>
      </c>
      <c r="E1731" s="143">
        <v>70000</v>
      </c>
      <c r="F1731" s="117">
        <v>1404</v>
      </c>
      <c r="G1731" s="360" t="s">
        <v>311</v>
      </c>
      <c r="H1731" s="144">
        <f>bargiri[[#This Row],[میزان بارگیری شده]]*bargiri[[#This Row],[فی]]</f>
        <v>826000000</v>
      </c>
      <c r="I1731" s="360">
        <f>IF(year=bargiri[[#This Row],[سال]],1,0)</f>
        <v>0</v>
      </c>
      <c r="J1731" s="360" t="str">
        <f>VLOOKUP(bargiri[[#This Row],[شماره پیش فاکتور]],invoice[],16,0)</f>
        <v>عادی</v>
      </c>
      <c r="K1731" s="252">
        <f>bargiri[[#This Row],[فی]]*bargiri[[#This Row],[میزان بارگیری شده]]</f>
        <v>826000000</v>
      </c>
    </row>
    <row r="1732" spans="1:11" ht="18.600000000000001">
      <c r="A1732" s="360" t="s">
        <v>576</v>
      </c>
      <c r="B1732" s="360" t="s">
        <v>101</v>
      </c>
      <c r="C1732" s="355" t="s">
        <v>19</v>
      </c>
      <c r="D1732">
        <v>21070</v>
      </c>
      <c r="E1732" s="143">
        <v>75000</v>
      </c>
      <c r="F1732" s="117">
        <v>1404</v>
      </c>
      <c r="G1732" s="360" t="s">
        <v>311</v>
      </c>
      <c r="H1732" s="144">
        <f>bargiri[[#This Row],[میزان بارگیری شده]]*bargiri[[#This Row],[فی]]</f>
        <v>1580250000</v>
      </c>
      <c r="I1732" s="360">
        <f>IF(year=bargiri[[#This Row],[سال]],1,0)</f>
        <v>0</v>
      </c>
      <c r="J1732" s="360" t="str">
        <f>VLOOKUP(bargiri[[#This Row],[شماره پیش فاکتور]],invoice[],16,0)</f>
        <v>عادی</v>
      </c>
      <c r="K1732" s="252">
        <f>bargiri[[#This Row],[فی]]*bargiri[[#This Row],[میزان بارگیری شده]]</f>
        <v>1580250000</v>
      </c>
    </row>
    <row r="1733" spans="1:11" ht="18.600000000000001">
      <c r="A1733" s="360" t="s">
        <v>576</v>
      </c>
      <c r="B1733" s="360" t="s">
        <v>113</v>
      </c>
      <c r="C1733" s="355" t="s">
        <v>61</v>
      </c>
      <c r="D1733">
        <v>19300</v>
      </c>
      <c r="E1733" s="143">
        <v>75000</v>
      </c>
      <c r="F1733" s="117">
        <v>1404</v>
      </c>
      <c r="G1733" s="360" t="s">
        <v>311</v>
      </c>
      <c r="H1733" s="144">
        <f>bargiri[[#This Row],[میزان بارگیری شده]]*bargiri[[#This Row],[فی]]</f>
        <v>1447500000</v>
      </c>
      <c r="I1733" s="360">
        <f>IF(year=bargiri[[#This Row],[سال]],1,0)</f>
        <v>0</v>
      </c>
      <c r="J1733" s="360" t="str">
        <f>VLOOKUP(bargiri[[#This Row],[شماره پیش فاکتور]],invoice[],16,0)</f>
        <v>عادی</v>
      </c>
      <c r="K1733" s="252">
        <f>bargiri[[#This Row],[فی]]*bargiri[[#This Row],[میزان بارگیری شده]]</f>
        <v>1447500000</v>
      </c>
    </row>
    <row r="1734" spans="1:11" ht="18.600000000000001">
      <c r="A1734" s="360" t="s">
        <v>576</v>
      </c>
      <c r="B1734" s="360" t="s">
        <v>109</v>
      </c>
      <c r="C1734" s="355" t="s">
        <v>563</v>
      </c>
      <c r="D1734">
        <v>7465</v>
      </c>
      <c r="E1734" s="143">
        <v>142000</v>
      </c>
      <c r="F1734" s="117">
        <v>1404</v>
      </c>
      <c r="G1734" s="360" t="s">
        <v>311</v>
      </c>
      <c r="H1734" s="144">
        <f>bargiri[[#This Row],[میزان بارگیری شده]]*bargiri[[#This Row],[فی]]</f>
        <v>1060030000</v>
      </c>
      <c r="I1734" s="360">
        <f>IF(year=bargiri[[#This Row],[سال]],1,0)</f>
        <v>0</v>
      </c>
      <c r="J1734" s="360" t="str">
        <f>VLOOKUP(bargiri[[#This Row],[شماره پیش فاکتور]],invoice[],16,0)</f>
        <v>انجمن</v>
      </c>
      <c r="K1734" s="252">
        <f>bargiri[[#This Row],[فی]]*bargiri[[#This Row],[میزان بارگیری شده]]</f>
        <v>1060030000</v>
      </c>
    </row>
    <row r="1735" spans="1:11" ht="18.600000000000001">
      <c r="A1735" s="360" t="s">
        <v>576</v>
      </c>
      <c r="B1735" s="360" t="s">
        <v>116</v>
      </c>
      <c r="C1735" s="355" t="s">
        <v>564</v>
      </c>
      <c r="D1735">
        <v>17685</v>
      </c>
      <c r="E1735" s="143">
        <v>142000</v>
      </c>
      <c r="F1735" s="117">
        <v>1404</v>
      </c>
      <c r="G1735" s="360" t="s">
        <v>311</v>
      </c>
      <c r="H1735" s="144">
        <f>bargiri[[#This Row],[میزان بارگیری شده]]*bargiri[[#This Row],[فی]]</f>
        <v>2511270000</v>
      </c>
      <c r="I1735" s="360">
        <f>IF(year=bargiri[[#This Row],[سال]],1,0)</f>
        <v>0</v>
      </c>
      <c r="J1735" s="360" t="str">
        <f>VLOOKUP(bargiri[[#This Row],[شماره پیش فاکتور]],invoice[],16,0)</f>
        <v>انجمن</v>
      </c>
      <c r="K1735" s="252">
        <f>bargiri[[#This Row],[فی]]*bargiri[[#This Row],[میزان بارگیری شده]]</f>
        <v>2511270000</v>
      </c>
    </row>
    <row r="1736" spans="1:11" ht="18.600000000000001">
      <c r="A1736" s="360" t="s">
        <v>578</v>
      </c>
      <c r="B1736" s="360" t="s">
        <v>101</v>
      </c>
      <c r="C1736" s="355" t="s">
        <v>19</v>
      </c>
      <c r="D1736">
        <v>20190</v>
      </c>
      <c r="E1736" s="143">
        <v>75000</v>
      </c>
      <c r="F1736" s="117">
        <v>1404</v>
      </c>
      <c r="G1736" s="360" t="s">
        <v>311</v>
      </c>
      <c r="H1736" s="144">
        <f>bargiri[[#This Row],[میزان بارگیری شده]]*bargiri[[#This Row],[فی]]</f>
        <v>1514250000</v>
      </c>
      <c r="I1736" s="360">
        <f>IF(year=bargiri[[#This Row],[سال]],1,0)</f>
        <v>0</v>
      </c>
      <c r="J1736" s="360" t="str">
        <f>VLOOKUP(bargiri[[#This Row],[شماره پیش فاکتور]],invoice[],16,0)</f>
        <v>عادی</v>
      </c>
      <c r="K1736" s="252">
        <f>bargiri[[#This Row],[فی]]*bargiri[[#This Row],[میزان بارگیری شده]]</f>
        <v>1514250000</v>
      </c>
    </row>
    <row r="1737" spans="1:11" ht="18.600000000000001">
      <c r="A1737" s="360" t="s">
        <v>578</v>
      </c>
      <c r="B1737" s="360" t="s">
        <v>103</v>
      </c>
      <c r="C1737" s="355" t="s">
        <v>560</v>
      </c>
      <c r="D1737">
        <v>20020</v>
      </c>
      <c r="E1737" s="143">
        <v>142000</v>
      </c>
      <c r="F1737" s="117">
        <v>1404</v>
      </c>
      <c r="G1737" s="360" t="s">
        <v>311</v>
      </c>
      <c r="H1737" s="144">
        <f>bargiri[[#This Row],[میزان بارگیری شده]]*bargiri[[#This Row],[فی]]</f>
        <v>2842840000</v>
      </c>
      <c r="I1737" s="360">
        <f>IF(year=bargiri[[#This Row],[سال]],1,0)</f>
        <v>0</v>
      </c>
      <c r="J1737" s="360" t="str">
        <f>VLOOKUP(bargiri[[#This Row],[شماره پیش فاکتور]],invoice[],16,0)</f>
        <v>انجمن</v>
      </c>
      <c r="K1737" s="252">
        <f>bargiri[[#This Row],[فی]]*bargiri[[#This Row],[میزان بارگیری شده]]</f>
        <v>2842840000</v>
      </c>
    </row>
    <row r="1738" spans="1:11" ht="18.600000000000001">
      <c r="A1738" s="360" t="s">
        <v>578</v>
      </c>
      <c r="B1738" s="360" t="s">
        <v>116</v>
      </c>
      <c r="C1738" s="355" t="s">
        <v>564</v>
      </c>
      <c r="D1738">
        <v>19970</v>
      </c>
      <c r="E1738" s="143">
        <v>142000</v>
      </c>
      <c r="F1738" s="117">
        <v>1404</v>
      </c>
      <c r="G1738" s="360" t="s">
        <v>311</v>
      </c>
      <c r="H1738" s="144">
        <f>bargiri[[#This Row],[میزان بارگیری شده]]*bargiri[[#This Row],[فی]]</f>
        <v>2835740000</v>
      </c>
      <c r="I1738" s="360">
        <f>IF(year=bargiri[[#This Row],[سال]],1,0)</f>
        <v>0</v>
      </c>
      <c r="J1738" s="360" t="str">
        <f>VLOOKUP(bargiri[[#This Row],[شماره پیش فاکتور]],invoice[],16,0)</f>
        <v>انجمن</v>
      </c>
      <c r="K1738" s="252">
        <f>bargiri[[#This Row],[فی]]*bargiri[[#This Row],[میزان بارگیری شده]]</f>
        <v>2835740000</v>
      </c>
    </row>
    <row r="1739" spans="1:11" ht="18.600000000000001">
      <c r="A1739" s="360" t="s">
        <v>578</v>
      </c>
      <c r="B1739" s="360" t="s">
        <v>102</v>
      </c>
      <c r="C1739" s="355" t="s">
        <v>24</v>
      </c>
      <c r="D1739">
        <v>10150</v>
      </c>
      <c r="E1739" s="143">
        <v>70000</v>
      </c>
      <c r="F1739" s="117">
        <v>1404</v>
      </c>
      <c r="G1739" s="360" t="s">
        <v>311</v>
      </c>
      <c r="H1739" s="144">
        <f>bargiri[[#This Row],[میزان بارگیری شده]]*bargiri[[#This Row],[فی]]</f>
        <v>710500000</v>
      </c>
      <c r="I1739" s="360">
        <f>IF(year=bargiri[[#This Row],[سال]],1,0)</f>
        <v>0</v>
      </c>
      <c r="J1739" s="360" t="str">
        <f>VLOOKUP(bargiri[[#This Row],[شماره پیش فاکتور]],invoice[],16,0)</f>
        <v>عادی</v>
      </c>
      <c r="K1739" s="252">
        <f>bargiri[[#This Row],[فی]]*bargiri[[#This Row],[میزان بارگیری شده]]</f>
        <v>710500000</v>
      </c>
    </row>
    <row r="1740" spans="1:11" ht="18.600000000000001">
      <c r="A1740" s="360" t="s">
        <v>578</v>
      </c>
      <c r="B1740" s="360" t="s">
        <v>100</v>
      </c>
      <c r="C1740" s="355" t="s">
        <v>555</v>
      </c>
      <c r="D1740">
        <v>6690</v>
      </c>
      <c r="E1740" s="143">
        <v>142000</v>
      </c>
      <c r="F1740" s="117">
        <v>1404</v>
      </c>
      <c r="G1740" s="360" t="s">
        <v>311</v>
      </c>
      <c r="H1740" s="144">
        <f>bargiri[[#This Row],[میزان بارگیری شده]]*bargiri[[#This Row],[فی]]</f>
        <v>949980000</v>
      </c>
      <c r="I1740" s="360">
        <f>IF(year=bargiri[[#This Row],[سال]],1,0)</f>
        <v>0</v>
      </c>
      <c r="J1740" s="360" t="str">
        <f>VLOOKUP(bargiri[[#This Row],[شماره پیش فاکتور]],invoice[],16,0)</f>
        <v>انجمن</v>
      </c>
      <c r="K1740" s="252">
        <f>bargiri[[#This Row],[فی]]*bargiri[[#This Row],[میزان بارگیری شده]]</f>
        <v>949980000</v>
      </c>
    </row>
    <row r="1741" spans="1:11" ht="18.600000000000001">
      <c r="A1741" s="360" t="s">
        <v>578</v>
      </c>
      <c r="B1741" s="360" t="s">
        <v>125</v>
      </c>
      <c r="C1741" s="355" t="s">
        <v>570</v>
      </c>
      <c r="D1741">
        <v>14335</v>
      </c>
      <c r="E1741" s="143">
        <v>142000</v>
      </c>
      <c r="F1741" s="117">
        <v>1404</v>
      </c>
      <c r="G1741" s="360" t="s">
        <v>311</v>
      </c>
      <c r="H1741" s="144">
        <f>bargiri[[#This Row],[میزان بارگیری شده]]*bargiri[[#This Row],[فی]]</f>
        <v>2035570000</v>
      </c>
      <c r="I1741" s="360">
        <f>IF(year=bargiri[[#This Row],[سال]],1,0)</f>
        <v>0</v>
      </c>
      <c r="J1741" s="360" t="str">
        <f>VLOOKUP(bargiri[[#This Row],[شماره پیش فاکتور]],invoice[],16,0)</f>
        <v>انجمن</v>
      </c>
      <c r="K1741" s="252">
        <f>bargiri[[#This Row],[فی]]*bargiri[[#This Row],[میزان بارگیری شده]]</f>
        <v>2035570000</v>
      </c>
    </row>
    <row r="1742" spans="1:11" ht="18.600000000000001">
      <c r="A1742" s="360" t="s">
        <v>579</v>
      </c>
      <c r="B1742" s="360" t="s">
        <v>109</v>
      </c>
      <c r="C1742" s="355" t="s">
        <v>563</v>
      </c>
      <c r="D1742">
        <v>7365</v>
      </c>
      <c r="E1742" s="143">
        <v>142000</v>
      </c>
      <c r="F1742" s="117">
        <v>1404</v>
      </c>
      <c r="G1742" s="360" t="s">
        <v>311</v>
      </c>
      <c r="H1742" s="144">
        <f>bargiri[[#This Row],[میزان بارگیری شده]]*bargiri[[#This Row],[فی]]</f>
        <v>1045830000</v>
      </c>
      <c r="I1742" s="360">
        <f>IF(year=bargiri[[#This Row],[سال]],1,0)</f>
        <v>0</v>
      </c>
      <c r="J1742" s="360" t="str">
        <f>VLOOKUP(bargiri[[#This Row],[شماره پیش فاکتور]],invoice[],16,0)</f>
        <v>انجمن</v>
      </c>
      <c r="K1742" s="252">
        <f>bargiri[[#This Row],[فی]]*bargiri[[#This Row],[میزان بارگیری شده]]</f>
        <v>1045830000</v>
      </c>
    </row>
    <row r="1743" spans="1:11" ht="18.600000000000001">
      <c r="A1743" s="360" t="s">
        <v>579</v>
      </c>
      <c r="B1743" s="360" t="s">
        <v>116</v>
      </c>
      <c r="C1743" s="355" t="s">
        <v>564</v>
      </c>
      <c r="D1743">
        <v>20005</v>
      </c>
      <c r="E1743" s="143">
        <v>142000</v>
      </c>
      <c r="F1743" s="117">
        <v>1404</v>
      </c>
      <c r="G1743" s="360" t="s">
        <v>311</v>
      </c>
      <c r="H1743" s="144">
        <f>bargiri[[#This Row],[میزان بارگیری شده]]*bargiri[[#This Row],[فی]]</f>
        <v>2840710000</v>
      </c>
      <c r="I1743" s="360">
        <f>IF(year=bargiri[[#This Row],[سال]],1,0)</f>
        <v>0</v>
      </c>
      <c r="J1743" s="360" t="str">
        <f>VLOOKUP(bargiri[[#This Row],[شماره پیش فاکتور]],invoice[],16,0)</f>
        <v>انجمن</v>
      </c>
      <c r="K1743" s="252">
        <f>bargiri[[#This Row],[فی]]*bargiri[[#This Row],[میزان بارگیری شده]]</f>
        <v>2840710000</v>
      </c>
    </row>
    <row r="1744" spans="1:11" ht="18.600000000000001">
      <c r="A1744" s="360" t="s">
        <v>579</v>
      </c>
      <c r="B1744" s="360" t="s">
        <v>116</v>
      </c>
      <c r="C1744" s="355" t="s">
        <v>564</v>
      </c>
      <c r="D1744">
        <v>8100</v>
      </c>
      <c r="E1744" s="143">
        <v>142000</v>
      </c>
      <c r="F1744" s="117">
        <v>1404</v>
      </c>
      <c r="G1744" s="360" t="s">
        <v>311</v>
      </c>
      <c r="H1744" s="144">
        <f>bargiri[[#This Row],[میزان بارگیری شده]]*bargiri[[#This Row],[فی]]</f>
        <v>1150200000</v>
      </c>
      <c r="I1744" s="360">
        <f>IF(year=bargiri[[#This Row],[سال]],1,0)</f>
        <v>0</v>
      </c>
      <c r="J1744" s="360" t="str">
        <f>VLOOKUP(bargiri[[#This Row],[شماره پیش فاکتور]],invoice[],16,0)</f>
        <v>انجمن</v>
      </c>
      <c r="K1744" s="252">
        <f>bargiri[[#This Row],[فی]]*bargiri[[#This Row],[میزان بارگیری شده]]</f>
        <v>1150200000</v>
      </c>
    </row>
    <row r="1745" spans="1:11" ht="18.600000000000001">
      <c r="A1745" s="360" t="s">
        <v>579</v>
      </c>
      <c r="B1745" s="360" t="s">
        <v>103</v>
      </c>
      <c r="C1745" s="355" t="s">
        <v>560</v>
      </c>
      <c r="D1745">
        <v>7200</v>
      </c>
      <c r="E1745" s="143">
        <v>142000</v>
      </c>
      <c r="F1745" s="117">
        <v>1404</v>
      </c>
      <c r="G1745" s="360" t="s">
        <v>311</v>
      </c>
      <c r="H1745" s="144">
        <f>bargiri[[#This Row],[میزان بارگیری شده]]*bargiri[[#This Row],[فی]]</f>
        <v>1022400000</v>
      </c>
      <c r="I1745" s="360">
        <f>IF(year=bargiri[[#This Row],[سال]],1,0)</f>
        <v>0</v>
      </c>
      <c r="J1745" s="360" t="str">
        <f>VLOOKUP(bargiri[[#This Row],[شماره پیش فاکتور]],invoice[],16,0)</f>
        <v>انجمن</v>
      </c>
      <c r="K1745" s="252">
        <f>bargiri[[#This Row],[فی]]*bargiri[[#This Row],[میزان بارگیری شده]]</f>
        <v>1022400000</v>
      </c>
    </row>
    <row r="1746" spans="1:11" ht="18.600000000000001">
      <c r="A1746" s="360" t="s">
        <v>579</v>
      </c>
      <c r="B1746" s="360" t="s">
        <v>116</v>
      </c>
      <c r="C1746" s="355" t="s">
        <v>564</v>
      </c>
      <c r="D1746">
        <v>20015</v>
      </c>
      <c r="E1746" s="143">
        <v>142000</v>
      </c>
      <c r="F1746" s="117">
        <v>1404</v>
      </c>
      <c r="G1746" s="360" t="s">
        <v>311</v>
      </c>
      <c r="H1746" s="144">
        <f>bargiri[[#This Row],[میزان بارگیری شده]]*bargiri[[#This Row],[فی]]</f>
        <v>2842130000</v>
      </c>
      <c r="I1746" s="360">
        <f>IF(year=bargiri[[#This Row],[سال]],1,0)</f>
        <v>0</v>
      </c>
      <c r="J1746" s="360" t="str">
        <f>VLOOKUP(bargiri[[#This Row],[شماره پیش فاکتور]],invoice[],16,0)</f>
        <v>انجمن</v>
      </c>
      <c r="K1746" s="252">
        <f>bargiri[[#This Row],[فی]]*bargiri[[#This Row],[میزان بارگیری شده]]</f>
        <v>2842130000</v>
      </c>
    </row>
    <row r="1747" spans="1:11" ht="18.600000000000001">
      <c r="A1747" s="360" t="s">
        <v>579</v>
      </c>
      <c r="B1747" s="360" t="s">
        <v>116</v>
      </c>
      <c r="C1747" s="355" t="s">
        <v>564</v>
      </c>
      <c r="D1747">
        <v>19970</v>
      </c>
      <c r="E1747" s="143">
        <v>142000</v>
      </c>
      <c r="F1747" s="117">
        <v>1404</v>
      </c>
      <c r="G1747" s="360" t="s">
        <v>311</v>
      </c>
      <c r="H1747" s="144">
        <f>bargiri[[#This Row],[میزان بارگیری شده]]*bargiri[[#This Row],[فی]]</f>
        <v>2835740000</v>
      </c>
      <c r="I1747" s="360">
        <f>IF(year=bargiri[[#This Row],[سال]],1,0)</f>
        <v>0</v>
      </c>
      <c r="J1747" s="360" t="str">
        <f>VLOOKUP(bargiri[[#This Row],[شماره پیش فاکتور]],invoice[],16,0)</f>
        <v>انجمن</v>
      </c>
      <c r="K1747" s="252">
        <f>bargiri[[#This Row],[فی]]*bargiri[[#This Row],[میزان بارگیری شده]]</f>
        <v>2835740000</v>
      </c>
    </row>
    <row r="1748" spans="1:11" ht="18.600000000000001">
      <c r="A1748" s="360" t="s">
        <v>579</v>
      </c>
      <c r="B1748" s="360" t="s">
        <v>103</v>
      </c>
      <c r="C1748" s="355" t="s">
        <v>560</v>
      </c>
      <c r="D1748">
        <v>7455</v>
      </c>
      <c r="E1748" s="143">
        <v>142000</v>
      </c>
      <c r="F1748" s="117">
        <v>1404</v>
      </c>
      <c r="G1748" s="360" t="s">
        <v>311</v>
      </c>
      <c r="H1748" s="144">
        <f>bargiri[[#This Row],[میزان بارگیری شده]]*bargiri[[#This Row],[فی]]</f>
        <v>1058610000</v>
      </c>
      <c r="I1748" s="360">
        <f>IF(year=bargiri[[#This Row],[سال]],1,0)</f>
        <v>0</v>
      </c>
      <c r="J1748" s="360" t="str">
        <f>VLOOKUP(bargiri[[#This Row],[شماره پیش فاکتور]],invoice[],16,0)</f>
        <v>انجمن</v>
      </c>
      <c r="K1748" s="252">
        <f>bargiri[[#This Row],[فی]]*bargiri[[#This Row],[میزان بارگیری شده]]</f>
        <v>1058610000</v>
      </c>
    </row>
    <row r="1749" spans="1:11" ht="18.600000000000001">
      <c r="A1749" s="360" t="s">
        <v>579</v>
      </c>
      <c r="B1749" s="360" t="s">
        <v>101</v>
      </c>
      <c r="C1749" s="355" t="s">
        <v>19</v>
      </c>
      <c r="D1749">
        <v>20170</v>
      </c>
      <c r="E1749" s="143">
        <v>75000</v>
      </c>
      <c r="F1749" s="117">
        <v>1404</v>
      </c>
      <c r="G1749" s="360" t="s">
        <v>311</v>
      </c>
      <c r="H1749" s="144">
        <f>bargiri[[#This Row],[میزان بارگیری شده]]*bargiri[[#This Row],[فی]]</f>
        <v>1512750000</v>
      </c>
      <c r="I1749" s="360">
        <f>IF(year=bargiri[[#This Row],[سال]],1,0)</f>
        <v>0</v>
      </c>
      <c r="J1749" s="360" t="str">
        <f>VLOOKUP(bargiri[[#This Row],[شماره پیش فاکتور]],invoice[],16,0)</f>
        <v>عادی</v>
      </c>
      <c r="K1749" s="252">
        <f>bargiri[[#This Row],[فی]]*bargiri[[#This Row],[میزان بارگیری شده]]</f>
        <v>1512750000</v>
      </c>
    </row>
    <row r="1750" spans="1:11" ht="18.600000000000001">
      <c r="A1750" s="360" t="s">
        <v>579</v>
      </c>
      <c r="B1750" s="360" t="s">
        <v>117</v>
      </c>
      <c r="C1750" s="355" t="s">
        <v>79</v>
      </c>
      <c r="D1750">
        <v>19945</v>
      </c>
      <c r="E1750" s="143">
        <v>75000</v>
      </c>
      <c r="F1750" s="117">
        <v>1404</v>
      </c>
      <c r="G1750" s="360" t="s">
        <v>311</v>
      </c>
      <c r="H1750" s="144">
        <f>bargiri[[#This Row],[میزان بارگیری شده]]*bargiri[[#This Row],[فی]]</f>
        <v>1495875000</v>
      </c>
      <c r="I1750" s="360">
        <f>IF(year=bargiri[[#This Row],[سال]],1,0)</f>
        <v>0</v>
      </c>
      <c r="J1750" s="360" t="str">
        <f>VLOOKUP(bargiri[[#This Row],[شماره پیش فاکتور]],invoice[],16,0)</f>
        <v>عادی</v>
      </c>
      <c r="K1750" s="252">
        <f>bargiri[[#This Row],[فی]]*bargiri[[#This Row],[میزان بارگیری شده]]</f>
        <v>1495875000</v>
      </c>
    </row>
    <row r="1751" spans="1:11" ht="18.600000000000001">
      <c r="A1751" s="360" t="s">
        <v>556</v>
      </c>
      <c r="B1751" s="360" t="s">
        <v>103</v>
      </c>
      <c r="C1751" s="355" t="s">
        <v>29</v>
      </c>
      <c r="D1751">
        <v>10283</v>
      </c>
      <c r="E1751" s="143">
        <v>75000</v>
      </c>
      <c r="F1751" s="117">
        <v>1404</v>
      </c>
      <c r="G1751" s="360" t="s">
        <v>311</v>
      </c>
      <c r="H1751" s="144">
        <f>bargiri[[#This Row],[میزان بارگیری شده]]*bargiri[[#This Row],[فی]]</f>
        <v>771225000</v>
      </c>
      <c r="I1751" s="360">
        <f>IF(year=bargiri[[#This Row],[سال]],1,0)</f>
        <v>0</v>
      </c>
      <c r="J1751" s="360" t="str">
        <f>VLOOKUP(bargiri[[#This Row],[شماره پیش فاکتور]],invoice[],16,0)</f>
        <v>عادی</v>
      </c>
      <c r="K1751" s="252">
        <f>bargiri[[#This Row],[فی]]*bargiri[[#This Row],[میزان بارگیری شده]]</f>
        <v>771225000</v>
      </c>
    </row>
    <row r="1752" spans="1:11" ht="18.600000000000001">
      <c r="A1752" s="360" t="s">
        <v>556</v>
      </c>
      <c r="B1752" s="360" t="s">
        <v>103</v>
      </c>
      <c r="C1752" s="355" t="s">
        <v>560</v>
      </c>
      <c r="D1752">
        <v>9837</v>
      </c>
      <c r="E1752" s="143">
        <v>142000</v>
      </c>
      <c r="F1752" s="117">
        <v>1404</v>
      </c>
      <c r="G1752" s="360" t="s">
        <v>311</v>
      </c>
      <c r="H1752" s="144">
        <f>bargiri[[#This Row],[میزان بارگیری شده]]*bargiri[[#This Row],[فی]]</f>
        <v>1396854000</v>
      </c>
      <c r="I1752" s="360">
        <f>IF(year=bargiri[[#This Row],[سال]],1,0)</f>
        <v>0</v>
      </c>
      <c r="J1752" s="360" t="str">
        <f>VLOOKUP(bargiri[[#This Row],[شماره پیش فاکتور]],invoice[],16,0)</f>
        <v>انجمن</v>
      </c>
      <c r="K1752" s="252">
        <f>bargiri[[#This Row],[فی]]*bargiri[[#This Row],[میزان بارگیری شده]]</f>
        <v>1396854000</v>
      </c>
    </row>
    <row r="1753" spans="1:11" ht="18.600000000000001">
      <c r="A1753" s="360" t="s">
        <v>550</v>
      </c>
      <c r="B1753" s="360" t="s">
        <v>113</v>
      </c>
      <c r="C1753" s="355" t="s">
        <v>61</v>
      </c>
      <c r="D1753">
        <v>19145</v>
      </c>
      <c r="E1753" s="143">
        <v>75000</v>
      </c>
      <c r="F1753" s="117">
        <v>1404</v>
      </c>
      <c r="G1753" s="360" t="s">
        <v>311</v>
      </c>
      <c r="H1753" s="144">
        <f>bargiri[[#This Row],[میزان بارگیری شده]]*bargiri[[#This Row],[فی]]</f>
        <v>1435875000</v>
      </c>
      <c r="I1753" s="360">
        <f>IF(year=bargiri[[#This Row],[سال]],1,0)</f>
        <v>0</v>
      </c>
      <c r="J1753" s="360" t="str">
        <f>VLOOKUP(bargiri[[#This Row],[شماره پیش فاکتور]],invoice[],16,0)</f>
        <v>عادی</v>
      </c>
      <c r="K1753" s="252">
        <f>bargiri[[#This Row],[فی]]*bargiri[[#This Row],[میزان بارگیری شده]]</f>
        <v>1435875000</v>
      </c>
    </row>
    <row r="1754" spans="1:11" ht="18.600000000000001">
      <c r="A1754" s="360" t="s">
        <v>556</v>
      </c>
      <c r="B1754" s="360" t="s">
        <v>116</v>
      </c>
      <c r="C1754" s="355" t="s">
        <v>77</v>
      </c>
      <c r="D1754">
        <v>18135</v>
      </c>
      <c r="E1754" s="143">
        <v>68500</v>
      </c>
      <c r="F1754" s="117">
        <v>1404</v>
      </c>
      <c r="G1754" s="360" t="s">
        <v>311</v>
      </c>
      <c r="H1754" s="144">
        <f>bargiri[[#This Row],[میزان بارگیری شده]]*bargiri[[#This Row],[فی]]</f>
        <v>1242247500</v>
      </c>
      <c r="I1754" s="360">
        <f>IF(year=bargiri[[#This Row],[سال]],1,0)</f>
        <v>0</v>
      </c>
      <c r="J1754" s="360" t="str">
        <f>VLOOKUP(bargiri[[#This Row],[شماره پیش فاکتور]],invoice[],16,0)</f>
        <v>عادی</v>
      </c>
      <c r="K1754" s="252">
        <f>bargiri[[#This Row],[فی]]*bargiri[[#This Row],[میزان بارگیری شده]]</f>
        <v>1242247500</v>
      </c>
    </row>
    <row r="1755" spans="1:11" ht="18.600000000000001">
      <c r="A1755" s="360" t="s">
        <v>556</v>
      </c>
      <c r="B1755" s="360" t="s">
        <v>122</v>
      </c>
      <c r="C1755" s="355" t="s">
        <v>91</v>
      </c>
      <c r="D1755">
        <v>19875</v>
      </c>
      <c r="E1755" s="143">
        <v>75000</v>
      </c>
      <c r="F1755" s="117">
        <v>1404</v>
      </c>
      <c r="G1755" s="360" t="s">
        <v>311</v>
      </c>
      <c r="H1755" s="144">
        <f>bargiri[[#This Row],[میزان بارگیری شده]]*bargiri[[#This Row],[فی]]</f>
        <v>1490625000</v>
      </c>
      <c r="I1755" s="360">
        <f>IF(year=bargiri[[#This Row],[سال]],1,0)</f>
        <v>0</v>
      </c>
      <c r="J1755" s="360" t="str">
        <f>VLOOKUP(bargiri[[#This Row],[شماره پیش فاکتور]],invoice[],16,0)</f>
        <v>عادی</v>
      </c>
      <c r="K1755" s="252">
        <f>bargiri[[#This Row],[فی]]*bargiri[[#This Row],[میزان بارگیری شده]]</f>
        <v>1490625000</v>
      </c>
    </row>
    <row r="1756" spans="1:11" ht="18.600000000000001">
      <c r="A1756" s="360" t="s">
        <v>556</v>
      </c>
      <c r="B1756" s="360" t="s">
        <v>103</v>
      </c>
      <c r="C1756" s="355" t="s">
        <v>29</v>
      </c>
      <c r="D1756">
        <v>7275</v>
      </c>
      <c r="E1756" s="143">
        <v>75000</v>
      </c>
      <c r="F1756" s="117">
        <v>1404</v>
      </c>
      <c r="G1756" s="360" t="s">
        <v>311</v>
      </c>
      <c r="H1756" s="144">
        <f>bargiri[[#This Row],[میزان بارگیری شده]]*bargiri[[#This Row],[فی]]</f>
        <v>545625000</v>
      </c>
      <c r="I1756" s="360">
        <f>IF(year=bargiri[[#This Row],[سال]],1,0)</f>
        <v>0</v>
      </c>
      <c r="J1756" s="360" t="str">
        <f>VLOOKUP(bargiri[[#This Row],[شماره پیش فاکتور]],invoice[],16,0)</f>
        <v>عادی</v>
      </c>
      <c r="K1756" s="252">
        <f>bargiri[[#This Row],[فی]]*bargiri[[#This Row],[میزان بارگیری شده]]</f>
        <v>545625000</v>
      </c>
    </row>
    <row r="1757" spans="1:11" ht="18.600000000000001">
      <c r="A1757" s="360" t="s">
        <v>557</v>
      </c>
      <c r="B1757" s="360" t="s">
        <v>116</v>
      </c>
      <c r="C1757" s="355" t="s">
        <v>77</v>
      </c>
      <c r="D1757">
        <v>17800</v>
      </c>
      <c r="E1757" s="143">
        <v>68500</v>
      </c>
      <c r="F1757" s="117">
        <v>1404</v>
      </c>
      <c r="G1757" s="360" t="s">
        <v>311</v>
      </c>
      <c r="H1757" s="144">
        <f>bargiri[[#This Row],[میزان بارگیری شده]]*bargiri[[#This Row],[فی]]</f>
        <v>1219300000</v>
      </c>
      <c r="I1757" s="360">
        <f>IF(year=bargiri[[#This Row],[سال]],1,0)</f>
        <v>0</v>
      </c>
      <c r="J1757" s="360" t="str">
        <f>VLOOKUP(bargiri[[#This Row],[شماره پیش فاکتور]],invoice[],16,0)</f>
        <v>عادی</v>
      </c>
      <c r="K1757" s="252">
        <f>bargiri[[#This Row],[فی]]*bargiri[[#This Row],[میزان بارگیری شده]]</f>
        <v>1219300000</v>
      </c>
    </row>
    <row r="1758" spans="1:11" ht="18.600000000000001">
      <c r="A1758" s="360" t="s">
        <v>557</v>
      </c>
      <c r="B1758" s="360" t="s">
        <v>106</v>
      </c>
      <c r="C1758" s="355" t="s">
        <v>44</v>
      </c>
      <c r="D1758">
        <v>22020</v>
      </c>
      <c r="E1758" s="143">
        <v>80000</v>
      </c>
      <c r="F1758" s="117">
        <v>1404</v>
      </c>
      <c r="G1758" s="360" t="s">
        <v>311</v>
      </c>
      <c r="H1758" s="144">
        <f>bargiri[[#This Row],[میزان بارگیری شده]]*bargiri[[#This Row],[فی]]</f>
        <v>1761600000</v>
      </c>
      <c r="I1758" s="360">
        <f>IF(year=bargiri[[#This Row],[سال]],1,0)</f>
        <v>0</v>
      </c>
      <c r="J1758" s="360" t="str">
        <f>VLOOKUP(bargiri[[#This Row],[شماره پیش فاکتور]],invoice[],16,0)</f>
        <v>عادی</v>
      </c>
      <c r="K1758" s="252">
        <f>bargiri[[#This Row],[فی]]*bargiri[[#This Row],[میزان بارگیری شده]]</f>
        <v>1761600000</v>
      </c>
    </row>
    <row r="1759" spans="1:11" ht="18.600000000000001">
      <c r="A1759" s="360" t="s">
        <v>557</v>
      </c>
      <c r="B1759" s="360" t="s">
        <v>116</v>
      </c>
      <c r="C1759" s="355" t="s">
        <v>77</v>
      </c>
      <c r="D1759">
        <v>8125</v>
      </c>
      <c r="E1759" s="143">
        <v>68500</v>
      </c>
      <c r="F1759" s="117">
        <v>1404</v>
      </c>
      <c r="G1759" s="360" t="s">
        <v>311</v>
      </c>
      <c r="H1759" s="144">
        <f>bargiri[[#This Row],[میزان بارگیری شده]]*bargiri[[#This Row],[فی]]</f>
        <v>556562500</v>
      </c>
      <c r="I1759" s="360">
        <f>IF(year=bargiri[[#This Row],[سال]],1,0)</f>
        <v>0</v>
      </c>
      <c r="J1759" s="360" t="str">
        <f>VLOOKUP(bargiri[[#This Row],[شماره پیش فاکتور]],invoice[],16,0)</f>
        <v>عادی</v>
      </c>
      <c r="K1759" s="252">
        <f>bargiri[[#This Row],[فی]]*bargiri[[#This Row],[میزان بارگیری شده]]</f>
        <v>556562500</v>
      </c>
    </row>
    <row r="1760" spans="1:11" ht="18.600000000000001">
      <c r="A1760" s="360" t="s">
        <v>557</v>
      </c>
      <c r="B1760" s="360" t="s">
        <v>114</v>
      </c>
      <c r="C1760" s="355" t="s">
        <v>62</v>
      </c>
      <c r="D1760">
        <v>20945</v>
      </c>
      <c r="E1760" s="143">
        <v>75000</v>
      </c>
      <c r="F1760" s="117">
        <v>1404</v>
      </c>
      <c r="G1760" s="360" t="s">
        <v>311</v>
      </c>
      <c r="H1760" s="144">
        <f>bargiri[[#This Row],[میزان بارگیری شده]]*bargiri[[#This Row],[فی]]</f>
        <v>1570875000</v>
      </c>
      <c r="I1760" s="360">
        <f>IF(year=bargiri[[#This Row],[سال]],1,0)</f>
        <v>0</v>
      </c>
      <c r="J1760" s="360" t="str">
        <f>VLOOKUP(bargiri[[#This Row],[شماره پیش فاکتور]],invoice[],16,0)</f>
        <v>عادی</v>
      </c>
      <c r="K1760" s="252">
        <f>bargiri[[#This Row],[فی]]*bargiri[[#This Row],[میزان بارگیری شده]]</f>
        <v>1570875000</v>
      </c>
    </row>
    <row r="1761" spans="1:11" ht="18.600000000000001">
      <c r="A1761" s="360" t="s">
        <v>550</v>
      </c>
      <c r="B1761" s="360" t="s">
        <v>102</v>
      </c>
      <c r="C1761" s="355" t="s">
        <v>24</v>
      </c>
      <c r="D1761">
        <v>11545</v>
      </c>
      <c r="E1761" s="143">
        <v>70000</v>
      </c>
      <c r="F1761" s="117">
        <v>1404</v>
      </c>
      <c r="G1761" s="360" t="s">
        <v>311</v>
      </c>
      <c r="H1761" s="144">
        <f>bargiri[[#This Row],[میزان بارگیری شده]]*bargiri[[#This Row],[فی]]</f>
        <v>808150000</v>
      </c>
      <c r="I1761" s="360">
        <f>IF(year=bargiri[[#This Row],[سال]],1,0)</f>
        <v>0</v>
      </c>
      <c r="J1761" s="360" t="str">
        <f>VLOOKUP(bargiri[[#This Row],[شماره پیش فاکتور]],invoice[],16,0)</f>
        <v>عادی</v>
      </c>
      <c r="K1761" s="252">
        <f>bargiri[[#This Row],[فی]]*bargiri[[#This Row],[میزان بارگیری شده]]</f>
        <v>808150000</v>
      </c>
    </row>
    <row r="1762" spans="1:11" ht="18.600000000000001">
      <c r="A1762" s="360" t="s">
        <v>551</v>
      </c>
      <c r="B1762" s="360" t="s">
        <v>103</v>
      </c>
      <c r="C1762" s="355" t="s">
        <v>29</v>
      </c>
      <c r="D1762">
        <v>7280</v>
      </c>
      <c r="E1762" s="143">
        <v>75000</v>
      </c>
      <c r="F1762" s="117">
        <v>1404</v>
      </c>
      <c r="G1762" s="360" t="s">
        <v>311</v>
      </c>
      <c r="H1762" s="144">
        <f>bargiri[[#This Row],[میزان بارگیری شده]]*bargiri[[#This Row],[فی]]</f>
        <v>546000000</v>
      </c>
      <c r="I1762" s="360">
        <f>IF(year=bargiri[[#This Row],[سال]],1,0)</f>
        <v>0</v>
      </c>
      <c r="J1762" s="360" t="str">
        <f>VLOOKUP(bargiri[[#This Row],[شماره پیش فاکتور]],invoice[],16,0)</f>
        <v>عادی</v>
      </c>
      <c r="K1762" s="252">
        <f>bargiri[[#This Row],[فی]]*bargiri[[#This Row],[میزان بارگیری شده]]</f>
        <v>546000000</v>
      </c>
    </row>
    <row r="1763" spans="1:11" ht="18.600000000000001">
      <c r="A1763" s="360" t="s">
        <v>551</v>
      </c>
      <c r="B1763" s="360" t="s">
        <v>102</v>
      </c>
      <c r="C1763" s="355" t="s">
        <v>24</v>
      </c>
      <c r="D1763">
        <v>11620</v>
      </c>
      <c r="E1763" s="143">
        <v>70000</v>
      </c>
      <c r="F1763" s="117">
        <v>1404</v>
      </c>
      <c r="G1763" s="360" t="s">
        <v>311</v>
      </c>
      <c r="H1763" s="144">
        <f>bargiri[[#This Row],[میزان بارگیری شده]]*bargiri[[#This Row],[فی]]</f>
        <v>813400000</v>
      </c>
      <c r="I1763" s="360">
        <f>IF(year=bargiri[[#This Row],[سال]],1,0)</f>
        <v>0</v>
      </c>
      <c r="J1763" s="360" t="str">
        <f>VLOOKUP(bargiri[[#This Row],[شماره پیش فاکتور]],invoice[],16,0)</f>
        <v>عادی</v>
      </c>
      <c r="K1763" s="252">
        <f>bargiri[[#This Row],[فی]]*bargiri[[#This Row],[میزان بارگیری شده]]</f>
        <v>813400000</v>
      </c>
    </row>
    <row r="1764" spans="1:11" ht="18.600000000000001">
      <c r="A1764" s="360" t="s">
        <v>551</v>
      </c>
      <c r="B1764" s="360" t="s">
        <v>98</v>
      </c>
      <c r="C1764" s="355" t="s">
        <v>543</v>
      </c>
      <c r="D1764">
        <v>22025</v>
      </c>
      <c r="E1764" s="143">
        <v>80000</v>
      </c>
      <c r="F1764" s="117">
        <v>1404</v>
      </c>
      <c r="G1764" s="360" t="s">
        <v>311</v>
      </c>
      <c r="H1764" s="144">
        <f>bargiri[[#This Row],[میزان بارگیری شده]]*bargiri[[#This Row],[فی]]</f>
        <v>1762000000</v>
      </c>
      <c r="I1764" s="360">
        <f>IF(year=bargiri[[#This Row],[سال]],1,0)</f>
        <v>0</v>
      </c>
      <c r="J1764" s="360" t="str">
        <f>VLOOKUP(bargiri[[#This Row],[شماره پیش فاکتور]],invoice[],16,0)</f>
        <v>تعادلی</v>
      </c>
      <c r="K1764" s="252">
        <f>bargiri[[#This Row],[فی]]*bargiri[[#This Row],[میزان بارگیری شده]]</f>
        <v>1762000000</v>
      </c>
    </row>
    <row r="1765" spans="1:11" ht="18.600000000000001">
      <c r="A1765" s="360" t="s">
        <v>551</v>
      </c>
      <c r="B1765" s="360" t="s">
        <v>100</v>
      </c>
      <c r="C1765" s="355" t="s">
        <v>555</v>
      </c>
      <c r="D1765">
        <v>10045</v>
      </c>
      <c r="E1765" s="143">
        <v>142000</v>
      </c>
      <c r="F1765" s="117">
        <v>1404</v>
      </c>
      <c r="G1765" s="360" t="s">
        <v>311</v>
      </c>
      <c r="H1765" s="144">
        <f>bargiri[[#This Row],[میزان بارگیری شده]]*bargiri[[#This Row],[فی]]</f>
        <v>1426390000</v>
      </c>
      <c r="I1765" s="360">
        <f>IF(year=bargiri[[#This Row],[سال]],1,0)</f>
        <v>0</v>
      </c>
      <c r="J1765" s="360" t="str">
        <f>VLOOKUP(bargiri[[#This Row],[شماره پیش فاکتور]],invoice[],16,0)</f>
        <v>انجمن</v>
      </c>
      <c r="K1765" s="252">
        <f>bargiri[[#This Row],[فی]]*bargiri[[#This Row],[میزان بارگیری شده]]</f>
        <v>1426390000</v>
      </c>
    </row>
    <row r="1766" spans="1:11" ht="18.600000000000001">
      <c r="A1766" s="360" t="s">
        <v>551</v>
      </c>
      <c r="B1766" s="360" t="s">
        <v>103</v>
      </c>
      <c r="C1766" s="355" t="s">
        <v>29</v>
      </c>
      <c r="D1766">
        <v>7230</v>
      </c>
      <c r="E1766" s="143">
        <v>75000</v>
      </c>
      <c r="F1766" s="117">
        <v>1404</v>
      </c>
      <c r="G1766" s="360" t="s">
        <v>311</v>
      </c>
      <c r="H1766" s="144">
        <f>bargiri[[#This Row],[میزان بارگیری شده]]*bargiri[[#This Row],[فی]]</f>
        <v>542250000</v>
      </c>
      <c r="I1766" s="360">
        <f>IF(year=bargiri[[#This Row],[سال]],1,0)</f>
        <v>0</v>
      </c>
      <c r="J1766" s="360" t="str">
        <f>VLOOKUP(bargiri[[#This Row],[شماره پیش فاکتور]],invoice[],16,0)</f>
        <v>عادی</v>
      </c>
      <c r="K1766" s="252">
        <f>bargiri[[#This Row],[فی]]*bargiri[[#This Row],[میزان بارگیری شده]]</f>
        <v>542250000</v>
      </c>
    </row>
    <row r="1767" spans="1:11" ht="18.600000000000001">
      <c r="A1767" s="360" t="s">
        <v>551</v>
      </c>
      <c r="B1767" s="360" t="s">
        <v>113</v>
      </c>
      <c r="C1767" s="355" t="s">
        <v>61</v>
      </c>
      <c r="D1767">
        <v>17985</v>
      </c>
      <c r="E1767" s="143">
        <v>75000</v>
      </c>
      <c r="F1767" s="117">
        <v>1404</v>
      </c>
      <c r="G1767" s="360" t="s">
        <v>311</v>
      </c>
      <c r="H1767" s="144">
        <f>bargiri[[#This Row],[میزان بارگیری شده]]*bargiri[[#This Row],[فی]]</f>
        <v>1348875000</v>
      </c>
      <c r="I1767" s="360">
        <f>IF(year=bargiri[[#This Row],[سال]],1,0)</f>
        <v>0</v>
      </c>
      <c r="J1767" s="360" t="str">
        <f>VLOOKUP(bargiri[[#This Row],[شماره پیش فاکتور]],invoice[],16,0)</f>
        <v>عادی</v>
      </c>
      <c r="K1767" s="252">
        <f>bargiri[[#This Row],[فی]]*bargiri[[#This Row],[میزان بارگیری شده]]</f>
        <v>1348875000</v>
      </c>
    </row>
    <row r="1768" spans="1:11" ht="18.600000000000001">
      <c r="A1768" s="360" t="s">
        <v>552</v>
      </c>
      <c r="B1768" s="360" t="s">
        <v>118</v>
      </c>
      <c r="C1768" s="355" t="s">
        <v>84</v>
      </c>
      <c r="D1768">
        <v>20410</v>
      </c>
      <c r="E1768" s="143">
        <v>57273</v>
      </c>
      <c r="F1768" s="117">
        <v>1404</v>
      </c>
      <c r="G1768" s="360" t="s">
        <v>305</v>
      </c>
      <c r="H1768" s="144">
        <f>bargiri[[#This Row],[میزان بارگیری شده]]*bargiri[[#This Row],[فی]]</f>
        <v>1168941930</v>
      </c>
      <c r="I1768" s="360">
        <f>IF(year=bargiri[[#This Row],[سال]],1,0)</f>
        <v>0</v>
      </c>
      <c r="J1768" s="360" t="str">
        <f>VLOOKUP(bargiri[[#This Row],[شماره پیش فاکتور]],invoice[],16,0)</f>
        <v>عادی</v>
      </c>
      <c r="K1768" s="252">
        <f>bargiri[[#This Row],[فی]]*bargiri[[#This Row],[میزان بارگیری شده]]</f>
        <v>1168941930</v>
      </c>
    </row>
    <row r="1769" spans="1:11" ht="18.600000000000001">
      <c r="A1769" s="360" t="s">
        <v>552</v>
      </c>
      <c r="B1769" s="360" t="s">
        <v>116</v>
      </c>
      <c r="C1769" s="355" t="s">
        <v>77</v>
      </c>
      <c r="D1769">
        <v>19960</v>
      </c>
      <c r="E1769" s="143">
        <v>68500</v>
      </c>
      <c r="F1769" s="117">
        <v>1404</v>
      </c>
      <c r="G1769" s="360" t="s">
        <v>305</v>
      </c>
      <c r="H1769" s="144">
        <f>bargiri[[#This Row],[میزان بارگیری شده]]*bargiri[[#This Row],[فی]]</f>
        <v>1367260000</v>
      </c>
      <c r="I1769" s="360">
        <f>IF(year=bargiri[[#This Row],[سال]],1,0)</f>
        <v>0</v>
      </c>
      <c r="J1769" s="360" t="str">
        <f>VLOOKUP(bargiri[[#This Row],[شماره پیش فاکتور]],invoice[],16,0)</f>
        <v>عادی</v>
      </c>
      <c r="K1769" s="252">
        <f>bargiri[[#This Row],[فی]]*bargiri[[#This Row],[میزان بارگیری شده]]</f>
        <v>1367260000</v>
      </c>
    </row>
    <row r="1770" spans="1:11" ht="18.600000000000001">
      <c r="A1770" s="360" t="s">
        <v>552</v>
      </c>
      <c r="B1770" s="360" t="s">
        <v>116</v>
      </c>
      <c r="C1770" s="355" t="s">
        <v>77</v>
      </c>
      <c r="D1770">
        <v>8015</v>
      </c>
      <c r="E1770" s="143">
        <v>68500</v>
      </c>
      <c r="F1770" s="117">
        <v>1404</v>
      </c>
      <c r="G1770" s="360" t="s">
        <v>305</v>
      </c>
      <c r="H1770" s="144">
        <f>bargiri[[#This Row],[میزان بارگیری شده]]*bargiri[[#This Row],[فی]]</f>
        <v>549027500</v>
      </c>
      <c r="I1770" s="360">
        <f>IF(year=bargiri[[#This Row],[سال]],1,0)</f>
        <v>0</v>
      </c>
      <c r="J1770" s="360" t="str">
        <f>VLOOKUP(bargiri[[#This Row],[شماره پیش فاکتور]],invoice[],16,0)</f>
        <v>عادی</v>
      </c>
      <c r="K1770" s="252">
        <f>bargiri[[#This Row],[فی]]*bargiri[[#This Row],[میزان بارگیری شده]]</f>
        <v>549027500</v>
      </c>
    </row>
    <row r="1771" spans="1:11" ht="18.600000000000001">
      <c r="A1771" s="360" t="s">
        <v>552</v>
      </c>
      <c r="B1771" s="360" t="s">
        <v>116</v>
      </c>
      <c r="C1771" s="355" t="s">
        <v>77</v>
      </c>
      <c r="D1771">
        <v>18985</v>
      </c>
      <c r="E1771" s="143">
        <v>68500</v>
      </c>
      <c r="F1771" s="117">
        <v>1404</v>
      </c>
      <c r="G1771" s="360" t="s">
        <v>305</v>
      </c>
      <c r="H1771" s="144">
        <f>bargiri[[#This Row],[میزان بارگیری شده]]*bargiri[[#This Row],[فی]]</f>
        <v>1300472500</v>
      </c>
      <c r="I1771" s="360">
        <f>IF(year=bargiri[[#This Row],[سال]],1,0)</f>
        <v>0</v>
      </c>
      <c r="J1771" s="360" t="str">
        <f>VLOOKUP(bargiri[[#This Row],[شماره پیش فاکتور]],invoice[],16,0)</f>
        <v>عادی</v>
      </c>
      <c r="K1771" s="252">
        <f>bargiri[[#This Row],[فی]]*bargiri[[#This Row],[میزان بارگیری شده]]</f>
        <v>1300472500</v>
      </c>
    </row>
    <row r="1772" spans="1:11" ht="18.600000000000001">
      <c r="A1772" s="360" t="s">
        <v>552</v>
      </c>
      <c r="B1772" s="360" t="s">
        <v>118</v>
      </c>
      <c r="C1772" s="355" t="s">
        <v>84</v>
      </c>
      <c r="D1772">
        <v>20565</v>
      </c>
      <c r="E1772" s="143">
        <v>57273</v>
      </c>
      <c r="F1772" s="117">
        <v>1404</v>
      </c>
      <c r="G1772" s="360" t="s">
        <v>305</v>
      </c>
      <c r="H1772" s="144">
        <f>bargiri[[#This Row],[میزان بارگیری شده]]*bargiri[[#This Row],[فی]]</f>
        <v>1177819245</v>
      </c>
      <c r="I1772" s="360">
        <f>IF(year=bargiri[[#This Row],[سال]],1,0)</f>
        <v>0</v>
      </c>
      <c r="J1772" s="360" t="str">
        <f>VLOOKUP(bargiri[[#This Row],[شماره پیش فاکتور]],invoice[],16,0)</f>
        <v>عادی</v>
      </c>
      <c r="K1772" s="252">
        <f>bargiri[[#This Row],[فی]]*bargiri[[#This Row],[میزان بارگیری شده]]</f>
        <v>1177819245</v>
      </c>
    </row>
    <row r="1773" spans="1:11" ht="18.600000000000001">
      <c r="A1773" s="360" t="s">
        <v>552</v>
      </c>
      <c r="B1773" s="360" t="s">
        <v>116</v>
      </c>
      <c r="C1773" s="355" t="s">
        <v>77</v>
      </c>
      <c r="D1773">
        <v>19990</v>
      </c>
      <c r="E1773" s="143">
        <v>68500</v>
      </c>
      <c r="F1773" s="117">
        <v>1404</v>
      </c>
      <c r="G1773" s="360" t="s">
        <v>305</v>
      </c>
      <c r="H1773" s="144">
        <f>bargiri[[#This Row],[میزان بارگیری شده]]*bargiri[[#This Row],[فی]]</f>
        <v>1369315000</v>
      </c>
      <c r="I1773" s="360">
        <f>IF(year=bargiri[[#This Row],[سال]],1,0)</f>
        <v>0</v>
      </c>
      <c r="J1773" s="360" t="str">
        <f>VLOOKUP(bargiri[[#This Row],[شماره پیش فاکتور]],invoice[],16,0)</f>
        <v>عادی</v>
      </c>
      <c r="K1773" s="252">
        <f>bargiri[[#This Row],[فی]]*bargiri[[#This Row],[میزان بارگیری شده]]</f>
        <v>1369315000</v>
      </c>
    </row>
    <row r="1774" spans="1:11" ht="18.600000000000001">
      <c r="A1774" s="360" t="s">
        <v>548</v>
      </c>
      <c r="B1774" s="360" t="s">
        <v>120</v>
      </c>
      <c r="C1774" s="355" t="s">
        <v>88</v>
      </c>
      <c r="D1774">
        <v>9140</v>
      </c>
      <c r="E1774" s="143">
        <v>80000</v>
      </c>
      <c r="F1774" s="117">
        <v>1404</v>
      </c>
      <c r="G1774" s="360" t="s">
        <v>305</v>
      </c>
      <c r="H1774" s="144">
        <f>bargiri[[#This Row],[میزان بارگیری شده]]*bargiri[[#This Row],[فی]]</f>
        <v>731200000</v>
      </c>
      <c r="I1774" s="360">
        <f>IF(year=bargiri[[#This Row],[سال]],1,0)</f>
        <v>0</v>
      </c>
      <c r="J1774" s="360" t="str">
        <f>VLOOKUP(bargiri[[#This Row],[شماره پیش فاکتور]],invoice[],16,0)</f>
        <v>عادی</v>
      </c>
      <c r="K1774" s="252">
        <f>bargiri[[#This Row],[فی]]*bargiri[[#This Row],[میزان بارگیری شده]]</f>
        <v>731200000</v>
      </c>
    </row>
    <row r="1775" spans="1:11" ht="18.600000000000001">
      <c r="A1775" s="360" t="s">
        <v>548</v>
      </c>
      <c r="B1775" s="360" t="s">
        <v>113</v>
      </c>
      <c r="C1775" s="355" t="s">
        <v>61</v>
      </c>
      <c r="D1775">
        <v>10160</v>
      </c>
      <c r="E1775" s="143">
        <v>75000</v>
      </c>
      <c r="F1775" s="117">
        <v>1404</v>
      </c>
      <c r="G1775" s="360" t="s">
        <v>305</v>
      </c>
      <c r="H1775" s="144">
        <f>bargiri[[#This Row],[میزان بارگیری شده]]*bargiri[[#This Row],[فی]]</f>
        <v>762000000</v>
      </c>
      <c r="I1775" s="360">
        <f>IF(year=bargiri[[#This Row],[سال]],1,0)</f>
        <v>0</v>
      </c>
      <c r="J1775" s="360" t="str">
        <f>VLOOKUP(bargiri[[#This Row],[شماره پیش فاکتور]],invoice[],16,0)</f>
        <v>عادی</v>
      </c>
      <c r="K1775" s="252">
        <f>bargiri[[#This Row],[فی]]*bargiri[[#This Row],[میزان بارگیری شده]]</f>
        <v>762000000</v>
      </c>
    </row>
    <row r="1776" spans="1:11" ht="18.600000000000001">
      <c r="A1776" s="360" t="s">
        <v>548</v>
      </c>
      <c r="B1776" s="360" t="s">
        <v>101</v>
      </c>
      <c r="C1776" s="355" t="s">
        <v>19</v>
      </c>
      <c r="D1776">
        <v>20105</v>
      </c>
      <c r="E1776" s="143">
        <v>75000</v>
      </c>
      <c r="F1776" s="117">
        <v>1404</v>
      </c>
      <c r="G1776" s="360" t="s">
        <v>305</v>
      </c>
      <c r="H1776" s="144">
        <f>bargiri[[#This Row],[میزان بارگیری شده]]*bargiri[[#This Row],[فی]]</f>
        <v>1507875000</v>
      </c>
      <c r="I1776" s="360">
        <f>IF(year=bargiri[[#This Row],[سال]],1,0)</f>
        <v>0</v>
      </c>
      <c r="J1776" s="360" t="str">
        <f>VLOOKUP(bargiri[[#This Row],[شماره پیش فاکتور]],invoice[],16,0)</f>
        <v>عادی</v>
      </c>
      <c r="K1776" s="252">
        <f>bargiri[[#This Row],[فی]]*bargiri[[#This Row],[میزان بارگیری شده]]</f>
        <v>1507875000</v>
      </c>
    </row>
    <row r="1777" spans="1:11" ht="18.600000000000001">
      <c r="A1777" s="360" t="s">
        <v>548</v>
      </c>
      <c r="B1777" s="360" t="s">
        <v>104</v>
      </c>
      <c r="C1777" s="355" t="s">
        <v>39</v>
      </c>
      <c r="D1777">
        <v>12590</v>
      </c>
      <c r="E1777" s="143">
        <v>65000</v>
      </c>
      <c r="F1777" s="117">
        <v>1404</v>
      </c>
      <c r="G1777" s="360" t="s">
        <v>305</v>
      </c>
      <c r="H1777" s="144">
        <f>bargiri[[#This Row],[میزان بارگیری شده]]*bargiri[[#This Row],[فی]]</f>
        <v>818350000</v>
      </c>
      <c r="I1777" s="360">
        <f>IF(year=bargiri[[#This Row],[سال]],1,0)</f>
        <v>0</v>
      </c>
      <c r="J1777" s="360" t="str">
        <f>VLOOKUP(bargiri[[#This Row],[شماره پیش فاکتور]],invoice[],16,0)</f>
        <v>تعادلی</v>
      </c>
      <c r="K1777" s="252">
        <f>bargiri[[#This Row],[فی]]*bargiri[[#This Row],[میزان بارگیری شده]]</f>
        <v>818350000</v>
      </c>
    </row>
    <row r="1778" spans="1:11" ht="18.600000000000001">
      <c r="A1778" s="360" t="s">
        <v>548</v>
      </c>
      <c r="B1778" s="360" t="s">
        <v>104</v>
      </c>
      <c r="C1778" s="355" t="s">
        <v>38</v>
      </c>
      <c r="D1778">
        <v>5325</v>
      </c>
      <c r="E1778" s="143">
        <v>83800</v>
      </c>
      <c r="F1778" s="117">
        <v>1404</v>
      </c>
      <c r="G1778" s="360" t="s">
        <v>305</v>
      </c>
      <c r="H1778" s="144">
        <f>bargiri[[#This Row],[میزان بارگیری شده]]*bargiri[[#This Row],[فی]]</f>
        <v>446235000</v>
      </c>
      <c r="I1778" s="360">
        <f>IF(year=bargiri[[#This Row],[سال]],1,0)</f>
        <v>0</v>
      </c>
      <c r="J1778" s="360" t="str">
        <f>VLOOKUP(bargiri[[#This Row],[شماره پیش فاکتور]],invoice[],16,0)</f>
        <v>بورس</v>
      </c>
      <c r="K1778" s="252">
        <f>bargiri[[#This Row],[فی]]*bargiri[[#This Row],[میزان بارگیری شده]]</f>
        <v>446235000</v>
      </c>
    </row>
    <row r="1779" spans="1:11" ht="18.600000000000001">
      <c r="A1779" s="360" t="s">
        <v>549</v>
      </c>
      <c r="B1779" s="360" t="s">
        <v>120</v>
      </c>
      <c r="C1779" s="355" t="s">
        <v>88</v>
      </c>
      <c r="D1779">
        <v>9055</v>
      </c>
      <c r="E1779" s="143">
        <v>80000</v>
      </c>
      <c r="F1779" s="117">
        <v>1404</v>
      </c>
      <c r="G1779" s="360" t="s">
        <v>305</v>
      </c>
      <c r="H1779" s="144">
        <f>bargiri[[#This Row],[میزان بارگیری شده]]*bargiri[[#This Row],[فی]]</f>
        <v>724400000</v>
      </c>
      <c r="I1779" s="360">
        <f>IF(year=bargiri[[#This Row],[سال]],1,0)</f>
        <v>0</v>
      </c>
      <c r="J1779" s="360" t="str">
        <f>VLOOKUP(bargiri[[#This Row],[شماره پیش فاکتور]],invoice[],16,0)</f>
        <v>عادی</v>
      </c>
      <c r="K1779" s="252">
        <f>bargiri[[#This Row],[فی]]*bargiri[[#This Row],[میزان بارگیری شده]]</f>
        <v>724400000</v>
      </c>
    </row>
    <row r="1780" spans="1:11" ht="18.600000000000001">
      <c r="A1780" s="360" t="s">
        <v>549</v>
      </c>
      <c r="B1780" s="360" t="s">
        <v>118</v>
      </c>
      <c r="C1780" s="355" t="s">
        <v>84</v>
      </c>
      <c r="D1780">
        <v>20500</v>
      </c>
      <c r="E1780" s="143">
        <v>57273</v>
      </c>
      <c r="F1780" s="117">
        <v>1404</v>
      </c>
      <c r="G1780" s="360" t="s">
        <v>305</v>
      </c>
      <c r="H1780" s="144">
        <f>bargiri[[#This Row],[میزان بارگیری شده]]*bargiri[[#This Row],[فی]]</f>
        <v>1174096500</v>
      </c>
      <c r="I1780" s="360">
        <f>IF(year=bargiri[[#This Row],[سال]],1,0)</f>
        <v>0</v>
      </c>
      <c r="J1780" s="360" t="str">
        <f>VLOOKUP(bargiri[[#This Row],[شماره پیش فاکتور]],invoice[],16,0)</f>
        <v>عادی</v>
      </c>
      <c r="K1780" s="252">
        <f>bargiri[[#This Row],[فی]]*bargiri[[#This Row],[میزان بارگیری شده]]</f>
        <v>1174096500</v>
      </c>
    </row>
    <row r="1781" spans="1:11" ht="18.600000000000001">
      <c r="A1781" s="360" t="s">
        <v>549</v>
      </c>
      <c r="B1781" s="360" t="s">
        <v>118</v>
      </c>
      <c r="C1781" s="355" t="s">
        <v>84</v>
      </c>
      <c r="D1781">
        <v>20455</v>
      </c>
      <c r="E1781" s="143">
        <v>57273</v>
      </c>
      <c r="F1781" s="117">
        <v>1404</v>
      </c>
      <c r="G1781" s="360" t="s">
        <v>305</v>
      </c>
      <c r="H1781" s="144">
        <f>bargiri[[#This Row],[میزان بارگیری شده]]*bargiri[[#This Row],[فی]]</f>
        <v>1171519215</v>
      </c>
      <c r="I1781" s="360">
        <f>IF(year=bargiri[[#This Row],[سال]],1,0)</f>
        <v>0</v>
      </c>
      <c r="J1781" s="360" t="str">
        <f>VLOOKUP(bargiri[[#This Row],[شماره پیش فاکتور]],invoice[],16,0)</f>
        <v>عادی</v>
      </c>
      <c r="K1781" s="252">
        <f>bargiri[[#This Row],[فی]]*bargiri[[#This Row],[میزان بارگیری شده]]</f>
        <v>1171519215</v>
      </c>
    </row>
    <row r="1782" spans="1:11" ht="18.600000000000001">
      <c r="A1782" s="360" t="s">
        <v>549</v>
      </c>
      <c r="B1782" s="360" t="s">
        <v>107</v>
      </c>
      <c r="C1782" s="355" t="s">
        <v>50</v>
      </c>
      <c r="D1782">
        <v>19000</v>
      </c>
      <c r="E1782" s="143">
        <v>70000</v>
      </c>
      <c r="F1782" s="117">
        <v>1404</v>
      </c>
      <c r="G1782" s="360" t="s">
        <v>305</v>
      </c>
      <c r="H1782" s="144">
        <f>bargiri[[#This Row],[میزان بارگیری شده]]*bargiri[[#This Row],[فی]]</f>
        <v>1330000000</v>
      </c>
      <c r="I1782" s="360">
        <f>IF(year=bargiri[[#This Row],[سال]],1,0)</f>
        <v>0</v>
      </c>
      <c r="J1782" s="360" t="str">
        <f>VLOOKUP(bargiri[[#This Row],[شماره پیش فاکتور]],invoice[],16,0)</f>
        <v>عادی</v>
      </c>
      <c r="K1782" s="252">
        <f>bargiri[[#This Row],[فی]]*bargiri[[#This Row],[میزان بارگیری شده]]</f>
        <v>1330000000</v>
      </c>
    </row>
    <row r="1783" spans="1:11" ht="18.600000000000001">
      <c r="A1783" s="360" t="s">
        <v>549</v>
      </c>
      <c r="B1783" s="360" t="s">
        <v>117</v>
      </c>
      <c r="C1783" s="355" t="s">
        <v>79</v>
      </c>
      <c r="D1783">
        <v>20005</v>
      </c>
      <c r="E1783" s="143">
        <v>75000</v>
      </c>
      <c r="F1783" s="117">
        <v>1404</v>
      </c>
      <c r="G1783" s="360" t="s">
        <v>305</v>
      </c>
      <c r="H1783" s="144">
        <f>bargiri[[#This Row],[میزان بارگیری شده]]*bargiri[[#This Row],[فی]]</f>
        <v>1500375000</v>
      </c>
      <c r="I1783" s="360">
        <f>IF(year=bargiri[[#This Row],[سال]],1,0)</f>
        <v>0</v>
      </c>
      <c r="J1783" s="360" t="str">
        <f>VLOOKUP(bargiri[[#This Row],[شماره پیش فاکتور]],invoice[],16,0)</f>
        <v>عادی</v>
      </c>
      <c r="K1783" s="252">
        <f>bargiri[[#This Row],[فی]]*bargiri[[#This Row],[میزان بارگیری شده]]</f>
        <v>1500375000</v>
      </c>
    </row>
    <row r="1784" spans="1:11" ht="18.600000000000001">
      <c r="A1784" s="360" t="s">
        <v>549</v>
      </c>
      <c r="B1784" s="360" t="s">
        <v>116</v>
      </c>
      <c r="C1784" s="355" t="s">
        <v>77</v>
      </c>
      <c r="D1784">
        <v>18990</v>
      </c>
      <c r="E1784" s="143">
        <v>68500</v>
      </c>
      <c r="F1784" s="117">
        <v>1404</v>
      </c>
      <c r="G1784" s="360" t="s">
        <v>305</v>
      </c>
      <c r="H1784" s="144">
        <f>bargiri[[#This Row],[میزان بارگیری شده]]*bargiri[[#This Row],[فی]]</f>
        <v>1300815000</v>
      </c>
      <c r="I1784" s="360">
        <f>IF(year=bargiri[[#This Row],[سال]],1,0)</f>
        <v>0</v>
      </c>
      <c r="J1784" s="360" t="str">
        <f>VLOOKUP(bargiri[[#This Row],[شماره پیش فاکتور]],invoice[],16,0)</f>
        <v>عادی</v>
      </c>
      <c r="K1784" s="252">
        <f>bargiri[[#This Row],[فی]]*bargiri[[#This Row],[میزان بارگیری شده]]</f>
        <v>1300815000</v>
      </c>
    </row>
    <row r="1785" spans="1:11" ht="18.600000000000001">
      <c r="A1785" s="360" t="s">
        <v>547</v>
      </c>
      <c r="B1785" s="360" t="s">
        <v>104</v>
      </c>
      <c r="C1785" s="355" t="s">
        <v>39</v>
      </c>
      <c r="D1785">
        <v>17965</v>
      </c>
      <c r="E1785" s="143">
        <v>65000</v>
      </c>
      <c r="F1785" s="117">
        <v>1404</v>
      </c>
      <c r="G1785" s="360" t="s">
        <v>305</v>
      </c>
      <c r="H1785" s="144">
        <f>bargiri[[#This Row],[میزان بارگیری شده]]*bargiri[[#This Row],[فی]]</f>
        <v>1167725000</v>
      </c>
      <c r="I1785" s="360">
        <f>IF(year=bargiri[[#This Row],[سال]],1,0)</f>
        <v>0</v>
      </c>
      <c r="J1785" s="360" t="str">
        <f>VLOOKUP(bargiri[[#This Row],[شماره پیش فاکتور]],invoice[],16,0)</f>
        <v>تعادلی</v>
      </c>
      <c r="K1785" s="252">
        <f>bargiri[[#This Row],[فی]]*bargiri[[#This Row],[میزان بارگیری شده]]</f>
        <v>1167725000</v>
      </c>
    </row>
    <row r="1786" spans="1:11" ht="18.600000000000001">
      <c r="A1786" s="360" t="s">
        <v>547</v>
      </c>
      <c r="B1786" s="360" t="s">
        <v>103</v>
      </c>
      <c r="C1786" s="355" t="s">
        <v>29</v>
      </c>
      <c r="D1786">
        <v>7475</v>
      </c>
      <c r="E1786" s="143">
        <v>75000</v>
      </c>
      <c r="F1786" s="117">
        <v>1404</v>
      </c>
      <c r="G1786" s="360" t="s">
        <v>305</v>
      </c>
      <c r="H1786" s="144">
        <f>bargiri[[#This Row],[میزان بارگیری شده]]*bargiri[[#This Row],[فی]]</f>
        <v>560625000</v>
      </c>
      <c r="I1786" s="360">
        <f>IF(year=bargiri[[#This Row],[سال]],1,0)</f>
        <v>0</v>
      </c>
      <c r="J1786" s="360" t="str">
        <f>VLOOKUP(bargiri[[#This Row],[شماره پیش فاکتور]],invoice[],16,0)</f>
        <v>عادی</v>
      </c>
      <c r="K1786" s="252">
        <f>bargiri[[#This Row],[فی]]*bargiri[[#This Row],[میزان بارگیری شده]]</f>
        <v>560625000</v>
      </c>
    </row>
    <row r="1787" spans="1:11" ht="18.600000000000001">
      <c r="A1787" s="360" t="s">
        <v>547</v>
      </c>
      <c r="B1787" s="360" t="s">
        <v>113</v>
      </c>
      <c r="C1787" s="355" t="s">
        <v>61</v>
      </c>
      <c r="D1787">
        <v>19440</v>
      </c>
      <c r="E1787" s="143">
        <v>75000</v>
      </c>
      <c r="F1787" s="117">
        <v>1404</v>
      </c>
      <c r="G1787" s="360" t="s">
        <v>305</v>
      </c>
      <c r="H1787" s="144">
        <f>bargiri[[#This Row],[میزان بارگیری شده]]*bargiri[[#This Row],[فی]]</f>
        <v>1458000000</v>
      </c>
      <c r="I1787" s="360">
        <f>IF(year=bargiri[[#This Row],[سال]],1,0)</f>
        <v>0</v>
      </c>
      <c r="J1787" s="360" t="str">
        <f>VLOOKUP(bargiri[[#This Row],[شماره پیش فاکتور]],invoice[],16,0)</f>
        <v>عادی</v>
      </c>
      <c r="K1787" s="252">
        <f>bargiri[[#This Row],[فی]]*bargiri[[#This Row],[میزان بارگیری شده]]</f>
        <v>1458000000</v>
      </c>
    </row>
    <row r="1788" spans="1:11" ht="18.600000000000001">
      <c r="A1788" s="360" t="s">
        <v>547</v>
      </c>
      <c r="B1788" s="360" t="s">
        <v>118</v>
      </c>
      <c r="C1788" s="355" t="s">
        <v>84</v>
      </c>
      <c r="D1788">
        <v>20300</v>
      </c>
      <c r="E1788" s="143">
        <v>57273</v>
      </c>
      <c r="F1788" s="117">
        <v>1404</v>
      </c>
      <c r="G1788" s="360" t="s">
        <v>305</v>
      </c>
      <c r="H1788" s="144">
        <f>bargiri[[#This Row],[میزان بارگیری شده]]*bargiri[[#This Row],[فی]]</f>
        <v>1162641900</v>
      </c>
      <c r="I1788" s="360">
        <f>IF(year=bargiri[[#This Row],[سال]],1,0)</f>
        <v>0</v>
      </c>
      <c r="J1788" s="360" t="str">
        <f>VLOOKUP(bargiri[[#This Row],[شماره پیش فاکتور]],invoice[],16,0)</f>
        <v>عادی</v>
      </c>
      <c r="K1788" s="252">
        <f>bargiri[[#This Row],[فی]]*bargiri[[#This Row],[میزان بارگیری شده]]</f>
        <v>1162641900</v>
      </c>
    </row>
    <row r="1789" spans="1:11" ht="18.600000000000001">
      <c r="A1789" s="360" t="s">
        <v>547</v>
      </c>
      <c r="B1789" s="360" t="s">
        <v>118</v>
      </c>
      <c r="C1789" s="355" t="s">
        <v>84</v>
      </c>
      <c r="D1789">
        <v>20555</v>
      </c>
      <c r="E1789" s="143">
        <v>57273</v>
      </c>
      <c r="F1789" s="117">
        <v>1404</v>
      </c>
      <c r="G1789" s="360" t="s">
        <v>305</v>
      </c>
      <c r="H1789" s="144">
        <f>bargiri[[#This Row],[میزان بارگیری شده]]*bargiri[[#This Row],[فی]]</f>
        <v>1177246515</v>
      </c>
      <c r="I1789" s="360">
        <f>IF(year=bargiri[[#This Row],[سال]],1,0)</f>
        <v>0</v>
      </c>
      <c r="J1789" s="360" t="str">
        <f>VLOOKUP(bargiri[[#This Row],[شماره پیش فاکتور]],invoice[],16,0)</f>
        <v>عادی</v>
      </c>
      <c r="K1789" s="252">
        <f>bargiri[[#This Row],[فی]]*bargiri[[#This Row],[میزان بارگیری شده]]</f>
        <v>1177246515</v>
      </c>
    </row>
    <row r="1790" spans="1:11" ht="18.600000000000001">
      <c r="A1790" s="360" t="s">
        <v>547</v>
      </c>
      <c r="B1790" s="360" t="s">
        <v>103</v>
      </c>
      <c r="C1790" s="355" t="s">
        <v>29</v>
      </c>
      <c r="D1790">
        <v>7545</v>
      </c>
      <c r="E1790" s="143">
        <v>75000</v>
      </c>
      <c r="F1790" s="117">
        <v>1404</v>
      </c>
      <c r="G1790" s="360" t="s">
        <v>305</v>
      </c>
      <c r="H1790" s="144">
        <f>bargiri[[#This Row],[میزان بارگیری شده]]*bargiri[[#This Row],[فی]]</f>
        <v>565875000</v>
      </c>
      <c r="I1790" s="360">
        <f>IF(year=bargiri[[#This Row],[سال]],1,0)</f>
        <v>0</v>
      </c>
      <c r="J1790" s="360" t="str">
        <f>VLOOKUP(bargiri[[#This Row],[شماره پیش فاکتور]],invoice[],16,0)</f>
        <v>عادی</v>
      </c>
      <c r="K1790" s="252">
        <f>bargiri[[#This Row],[فی]]*bargiri[[#This Row],[میزان بارگیری شده]]</f>
        <v>565875000</v>
      </c>
    </row>
    <row r="1791" spans="1:11" ht="18.600000000000001">
      <c r="A1791" s="360" t="s">
        <v>546</v>
      </c>
      <c r="B1791" s="360" t="s">
        <v>102</v>
      </c>
      <c r="C1791" s="355" t="s">
        <v>24</v>
      </c>
      <c r="D1791">
        <v>11475</v>
      </c>
      <c r="E1791" s="143">
        <v>70000</v>
      </c>
      <c r="F1791" s="117">
        <v>1404</v>
      </c>
      <c r="G1791" s="360" t="s">
        <v>305</v>
      </c>
      <c r="H1791" s="144">
        <f>bargiri[[#This Row],[میزان بارگیری شده]]*bargiri[[#This Row],[فی]]</f>
        <v>803250000</v>
      </c>
      <c r="I1791" s="360">
        <f>IF(year=bargiri[[#This Row],[سال]],1,0)</f>
        <v>0</v>
      </c>
      <c r="J1791" s="360" t="str">
        <f>VLOOKUP(bargiri[[#This Row],[شماره پیش فاکتور]],invoice[],16,0)</f>
        <v>عادی</v>
      </c>
      <c r="K1791" s="252">
        <f>bargiri[[#This Row],[فی]]*bargiri[[#This Row],[میزان بارگیری شده]]</f>
        <v>803250000</v>
      </c>
    </row>
    <row r="1792" spans="1:11" ht="18.600000000000001">
      <c r="A1792" s="360" t="s">
        <v>546</v>
      </c>
      <c r="B1792" s="360" t="s">
        <v>103</v>
      </c>
      <c r="C1792" s="355" t="s">
        <v>29</v>
      </c>
      <c r="D1792">
        <v>7330</v>
      </c>
      <c r="E1792" s="143">
        <v>75000</v>
      </c>
      <c r="F1792" s="117">
        <v>1404</v>
      </c>
      <c r="G1792" s="360" t="s">
        <v>305</v>
      </c>
      <c r="H1792" s="144">
        <f>bargiri[[#This Row],[میزان بارگیری شده]]*bargiri[[#This Row],[فی]]</f>
        <v>549750000</v>
      </c>
      <c r="I1792" s="360">
        <f>IF(year=bargiri[[#This Row],[سال]],1,0)</f>
        <v>0</v>
      </c>
      <c r="J1792" s="360" t="str">
        <f>VLOOKUP(bargiri[[#This Row],[شماره پیش فاکتور]],invoice[],16,0)</f>
        <v>عادی</v>
      </c>
      <c r="K1792" s="252">
        <f>bargiri[[#This Row],[فی]]*bargiri[[#This Row],[میزان بارگیری شده]]</f>
        <v>549750000</v>
      </c>
    </row>
    <row r="1793" spans="1:11" ht="18.600000000000001">
      <c r="A1793" s="360" t="s">
        <v>546</v>
      </c>
      <c r="B1793" s="360" t="s">
        <v>107</v>
      </c>
      <c r="C1793" s="355" t="s">
        <v>50</v>
      </c>
      <c r="D1793">
        <v>19110</v>
      </c>
      <c r="E1793" s="143">
        <v>70000</v>
      </c>
      <c r="F1793" s="117">
        <v>1404</v>
      </c>
      <c r="G1793" s="360" t="s">
        <v>305</v>
      </c>
      <c r="H1793" s="144">
        <f>bargiri[[#This Row],[میزان بارگیری شده]]*bargiri[[#This Row],[فی]]</f>
        <v>1337700000</v>
      </c>
      <c r="I1793" s="360">
        <f>IF(year=bargiri[[#This Row],[سال]],1,0)</f>
        <v>0</v>
      </c>
      <c r="J1793" s="360" t="str">
        <f>VLOOKUP(bargiri[[#This Row],[شماره پیش فاکتور]],invoice[],16,0)</f>
        <v>عادی</v>
      </c>
      <c r="K1793" s="252">
        <f>bargiri[[#This Row],[فی]]*bargiri[[#This Row],[میزان بارگیری شده]]</f>
        <v>1337700000</v>
      </c>
    </row>
    <row r="1794" spans="1:11" ht="18.600000000000001">
      <c r="A1794" s="360" t="s">
        <v>546</v>
      </c>
      <c r="B1794" s="360" t="s">
        <v>123</v>
      </c>
      <c r="C1794" s="355" t="s">
        <v>533</v>
      </c>
      <c r="D1794">
        <v>7765</v>
      </c>
      <c r="E1794" s="143">
        <v>100000</v>
      </c>
      <c r="F1794" s="117">
        <v>1404</v>
      </c>
      <c r="G1794" s="360" t="s">
        <v>305</v>
      </c>
      <c r="H1794" s="144">
        <f>bargiri[[#This Row],[میزان بارگیری شده]]*bargiri[[#This Row],[فی]]</f>
        <v>776500000</v>
      </c>
      <c r="I1794" s="360">
        <f>IF(year=bargiri[[#This Row],[سال]],1,0)</f>
        <v>0</v>
      </c>
      <c r="J1794" s="360" t="str">
        <f>VLOOKUP(bargiri[[#This Row],[شماره پیش فاکتور]],invoice[],16,0)</f>
        <v>عادی</v>
      </c>
      <c r="K1794" s="252">
        <f>bargiri[[#This Row],[فی]]*bargiri[[#This Row],[میزان بارگیری شده]]</f>
        <v>776500000</v>
      </c>
    </row>
    <row r="1795" spans="1:11" ht="18.600000000000001">
      <c r="A1795" s="360" t="s">
        <v>546</v>
      </c>
      <c r="B1795" s="360" t="s">
        <v>114</v>
      </c>
      <c r="C1795" s="355" t="s">
        <v>62</v>
      </c>
      <c r="D1795">
        <v>20975</v>
      </c>
      <c r="E1795" s="143">
        <v>75000</v>
      </c>
      <c r="F1795" s="117">
        <v>1404</v>
      </c>
      <c r="G1795" s="360" t="s">
        <v>305</v>
      </c>
      <c r="H1795" s="144">
        <f>bargiri[[#This Row],[میزان بارگیری شده]]*bargiri[[#This Row],[فی]]</f>
        <v>1573125000</v>
      </c>
      <c r="I1795" s="360">
        <f>IF(year=bargiri[[#This Row],[سال]],1,0)</f>
        <v>0</v>
      </c>
      <c r="J1795" s="360" t="str">
        <f>VLOOKUP(bargiri[[#This Row],[شماره پیش فاکتور]],invoice[],16,0)</f>
        <v>عادی</v>
      </c>
      <c r="K1795" s="252">
        <f>bargiri[[#This Row],[فی]]*bargiri[[#This Row],[میزان بارگیری شده]]</f>
        <v>1573125000</v>
      </c>
    </row>
    <row r="1796" spans="1:11" ht="18.600000000000001">
      <c r="A1796" s="360" t="s">
        <v>545</v>
      </c>
      <c r="B1796" s="360" t="s">
        <v>107</v>
      </c>
      <c r="C1796" s="355" t="s">
        <v>50</v>
      </c>
      <c r="D1796">
        <v>18355</v>
      </c>
      <c r="E1796" s="143">
        <v>70000</v>
      </c>
      <c r="F1796" s="117">
        <v>1404</v>
      </c>
      <c r="G1796" s="360" t="s">
        <v>305</v>
      </c>
      <c r="H1796" s="144">
        <f>bargiri[[#This Row],[میزان بارگیری شده]]*bargiri[[#This Row],[فی]]</f>
        <v>1284850000</v>
      </c>
      <c r="I1796" s="360">
        <f>IF(year=bargiri[[#This Row],[سال]],1,0)</f>
        <v>0</v>
      </c>
      <c r="J1796" s="360" t="str">
        <f>VLOOKUP(bargiri[[#This Row],[شماره پیش فاکتور]],invoice[],16,0)</f>
        <v>عادی</v>
      </c>
      <c r="K1796" s="252">
        <f>bargiri[[#This Row],[فی]]*bargiri[[#This Row],[میزان بارگیری شده]]</f>
        <v>1284850000</v>
      </c>
    </row>
    <row r="1797" spans="1:11" ht="18.600000000000001">
      <c r="A1797" s="360" t="s">
        <v>545</v>
      </c>
      <c r="B1797" s="360" t="s">
        <v>100</v>
      </c>
      <c r="C1797" s="355" t="s">
        <v>15</v>
      </c>
      <c r="D1797">
        <v>19975</v>
      </c>
      <c r="E1797" s="143">
        <v>100000</v>
      </c>
      <c r="F1797" s="117">
        <v>1404</v>
      </c>
      <c r="G1797" s="360" t="s">
        <v>305</v>
      </c>
      <c r="H1797" s="144">
        <f>bargiri[[#This Row],[میزان بارگیری شده]]*bargiri[[#This Row],[فی]]</f>
        <v>1997500000</v>
      </c>
      <c r="I1797" s="360">
        <f>IF(year=bargiri[[#This Row],[سال]],1,0)</f>
        <v>0</v>
      </c>
      <c r="J1797" s="360" t="str">
        <f>VLOOKUP(bargiri[[#This Row],[شماره پیش فاکتور]],invoice[],16,0)</f>
        <v>انجمن</v>
      </c>
      <c r="K1797" s="252">
        <f>bargiri[[#This Row],[فی]]*bargiri[[#This Row],[میزان بارگیری شده]]</f>
        <v>1997500000</v>
      </c>
    </row>
    <row r="1798" spans="1:11" ht="18.600000000000001">
      <c r="A1798" s="360" t="s">
        <v>545</v>
      </c>
      <c r="B1798" s="360" t="s">
        <v>102</v>
      </c>
      <c r="C1798" s="355" t="s">
        <v>24</v>
      </c>
      <c r="D1798">
        <v>11860</v>
      </c>
      <c r="E1798" s="143">
        <v>70000</v>
      </c>
      <c r="F1798" s="117">
        <v>1404</v>
      </c>
      <c r="G1798" s="360" t="s">
        <v>305</v>
      </c>
      <c r="H1798" s="144">
        <f>bargiri[[#This Row],[میزان بارگیری شده]]*bargiri[[#This Row],[فی]]</f>
        <v>830200000</v>
      </c>
      <c r="I1798" s="360">
        <f>IF(year=bargiri[[#This Row],[سال]],1,0)</f>
        <v>0</v>
      </c>
      <c r="J1798" s="360" t="str">
        <f>VLOOKUP(bargiri[[#This Row],[شماره پیش فاکتور]],invoice[],16,0)</f>
        <v>عادی</v>
      </c>
      <c r="K1798" s="252">
        <f>bargiri[[#This Row],[فی]]*bargiri[[#This Row],[میزان بارگیری شده]]</f>
        <v>830200000</v>
      </c>
    </row>
    <row r="1799" spans="1:11" ht="18.600000000000001">
      <c r="A1799" s="360" t="s">
        <v>545</v>
      </c>
      <c r="B1799" s="360" t="s">
        <v>122</v>
      </c>
      <c r="C1799" s="355" t="s">
        <v>91</v>
      </c>
      <c r="D1799">
        <v>19960</v>
      </c>
      <c r="E1799" s="143">
        <v>75000</v>
      </c>
      <c r="F1799" s="117">
        <v>1404</v>
      </c>
      <c r="G1799" s="360" t="s">
        <v>305</v>
      </c>
      <c r="H1799" s="144">
        <f>bargiri[[#This Row],[میزان بارگیری شده]]*bargiri[[#This Row],[فی]]</f>
        <v>1497000000</v>
      </c>
      <c r="I1799" s="360">
        <f>IF(year=bargiri[[#This Row],[سال]],1,0)</f>
        <v>0</v>
      </c>
      <c r="J1799" s="360" t="str">
        <f>VLOOKUP(bargiri[[#This Row],[شماره پیش فاکتور]],invoice[],16,0)</f>
        <v>عادی</v>
      </c>
      <c r="K1799" s="252">
        <f>bargiri[[#This Row],[فی]]*bargiri[[#This Row],[میزان بارگیری شده]]</f>
        <v>1497000000</v>
      </c>
    </row>
    <row r="1800" spans="1:11" ht="18.600000000000001">
      <c r="A1800" s="360" t="s">
        <v>545</v>
      </c>
      <c r="B1800" s="360" t="s">
        <v>117</v>
      </c>
      <c r="C1800" s="355" t="s">
        <v>79</v>
      </c>
      <c r="D1800">
        <v>20255</v>
      </c>
      <c r="E1800" s="143">
        <v>75000</v>
      </c>
      <c r="F1800" s="117">
        <v>1404</v>
      </c>
      <c r="G1800" s="360" t="s">
        <v>305</v>
      </c>
      <c r="H1800" s="144">
        <f>bargiri[[#This Row],[میزان بارگیری شده]]*bargiri[[#This Row],[فی]]</f>
        <v>1519125000</v>
      </c>
      <c r="I1800" s="360">
        <f>IF(year=bargiri[[#This Row],[سال]],1,0)</f>
        <v>0</v>
      </c>
      <c r="J1800" s="360" t="str">
        <f>VLOOKUP(bargiri[[#This Row],[شماره پیش فاکتور]],invoice[],16,0)</f>
        <v>عادی</v>
      </c>
      <c r="K1800" s="252">
        <f>bargiri[[#This Row],[فی]]*bargiri[[#This Row],[میزان بارگیری شده]]</f>
        <v>1519125000</v>
      </c>
    </row>
    <row r="1801" spans="1:11" ht="18.600000000000001">
      <c r="A1801" s="360" t="s">
        <v>545</v>
      </c>
      <c r="B1801" s="360" t="s">
        <v>118</v>
      </c>
      <c r="C1801" s="355" t="s">
        <v>84</v>
      </c>
      <c r="D1801">
        <v>20400</v>
      </c>
      <c r="E1801" s="143">
        <v>57273</v>
      </c>
      <c r="F1801" s="117">
        <v>1404</v>
      </c>
      <c r="G1801" s="360" t="s">
        <v>305</v>
      </c>
      <c r="H1801" s="144">
        <f>bargiri[[#This Row],[میزان بارگیری شده]]*bargiri[[#This Row],[فی]]</f>
        <v>1168369200</v>
      </c>
      <c r="I1801" s="360">
        <f>IF(year=bargiri[[#This Row],[سال]],1,0)</f>
        <v>0</v>
      </c>
      <c r="J1801" s="360" t="str">
        <f>VLOOKUP(bargiri[[#This Row],[شماره پیش فاکتور]],invoice[],16,0)</f>
        <v>عادی</v>
      </c>
      <c r="K1801" s="252">
        <f>bargiri[[#This Row],[فی]]*bargiri[[#This Row],[میزان بارگیری شده]]</f>
        <v>1168369200</v>
      </c>
    </row>
    <row r="1802" spans="1:11" ht="18.600000000000001">
      <c r="A1802" s="360" t="s">
        <v>545</v>
      </c>
      <c r="B1802" s="360" t="s">
        <v>118</v>
      </c>
      <c r="C1802" s="355" t="s">
        <v>84</v>
      </c>
      <c r="D1802">
        <v>20585</v>
      </c>
      <c r="E1802" s="143">
        <v>57273</v>
      </c>
      <c r="F1802" s="117">
        <v>1404</v>
      </c>
      <c r="G1802" s="360" t="s">
        <v>305</v>
      </c>
      <c r="H1802" s="144">
        <f>bargiri[[#This Row],[میزان بارگیری شده]]*bargiri[[#This Row],[فی]]</f>
        <v>1178964705</v>
      </c>
      <c r="I1802" s="360">
        <f>IF(year=bargiri[[#This Row],[سال]],1,0)</f>
        <v>0</v>
      </c>
      <c r="J1802" s="360" t="str">
        <f>VLOOKUP(bargiri[[#This Row],[شماره پیش فاکتور]],invoice[],16,0)</f>
        <v>عادی</v>
      </c>
      <c r="K1802" s="252">
        <f>bargiri[[#This Row],[فی]]*bargiri[[#This Row],[میزان بارگیری شده]]</f>
        <v>1178964705</v>
      </c>
    </row>
    <row r="1803" spans="1:11" ht="18.600000000000001">
      <c r="A1803" s="360" t="s">
        <v>545</v>
      </c>
      <c r="B1803" s="360" t="s">
        <v>113</v>
      </c>
      <c r="C1803" s="355" t="s">
        <v>61</v>
      </c>
      <c r="D1803">
        <v>18120</v>
      </c>
      <c r="E1803" s="143">
        <v>75000</v>
      </c>
      <c r="F1803" s="117">
        <v>1404</v>
      </c>
      <c r="G1803" s="360" t="s">
        <v>305</v>
      </c>
      <c r="H1803" s="144">
        <f>bargiri[[#This Row],[میزان بارگیری شده]]*bargiri[[#This Row],[فی]]</f>
        <v>1359000000</v>
      </c>
      <c r="I1803" s="360">
        <f>IF(year=bargiri[[#This Row],[سال]],1,0)</f>
        <v>0</v>
      </c>
      <c r="J1803" s="360" t="str">
        <f>VLOOKUP(bargiri[[#This Row],[شماره پیش فاکتور]],invoice[],16,0)</f>
        <v>عادی</v>
      </c>
      <c r="K1803" s="252">
        <f>bargiri[[#This Row],[فی]]*bargiri[[#This Row],[میزان بارگیری شده]]</f>
        <v>1359000000</v>
      </c>
    </row>
    <row r="1804" spans="1:11" ht="18.600000000000001">
      <c r="A1804" s="360" t="s">
        <v>545</v>
      </c>
      <c r="B1804" s="360" t="s">
        <v>98</v>
      </c>
      <c r="C1804" s="355" t="s">
        <v>537</v>
      </c>
      <c r="D1804">
        <v>15840</v>
      </c>
      <c r="E1804" s="143">
        <v>151200</v>
      </c>
      <c r="F1804" s="117">
        <v>1404</v>
      </c>
      <c r="G1804" s="360" t="s">
        <v>305</v>
      </c>
      <c r="H1804" s="144">
        <f>bargiri[[#This Row],[میزان بارگیری شده]]*bargiri[[#This Row],[فی]]</f>
        <v>2395008000</v>
      </c>
      <c r="I1804" s="360">
        <f>IF(year=bargiri[[#This Row],[سال]],1,0)</f>
        <v>0</v>
      </c>
      <c r="J1804" s="360" t="str">
        <f>VLOOKUP(bargiri[[#This Row],[شماره پیش فاکتور]],invoice[],16,0)</f>
        <v>بورس</v>
      </c>
      <c r="K1804" s="252">
        <f>bargiri[[#This Row],[فی]]*bargiri[[#This Row],[میزان بارگیری شده]]</f>
        <v>2395008000</v>
      </c>
    </row>
    <row r="1805" spans="1:11" ht="18.600000000000001">
      <c r="A1805" s="360" t="s">
        <v>545</v>
      </c>
      <c r="B1805" s="360" t="s">
        <v>98</v>
      </c>
      <c r="C1805" s="355" t="s">
        <v>3</v>
      </c>
      <c r="D1805">
        <v>4060</v>
      </c>
      <c r="E1805" s="143">
        <v>65000</v>
      </c>
      <c r="F1805" s="117">
        <v>1404</v>
      </c>
      <c r="G1805" s="360" t="s">
        <v>305</v>
      </c>
      <c r="H1805" s="144">
        <f>bargiri[[#This Row],[میزان بارگیری شده]]*bargiri[[#This Row],[فی]]</f>
        <v>263900000</v>
      </c>
      <c r="I1805" s="360">
        <f>IF(year=bargiri[[#This Row],[سال]],1,0)</f>
        <v>0</v>
      </c>
      <c r="J1805" s="360" t="str">
        <f>VLOOKUP(bargiri[[#This Row],[شماره پیش فاکتور]],invoice[],16,0)</f>
        <v>تعادلی</v>
      </c>
      <c r="K1805" s="252">
        <f>bargiri[[#This Row],[فی]]*bargiri[[#This Row],[میزان بارگیری شده]]</f>
        <v>263900000</v>
      </c>
    </row>
    <row r="1806" spans="1:11" ht="18.600000000000001">
      <c r="A1806" s="360" t="s">
        <v>524</v>
      </c>
      <c r="B1806" s="360" t="s">
        <v>118</v>
      </c>
      <c r="C1806" s="355" t="s">
        <v>84</v>
      </c>
      <c r="D1806">
        <v>20465</v>
      </c>
      <c r="E1806" s="143">
        <v>57273</v>
      </c>
      <c r="F1806" s="117">
        <v>1404</v>
      </c>
      <c r="G1806" s="360" t="s">
        <v>305</v>
      </c>
      <c r="H1806" s="144">
        <f>bargiri[[#This Row],[میزان بارگیری شده]]*bargiri[[#This Row],[فی]]</f>
        <v>1172091945</v>
      </c>
      <c r="I1806" s="360">
        <f>IF(year=bargiri[[#This Row],[سال]],1,0)</f>
        <v>0</v>
      </c>
      <c r="J1806" s="360" t="str">
        <f>VLOOKUP(bargiri[[#This Row],[شماره پیش فاکتور]],invoice[],16,0)</f>
        <v>عادی</v>
      </c>
      <c r="K1806" s="252">
        <f>bargiri[[#This Row],[فی]]*bargiri[[#This Row],[میزان بارگیری شده]]</f>
        <v>1172091945</v>
      </c>
    </row>
    <row r="1807" spans="1:11" ht="18.600000000000001">
      <c r="A1807" s="360" t="s">
        <v>524</v>
      </c>
      <c r="B1807" s="360" t="s">
        <v>118</v>
      </c>
      <c r="C1807" s="355" t="s">
        <v>84</v>
      </c>
      <c r="D1807">
        <v>20410</v>
      </c>
      <c r="E1807" s="143">
        <v>57273</v>
      </c>
      <c r="F1807" s="117">
        <v>1404</v>
      </c>
      <c r="G1807" s="360" t="s">
        <v>305</v>
      </c>
      <c r="H1807" s="144">
        <f>bargiri[[#This Row],[میزان بارگیری شده]]*bargiri[[#This Row],[فی]]</f>
        <v>1168941930</v>
      </c>
      <c r="I1807" s="360">
        <f>IF(year=bargiri[[#This Row],[سال]],1,0)</f>
        <v>0</v>
      </c>
      <c r="J1807" s="360" t="str">
        <f>VLOOKUP(bargiri[[#This Row],[شماره پیش فاکتور]],invoice[],16,0)</f>
        <v>عادی</v>
      </c>
      <c r="K1807" s="252">
        <f>bargiri[[#This Row],[فی]]*bargiri[[#This Row],[میزان بارگیری شده]]</f>
        <v>1168941930</v>
      </c>
    </row>
    <row r="1808" spans="1:11" ht="18.600000000000001">
      <c r="A1808" s="360" t="s">
        <v>524</v>
      </c>
      <c r="B1808" s="360" t="s">
        <v>103</v>
      </c>
      <c r="C1808" s="355" t="s">
        <v>29</v>
      </c>
      <c r="D1808">
        <v>7445</v>
      </c>
      <c r="E1808" s="143">
        <v>75000</v>
      </c>
      <c r="F1808" s="117">
        <v>1404</v>
      </c>
      <c r="G1808" s="360" t="s">
        <v>305</v>
      </c>
      <c r="H1808" s="144">
        <f>bargiri[[#This Row],[میزان بارگیری شده]]*bargiri[[#This Row],[فی]]</f>
        <v>558375000</v>
      </c>
      <c r="I1808" s="360">
        <f>IF(year=bargiri[[#This Row],[سال]],1,0)</f>
        <v>0</v>
      </c>
      <c r="J1808" s="360" t="str">
        <f>VLOOKUP(bargiri[[#This Row],[شماره پیش فاکتور]],invoice[],16,0)</f>
        <v>عادی</v>
      </c>
      <c r="K1808" s="252">
        <f>bargiri[[#This Row],[فی]]*bargiri[[#This Row],[میزان بارگیری شده]]</f>
        <v>558375000</v>
      </c>
    </row>
    <row r="1809" spans="1:11" ht="18.600000000000001">
      <c r="A1809" s="360" t="s">
        <v>524</v>
      </c>
      <c r="B1809" s="360" t="s">
        <v>116</v>
      </c>
      <c r="C1809" s="355" t="s">
        <v>77</v>
      </c>
      <c r="D1809">
        <v>18110</v>
      </c>
      <c r="E1809" s="143">
        <v>68500</v>
      </c>
      <c r="F1809" s="117">
        <v>1404</v>
      </c>
      <c r="G1809" s="360" t="s">
        <v>305</v>
      </c>
      <c r="H1809" s="144">
        <f>bargiri[[#This Row],[میزان بارگیری شده]]*bargiri[[#This Row],[فی]]</f>
        <v>1240535000</v>
      </c>
      <c r="I1809" s="360">
        <f>IF(year=bargiri[[#This Row],[سال]],1,0)</f>
        <v>0</v>
      </c>
      <c r="J1809" s="360" t="str">
        <f>VLOOKUP(bargiri[[#This Row],[شماره پیش فاکتور]],invoice[],16,0)</f>
        <v>عادی</v>
      </c>
      <c r="K1809" s="252">
        <f>bargiri[[#This Row],[فی]]*bargiri[[#This Row],[میزان بارگیری شده]]</f>
        <v>1240535000</v>
      </c>
    </row>
    <row r="1810" spans="1:11" ht="18.600000000000001">
      <c r="A1810" s="360" t="s">
        <v>525</v>
      </c>
      <c r="B1810" s="360" t="s">
        <v>101</v>
      </c>
      <c r="C1810" s="355" t="s">
        <v>19</v>
      </c>
      <c r="D1810">
        <v>19960</v>
      </c>
      <c r="E1810" s="143">
        <v>75000</v>
      </c>
      <c r="F1810" s="117">
        <v>1404</v>
      </c>
      <c r="G1810" s="360" t="s">
        <v>305</v>
      </c>
      <c r="H1810" s="144">
        <f>bargiri[[#This Row],[میزان بارگیری شده]]*bargiri[[#This Row],[فی]]</f>
        <v>1497000000</v>
      </c>
      <c r="I1810" s="360">
        <f>IF(year=bargiri[[#This Row],[سال]],1,0)</f>
        <v>0</v>
      </c>
      <c r="J1810" s="360" t="str">
        <f>VLOOKUP(bargiri[[#This Row],[شماره پیش فاکتور]],invoice[],16,0)</f>
        <v>عادی</v>
      </c>
      <c r="K1810" s="252">
        <f>bargiri[[#This Row],[فی]]*bargiri[[#This Row],[میزان بارگیری شده]]</f>
        <v>1497000000</v>
      </c>
    </row>
    <row r="1811" spans="1:11" ht="18.600000000000001">
      <c r="A1811" s="360" t="s">
        <v>525</v>
      </c>
      <c r="B1811" s="360" t="s">
        <v>106</v>
      </c>
      <c r="C1811" s="355" t="s">
        <v>44</v>
      </c>
      <c r="D1811">
        <v>20090</v>
      </c>
      <c r="E1811" s="143">
        <v>80000</v>
      </c>
      <c r="F1811" s="117">
        <v>1404</v>
      </c>
      <c r="G1811" s="360" t="s">
        <v>305</v>
      </c>
      <c r="H1811" s="144">
        <f>bargiri[[#This Row],[میزان بارگیری شده]]*bargiri[[#This Row],[فی]]</f>
        <v>1607200000</v>
      </c>
      <c r="I1811" s="360">
        <f>IF(year=bargiri[[#This Row],[سال]],1,0)</f>
        <v>0</v>
      </c>
      <c r="J1811" s="360" t="str">
        <f>VLOOKUP(bargiri[[#This Row],[شماره پیش فاکتور]],invoice[],16,0)</f>
        <v>عادی</v>
      </c>
      <c r="K1811" s="252">
        <f>bargiri[[#This Row],[فی]]*bargiri[[#This Row],[میزان بارگیری شده]]</f>
        <v>1607200000</v>
      </c>
    </row>
    <row r="1812" spans="1:11" ht="18.600000000000001">
      <c r="A1812" s="360" t="s">
        <v>525</v>
      </c>
      <c r="B1812" s="360" t="s">
        <v>103</v>
      </c>
      <c r="C1812" s="355" t="s">
        <v>29</v>
      </c>
      <c r="D1812">
        <v>7345</v>
      </c>
      <c r="E1812" s="143">
        <v>75000</v>
      </c>
      <c r="F1812" s="117">
        <v>1404</v>
      </c>
      <c r="G1812" s="360" t="s">
        <v>305</v>
      </c>
      <c r="H1812" s="144">
        <f>bargiri[[#This Row],[میزان بارگیری شده]]*bargiri[[#This Row],[فی]]</f>
        <v>550875000</v>
      </c>
      <c r="I1812" s="360">
        <f>IF(year=bargiri[[#This Row],[سال]],1,0)</f>
        <v>0</v>
      </c>
      <c r="J1812" s="360" t="str">
        <f>VLOOKUP(bargiri[[#This Row],[شماره پیش فاکتور]],invoice[],16,0)</f>
        <v>عادی</v>
      </c>
      <c r="K1812" s="252">
        <f>bargiri[[#This Row],[فی]]*bargiri[[#This Row],[میزان بارگیری شده]]</f>
        <v>550875000</v>
      </c>
    </row>
    <row r="1813" spans="1:11" ht="18.600000000000001">
      <c r="A1813" s="360" t="s">
        <v>525</v>
      </c>
      <c r="B1813" s="360" t="s">
        <v>104</v>
      </c>
      <c r="C1813" s="355" t="s">
        <v>39</v>
      </c>
      <c r="D1813">
        <v>18590</v>
      </c>
      <c r="E1813" s="143">
        <v>65000</v>
      </c>
      <c r="F1813" s="117">
        <v>1404</v>
      </c>
      <c r="G1813" s="360" t="s">
        <v>305</v>
      </c>
      <c r="H1813" s="144">
        <f>bargiri[[#This Row],[میزان بارگیری شده]]*bargiri[[#This Row],[فی]]</f>
        <v>1208350000</v>
      </c>
      <c r="I1813" s="360">
        <f>IF(year=bargiri[[#This Row],[سال]],1,0)</f>
        <v>0</v>
      </c>
      <c r="J1813" s="360" t="str">
        <f>VLOOKUP(bargiri[[#This Row],[شماره پیش فاکتور]],invoice[],16,0)</f>
        <v>تعادلی</v>
      </c>
      <c r="K1813" s="252">
        <f>bargiri[[#This Row],[فی]]*bargiri[[#This Row],[میزان بارگیری شده]]</f>
        <v>1208350000</v>
      </c>
    </row>
    <row r="1814" spans="1:11" ht="18.600000000000001">
      <c r="A1814" s="360" t="s">
        <v>526</v>
      </c>
      <c r="B1814" s="360" t="s">
        <v>122</v>
      </c>
      <c r="C1814" s="355" t="s">
        <v>91</v>
      </c>
      <c r="D1814">
        <v>20045</v>
      </c>
      <c r="E1814" s="143">
        <v>75000</v>
      </c>
      <c r="F1814" s="117">
        <v>1404</v>
      </c>
      <c r="G1814" s="360" t="s">
        <v>305</v>
      </c>
      <c r="H1814" s="144">
        <f>bargiri[[#This Row],[میزان بارگیری شده]]*bargiri[[#This Row],[فی]]</f>
        <v>1503375000</v>
      </c>
      <c r="I1814" s="360">
        <f>IF(year=bargiri[[#This Row],[سال]],1,0)</f>
        <v>0</v>
      </c>
      <c r="J1814" s="360" t="str">
        <f>VLOOKUP(bargiri[[#This Row],[شماره پیش فاکتور]],invoice[],16,0)</f>
        <v>عادی</v>
      </c>
      <c r="K1814" s="252">
        <f>bargiri[[#This Row],[فی]]*bargiri[[#This Row],[میزان بارگیری شده]]</f>
        <v>1503375000</v>
      </c>
    </row>
    <row r="1815" spans="1:11" ht="18.600000000000001">
      <c r="A1815" s="360" t="s">
        <v>526</v>
      </c>
      <c r="B1815" s="360" t="s">
        <v>116</v>
      </c>
      <c r="C1815" s="355" t="s">
        <v>77</v>
      </c>
      <c r="D1815">
        <v>19025</v>
      </c>
      <c r="E1815" s="143">
        <v>68500</v>
      </c>
      <c r="F1815" s="117">
        <v>1404</v>
      </c>
      <c r="G1815" s="360" t="s">
        <v>305</v>
      </c>
      <c r="H1815" s="144">
        <f>bargiri[[#This Row],[میزان بارگیری شده]]*bargiri[[#This Row],[فی]]</f>
        <v>1303212500</v>
      </c>
      <c r="I1815" s="360">
        <f>IF(year=bargiri[[#This Row],[سال]],1,0)</f>
        <v>0</v>
      </c>
      <c r="J1815" s="360" t="str">
        <f>VLOOKUP(bargiri[[#This Row],[شماره پیش فاکتور]],invoice[],16,0)</f>
        <v>عادی</v>
      </c>
      <c r="K1815" s="252">
        <f>bargiri[[#This Row],[فی]]*bargiri[[#This Row],[میزان بارگیری شده]]</f>
        <v>1303212500</v>
      </c>
    </row>
    <row r="1816" spans="1:11" ht="18.600000000000001">
      <c r="A1816" s="360" t="s">
        <v>526</v>
      </c>
      <c r="B1816" s="360" t="s">
        <v>118</v>
      </c>
      <c r="C1816" s="355" t="s">
        <v>84</v>
      </c>
      <c r="D1816">
        <v>20935</v>
      </c>
      <c r="E1816" s="143">
        <v>57273</v>
      </c>
      <c r="F1816" s="117">
        <v>1404</v>
      </c>
      <c r="G1816" s="360" t="s">
        <v>305</v>
      </c>
      <c r="H1816" s="144">
        <f>bargiri[[#This Row],[میزان بارگیری شده]]*bargiri[[#This Row],[فی]]</f>
        <v>1199010255</v>
      </c>
      <c r="I1816" s="360">
        <f>IF(year=bargiri[[#This Row],[سال]],1,0)</f>
        <v>0</v>
      </c>
      <c r="J1816" s="360" t="str">
        <f>VLOOKUP(bargiri[[#This Row],[شماره پیش فاکتور]],invoice[],16,0)</f>
        <v>عادی</v>
      </c>
      <c r="K1816" s="252">
        <f>bargiri[[#This Row],[فی]]*bargiri[[#This Row],[میزان بارگیری شده]]</f>
        <v>1199010255</v>
      </c>
    </row>
    <row r="1817" spans="1:11" ht="18.600000000000001">
      <c r="A1817" s="360" t="s">
        <v>526</v>
      </c>
      <c r="B1817" s="360" t="s">
        <v>118</v>
      </c>
      <c r="C1817" s="355" t="s">
        <v>84</v>
      </c>
      <c r="D1817">
        <v>21040</v>
      </c>
      <c r="E1817" s="143">
        <v>57273</v>
      </c>
      <c r="F1817" s="117">
        <v>1404</v>
      </c>
      <c r="G1817" s="360" t="s">
        <v>305</v>
      </c>
      <c r="H1817" s="144">
        <f>bargiri[[#This Row],[میزان بارگیری شده]]*bargiri[[#This Row],[فی]]</f>
        <v>1205023920</v>
      </c>
      <c r="I1817" s="360">
        <f>IF(year=bargiri[[#This Row],[سال]],1,0)</f>
        <v>0</v>
      </c>
      <c r="J1817" s="360" t="str">
        <f>VLOOKUP(bargiri[[#This Row],[شماره پیش فاکتور]],invoice[],16,0)</f>
        <v>عادی</v>
      </c>
      <c r="K1817" s="252">
        <f>bargiri[[#This Row],[فی]]*bargiri[[#This Row],[میزان بارگیری شده]]</f>
        <v>1205023920</v>
      </c>
    </row>
    <row r="1818" spans="1:11" ht="18.600000000000001">
      <c r="A1818" s="360" t="s">
        <v>526</v>
      </c>
      <c r="B1818" s="360" t="s">
        <v>125</v>
      </c>
      <c r="C1818" s="355" t="s">
        <v>96</v>
      </c>
      <c r="D1818">
        <v>14550</v>
      </c>
      <c r="E1818" s="143">
        <v>100000</v>
      </c>
      <c r="F1818" s="117">
        <v>1404</v>
      </c>
      <c r="G1818" s="360" t="s">
        <v>305</v>
      </c>
      <c r="H1818" s="144">
        <f>bargiri[[#This Row],[میزان بارگیری شده]]*bargiri[[#This Row],[فی]]</f>
        <v>1455000000</v>
      </c>
      <c r="I1818" s="360">
        <f>IF(year=bargiri[[#This Row],[سال]],1,0)</f>
        <v>0</v>
      </c>
      <c r="J1818" s="360" t="str">
        <f>VLOOKUP(bargiri[[#This Row],[شماره پیش فاکتور]],invoice[],16,0)</f>
        <v>انجمن</v>
      </c>
      <c r="K1818" s="252">
        <f>bargiri[[#This Row],[فی]]*bargiri[[#This Row],[میزان بارگیری شده]]</f>
        <v>1455000000</v>
      </c>
    </row>
    <row r="1819" spans="1:11" ht="18.600000000000001">
      <c r="A1819" s="360" t="s">
        <v>527</v>
      </c>
      <c r="B1819" s="360" t="s">
        <v>103</v>
      </c>
      <c r="C1819" s="355" t="s">
        <v>29</v>
      </c>
      <c r="D1819">
        <v>4020</v>
      </c>
      <c r="E1819" s="143">
        <v>75000</v>
      </c>
      <c r="F1819" s="117">
        <v>1404</v>
      </c>
      <c r="G1819" s="360" t="s">
        <v>305</v>
      </c>
      <c r="H1819" s="144">
        <f>bargiri[[#This Row],[میزان بارگیری شده]]*bargiri[[#This Row],[فی]]</f>
        <v>301500000</v>
      </c>
      <c r="I1819" s="360">
        <f>IF(year=bargiri[[#This Row],[سال]],1,0)</f>
        <v>0</v>
      </c>
      <c r="J1819" s="360" t="str">
        <f>VLOOKUP(bargiri[[#This Row],[شماره پیش فاکتور]],invoice[],16,0)</f>
        <v>عادی</v>
      </c>
      <c r="K1819" s="252">
        <f>bargiri[[#This Row],[فی]]*bargiri[[#This Row],[میزان بارگیری شده]]</f>
        <v>301500000</v>
      </c>
    </row>
    <row r="1820" spans="1:11" ht="18.600000000000001">
      <c r="A1820" s="360" t="s">
        <v>527</v>
      </c>
      <c r="B1820" s="360" t="s">
        <v>113</v>
      </c>
      <c r="C1820" s="355" t="s">
        <v>61</v>
      </c>
      <c r="D1820">
        <v>19220</v>
      </c>
      <c r="E1820" s="143">
        <v>75000</v>
      </c>
      <c r="F1820" s="117">
        <v>1404</v>
      </c>
      <c r="G1820" s="360" t="s">
        <v>305</v>
      </c>
      <c r="H1820" s="144">
        <f>bargiri[[#This Row],[میزان بارگیری شده]]*bargiri[[#This Row],[فی]]</f>
        <v>1441500000</v>
      </c>
      <c r="I1820" s="360">
        <f>IF(year=bargiri[[#This Row],[سال]],1,0)</f>
        <v>0</v>
      </c>
      <c r="J1820" s="360" t="str">
        <f>VLOOKUP(bargiri[[#This Row],[شماره پیش فاکتور]],invoice[],16,0)</f>
        <v>عادی</v>
      </c>
      <c r="K1820" s="252">
        <f>bargiri[[#This Row],[فی]]*bargiri[[#This Row],[میزان بارگیری شده]]</f>
        <v>1441500000</v>
      </c>
    </row>
    <row r="1821" spans="1:11" ht="18.600000000000001">
      <c r="A1821" s="360" t="s">
        <v>527</v>
      </c>
      <c r="B1821" s="360" t="s">
        <v>118</v>
      </c>
      <c r="C1821" s="355" t="s">
        <v>84</v>
      </c>
      <c r="D1821">
        <v>20940</v>
      </c>
      <c r="E1821" s="143">
        <v>57273</v>
      </c>
      <c r="F1821" s="117">
        <v>1404</v>
      </c>
      <c r="G1821" s="360" t="s">
        <v>305</v>
      </c>
      <c r="H1821" s="144">
        <f>bargiri[[#This Row],[میزان بارگیری شده]]*bargiri[[#This Row],[فی]]</f>
        <v>1199296620</v>
      </c>
      <c r="I1821" s="360">
        <f>IF(year=bargiri[[#This Row],[سال]],1,0)</f>
        <v>0</v>
      </c>
      <c r="J1821" s="360" t="str">
        <f>VLOOKUP(bargiri[[#This Row],[شماره پیش فاکتور]],invoice[],16,0)</f>
        <v>عادی</v>
      </c>
      <c r="K1821" s="252">
        <f>bargiri[[#This Row],[فی]]*bargiri[[#This Row],[میزان بارگیری شده]]</f>
        <v>1199296620</v>
      </c>
    </row>
    <row r="1822" spans="1:11" ht="18.600000000000001">
      <c r="A1822" s="360" t="s">
        <v>527</v>
      </c>
      <c r="B1822" s="360" t="s">
        <v>118</v>
      </c>
      <c r="C1822" s="355" t="s">
        <v>84</v>
      </c>
      <c r="D1822">
        <v>20950</v>
      </c>
      <c r="E1822" s="143">
        <v>57273</v>
      </c>
      <c r="F1822" s="117">
        <v>1404</v>
      </c>
      <c r="G1822" s="360" t="s">
        <v>305</v>
      </c>
      <c r="H1822" s="144">
        <f>bargiri[[#This Row],[میزان بارگیری شده]]*bargiri[[#This Row],[فی]]</f>
        <v>1199869350</v>
      </c>
      <c r="I1822" s="360">
        <f>IF(year=bargiri[[#This Row],[سال]],1,0)</f>
        <v>0</v>
      </c>
      <c r="J1822" s="360" t="str">
        <f>VLOOKUP(bargiri[[#This Row],[شماره پیش فاکتور]],invoice[],16,0)</f>
        <v>عادی</v>
      </c>
      <c r="K1822" s="252">
        <f>bargiri[[#This Row],[فی]]*bargiri[[#This Row],[میزان بارگیری شده]]</f>
        <v>1199869350</v>
      </c>
    </row>
    <row r="1823" spans="1:11" ht="18.600000000000001">
      <c r="A1823" s="360" t="s">
        <v>527</v>
      </c>
      <c r="B1823" s="360" t="s">
        <v>107</v>
      </c>
      <c r="C1823" s="355" t="s">
        <v>50</v>
      </c>
      <c r="D1823">
        <v>18945</v>
      </c>
      <c r="E1823" s="143">
        <v>70000</v>
      </c>
      <c r="F1823" s="117">
        <v>1404</v>
      </c>
      <c r="G1823" s="360" t="s">
        <v>305</v>
      </c>
      <c r="H1823" s="144">
        <f>bargiri[[#This Row],[میزان بارگیری شده]]*bargiri[[#This Row],[فی]]</f>
        <v>1326150000</v>
      </c>
      <c r="I1823" s="360">
        <f>IF(year=bargiri[[#This Row],[سال]],1,0)</f>
        <v>0</v>
      </c>
      <c r="J1823" s="360" t="str">
        <f>VLOOKUP(bargiri[[#This Row],[شماره پیش فاکتور]],invoice[],16,0)</f>
        <v>عادی</v>
      </c>
      <c r="K1823" s="252">
        <f>bargiri[[#This Row],[فی]]*bargiri[[#This Row],[میزان بارگیری شده]]</f>
        <v>1326150000</v>
      </c>
    </row>
    <row r="1824" spans="1:11" ht="18.600000000000001">
      <c r="A1824" s="360" t="s">
        <v>527</v>
      </c>
      <c r="B1824" s="360" t="s">
        <v>103</v>
      </c>
      <c r="C1824" s="355" t="s">
        <v>29</v>
      </c>
      <c r="D1824">
        <v>7470</v>
      </c>
      <c r="E1824" s="143">
        <v>75000</v>
      </c>
      <c r="F1824" s="117">
        <v>1404</v>
      </c>
      <c r="G1824" s="360" t="s">
        <v>305</v>
      </c>
      <c r="H1824" s="144">
        <f>bargiri[[#This Row],[میزان بارگیری شده]]*bargiri[[#This Row],[فی]]</f>
        <v>560250000</v>
      </c>
      <c r="I1824" s="360">
        <f>IF(year=bargiri[[#This Row],[سال]],1,0)</f>
        <v>0</v>
      </c>
      <c r="J1824" s="360" t="str">
        <f>VLOOKUP(bargiri[[#This Row],[شماره پیش فاکتور]],invoice[],16,0)</f>
        <v>عادی</v>
      </c>
      <c r="K1824" s="252">
        <f>bargiri[[#This Row],[فی]]*bargiri[[#This Row],[میزان بارگیری شده]]</f>
        <v>560250000</v>
      </c>
    </row>
    <row r="1825" spans="1:11" ht="18.600000000000001">
      <c r="A1825" s="360" t="s">
        <v>528</v>
      </c>
      <c r="B1825" s="360" t="s">
        <v>103</v>
      </c>
      <c r="C1825" s="355" t="s">
        <v>29</v>
      </c>
      <c r="D1825">
        <v>6950</v>
      </c>
      <c r="E1825" s="143">
        <v>75000</v>
      </c>
      <c r="F1825" s="117">
        <v>1404</v>
      </c>
      <c r="G1825" s="360" t="s">
        <v>305</v>
      </c>
      <c r="H1825" s="144">
        <f>bargiri[[#This Row],[میزان بارگیری شده]]*bargiri[[#This Row],[فی]]</f>
        <v>521250000</v>
      </c>
      <c r="I1825" s="360">
        <f>IF(year=bargiri[[#This Row],[سال]],1,0)</f>
        <v>0</v>
      </c>
      <c r="J1825" s="360" t="str">
        <f>VLOOKUP(bargiri[[#This Row],[شماره پیش فاکتور]],invoice[],16,0)</f>
        <v>عادی</v>
      </c>
      <c r="K1825" s="252">
        <f>bargiri[[#This Row],[فی]]*bargiri[[#This Row],[میزان بارگیری شده]]</f>
        <v>521250000</v>
      </c>
    </row>
    <row r="1826" spans="1:11" ht="18.600000000000001">
      <c r="A1826" s="360" t="s">
        <v>528</v>
      </c>
      <c r="B1826" s="360" t="s">
        <v>102</v>
      </c>
      <c r="C1826" s="355" t="s">
        <v>24</v>
      </c>
      <c r="D1826">
        <v>11325</v>
      </c>
      <c r="E1826" s="143">
        <v>70000</v>
      </c>
      <c r="F1826" s="117">
        <v>1404</v>
      </c>
      <c r="G1826" s="360" t="s">
        <v>305</v>
      </c>
      <c r="H1826" s="144">
        <f>bargiri[[#This Row],[میزان بارگیری شده]]*bargiri[[#This Row],[فی]]</f>
        <v>792750000</v>
      </c>
      <c r="I1826" s="360">
        <f>IF(year=bargiri[[#This Row],[سال]],1,0)</f>
        <v>0</v>
      </c>
      <c r="J1826" s="360" t="str">
        <f>VLOOKUP(bargiri[[#This Row],[شماره پیش فاکتور]],invoice[],16,0)</f>
        <v>عادی</v>
      </c>
      <c r="K1826" s="252">
        <f>bargiri[[#This Row],[فی]]*bargiri[[#This Row],[میزان بارگیری شده]]</f>
        <v>792750000</v>
      </c>
    </row>
    <row r="1827" spans="1:11" ht="18.600000000000001">
      <c r="A1827" s="360" t="s">
        <v>529</v>
      </c>
      <c r="B1827" s="360" t="s">
        <v>118</v>
      </c>
      <c r="C1827" s="355" t="s">
        <v>84</v>
      </c>
      <c r="D1827">
        <v>20685</v>
      </c>
      <c r="E1827" s="143">
        <v>57273</v>
      </c>
      <c r="F1827" s="117">
        <v>1404</v>
      </c>
      <c r="G1827" s="360" t="s">
        <v>305</v>
      </c>
      <c r="H1827" s="144">
        <f>bargiri[[#This Row],[میزان بارگیری شده]]*bargiri[[#This Row],[فی]]</f>
        <v>1184692005</v>
      </c>
      <c r="I1827" s="360">
        <f>IF(year=bargiri[[#This Row],[سال]],1,0)</f>
        <v>0</v>
      </c>
      <c r="J1827" s="360" t="str">
        <f>VLOOKUP(bargiri[[#This Row],[شماره پیش فاکتور]],invoice[],16,0)</f>
        <v>عادی</v>
      </c>
      <c r="K1827" s="252">
        <f>bargiri[[#This Row],[فی]]*bargiri[[#This Row],[میزان بارگیری شده]]</f>
        <v>1184692005</v>
      </c>
    </row>
    <row r="1828" spans="1:11" ht="18.600000000000001">
      <c r="A1828" s="360" t="s">
        <v>529</v>
      </c>
      <c r="B1828" s="360" t="s">
        <v>118</v>
      </c>
      <c r="C1828" s="355" t="s">
        <v>84</v>
      </c>
      <c r="D1828">
        <v>20460</v>
      </c>
      <c r="E1828" s="143">
        <v>57273</v>
      </c>
      <c r="F1828" s="117">
        <v>1404</v>
      </c>
      <c r="G1828" s="360" t="s">
        <v>305</v>
      </c>
      <c r="H1828" s="144">
        <f>bargiri[[#This Row],[میزان بارگیری شده]]*bargiri[[#This Row],[فی]]</f>
        <v>1171805580</v>
      </c>
      <c r="I1828" s="360">
        <f>IF(year=bargiri[[#This Row],[سال]],1,0)</f>
        <v>0</v>
      </c>
      <c r="J1828" s="360" t="str">
        <f>VLOOKUP(bargiri[[#This Row],[شماره پیش فاکتور]],invoice[],16,0)</f>
        <v>عادی</v>
      </c>
      <c r="K1828" s="252">
        <f>bargiri[[#This Row],[فی]]*bargiri[[#This Row],[میزان بارگیری شده]]</f>
        <v>1171805580</v>
      </c>
    </row>
    <row r="1829" spans="1:11" ht="18.600000000000001">
      <c r="A1829" s="360" t="s">
        <v>530</v>
      </c>
      <c r="B1829" s="360" t="s">
        <v>103</v>
      </c>
      <c r="C1829" s="355" t="s">
        <v>29</v>
      </c>
      <c r="D1829">
        <v>7310</v>
      </c>
      <c r="E1829" s="143">
        <v>75000</v>
      </c>
      <c r="F1829" s="117">
        <v>1404</v>
      </c>
      <c r="G1829" s="360" t="s">
        <v>305</v>
      </c>
      <c r="H1829" s="144">
        <f>bargiri[[#This Row],[میزان بارگیری شده]]*bargiri[[#This Row],[فی]]</f>
        <v>548250000</v>
      </c>
      <c r="I1829" s="360">
        <f>IF(year=bargiri[[#This Row],[سال]],1,0)</f>
        <v>0</v>
      </c>
      <c r="J1829" s="360" t="str">
        <f>VLOOKUP(bargiri[[#This Row],[شماره پیش فاکتور]],invoice[],16,0)</f>
        <v>عادی</v>
      </c>
      <c r="K1829" s="252">
        <f>bargiri[[#This Row],[فی]]*bargiri[[#This Row],[میزان بارگیری شده]]</f>
        <v>548250000</v>
      </c>
    </row>
    <row r="1830" spans="1:11" ht="18.600000000000001">
      <c r="A1830" s="360" t="s">
        <v>530</v>
      </c>
      <c r="B1830" s="360" t="s">
        <v>107</v>
      </c>
      <c r="C1830" s="355" t="s">
        <v>50</v>
      </c>
      <c r="D1830">
        <v>17755</v>
      </c>
      <c r="E1830" s="143">
        <v>70000</v>
      </c>
      <c r="F1830" s="117">
        <v>1404</v>
      </c>
      <c r="G1830" s="360" t="s">
        <v>305</v>
      </c>
      <c r="H1830" s="144">
        <f>bargiri[[#This Row],[میزان بارگیری شده]]*bargiri[[#This Row],[فی]]</f>
        <v>1242850000</v>
      </c>
      <c r="I1830" s="360">
        <f>IF(year=bargiri[[#This Row],[سال]],1,0)</f>
        <v>0</v>
      </c>
      <c r="J1830" s="360" t="str">
        <f>VLOOKUP(bargiri[[#This Row],[شماره پیش فاکتور]],invoice[],16,0)</f>
        <v>عادی</v>
      </c>
      <c r="K1830" s="252">
        <f>bargiri[[#This Row],[فی]]*bargiri[[#This Row],[میزان بارگیری شده]]</f>
        <v>1242850000</v>
      </c>
    </row>
    <row r="1831" spans="1:11" ht="18.600000000000001">
      <c r="A1831" s="360" t="s">
        <v>530</v>
      </c>
      <c r="B1831" s="360" t="s">
        <v>103</v>
      </c>
      <c r="C1831" s="355" t="s">
        <v>29</v>
      </c>
      <c r="D1831">
        <v>7305</v>
      </c>
      <c r="E1831" s="143">
        <v>75000</v>
      </c>
      <c r="F1831" s="117">
        <v>1404</v>
      </c>
      <c r="G1831" s="360" t="s">
        <v>305</v>
      </c>
      <c r="H1831" s="144">
        <f>bargiri[[#This Row],[میزان بارگیری شده]]*bargiri[[#This Row],[فی]]</f>
        <v>547875000</v>
      </c>
      <c r="I1831" s="360">
        <f>IF(year=bargiri[[#This Row],[سال]],1,0)</f>
        <v>0</v>
      </c>
      <c r="J1831" s="360" t="str">
        <f>VLOOKUP(bargiri[[#This Row],[شماره پیش فاکتور]],invoice[],16,0)</f>
        <v>عادی</v>
      </c>
      <c r="K1831" s="252">
        <f>bargiri[[#This Row],[فی]]*bargiri[[#This Row],[میزان بارگیری شده]]</f>
        <v>547875000</v>
      </c>
    </row>
    <row r="1832" spans="1:11" ht="18.600000000000001">
      <c r="A1832" s="360" t="s">
        <v>530</v>
      </c>
      <c r="B1832" s="360" t="s">
        <v>98</v>
      </c>
      <c r="C1832" s="355" t="s">
        <v>3</v>
      </c>
      <c r="D1832">
        <v>20060</v>
      </c>
      <c r="E1832" s="143">
        <v>65000</v>
      </c>
      <c r="F1832" s="117">
        <v>1404</v>
      </c>
      <c r="G1832" s="360" t="s">
        <v>305</v>
      </c>
      <c r="H1832" s="144">
        <f>bargiri[[#This Row],[میزان بارگیری شده]]*bargiri[[#This Row],[فی]]</f>
        <v>1303900000</v>
      </c>
      <c r="I1832" s="360">
        <f>IF(year=bargiri[[#This Row],[سال]],1,0)</f>
        <v>0</v>
      </c>
      <c r="J1832" s="360" t="str">
        <f>VLOOKUP(bargiri[[#This Row],[شماره پیش فاکتور]],invoice[],16,0)</f>
        <v>تعادلی</v>
      </c>
      <c r="K1832" s="252">
        <f>bargiri[[#This Row],[فی]]*bargiri[[#This Row],[میزان بارگیری شده]]</f>
        <v>1303900000</v>
      </c>
    </row>
    <row r="1833" spans="1:11" ht="18.600000000000001">
      <c r="A1833" s="360" t="s">
        <v>530</v>
      </c>
      <c r="B1833" s="360" t="s">
        <v>113</v>
      </c>
      <c r="C1833" s="355" t="s">
        <v>61</v>
      </c>
      <c r="D1833">
        <v>19095</v>
      </c>
      <c r="E1833" s="143">
        <v>75000</v>
      </c>
      <c r="F1833" s="117">
        <v>1404</v>
      </c>
      <c r="G1833" s="360" t="s">
        <v>305</v>
      </c>
      <c r="H1833" s="144">
        <f>bargiri[[#This Row],[میزان بارگیری شده]]*bargiri[[#This Row],[فی]]</f>
        <v>1432125000</v>
      </c>
      <c r="I1833" s="360">
        <f>IF(year=bargiri[[#This Row],[سال]],1,0)</f>
        <v>0</v>
      </c>
      <c r="J1833" s="360" t="str">
        <f>VLOOKUP(bargiri[[#This Row],[شماره پیش فاکتور]],invoice[],16,0)</f>
        <v>عادی</v>
      </c>
      <c r="K1833" s="252">
        <f>bargiri[[#This Row],[فی]]*bargiri[[#This Row],[میزان بارگیری شده]]</f>
        <v>1432125000</v>
      </c>
    </row>
    <row r="1834" spans="1:11" ht="18.600000000000001">
      <c r="A1834" s="360" t="s">
        <v>531</v>
      </c>
      <c r="B1834" s="360" t="s">
        <v>116</v>
      </c>
      <c r="C1834" s="355" t="s">
        <v>77</v>
      </c>
      <c r="D1834">
        <v>17940</v>
      </c>
      <c r="E1834" s="143">
        <v>68500</v>
      </c>
      <c r="F1834" s="117">
        <v>1404</v>
      </c>
      <c r="G1834" s="360" t="s">
        <v>305</v>
      </c>
      <c r="H1834" s="144">
        <f>bargiri[[#This Row],[میزان بارگیری شده]]*bargiri[[#This Row],[فی]]</f>
        <v>1228890000</v>
      </c>
      <c r="I1834" s="360">
        <f>IF(year=bargiri[[#This Row],[سال]],1,0)</f>
        <v>0</v>
      </c>
      <c r="J1834" s="360" t="str">
        <f>VLOOKUP(bargiri[[#This Row],[شماره پیش فاکتور]],invoice[],16,0)</f>
        <v>عادی</v>
      </c>
      <c r="K1834" s="252">
        <f>bargiri[[#This Row],[فی]]*bargiri[[#This Row],[میزان بارگیری شده]]</f>
        <v>1228890000</v>
      </c>
    </row>
    <row r="1835" spans="1:11" ht="18.600000000000001">
      <c r="A1835" s="360" t="s">
        <v>531</v>
      </c>
      <c r="B1835" s="360" t="s">
        <v>118</v>
      </c>
      <c r="C1835" s="355" t="s">
        <v>84</v>
      </c>
      <c r="D1835">
        <v>21005</v>
      </c>
      <c r="E1835" s="143">
        <v>57273</v>
      </c>
      <c r="F1835" s="117">
        <v>1404</v>
      </c>
      <c r="G1835" s="360" t="s">
        <v>305</v>
      </c>
      <c r="H1835" s="144">
        <f>bargiri[[#This Row],[میزان بارگیری شده]]*bargiri[[#This Row],[فی]]</f>
        <v>1203019365</v>
      </c>
      <c r="I1835" s="360">
        <f>IF(year=bargiri[[#This Row],[سال]],1,0)</f>
        <v>0</v>
      </c>
      <c r="J1835" s="360" t="str">
        <f>VLOOKUP(bargiri[[#This Row],[شماره پیش فاکتور]],invoice[],16,0)</f>
        <v>عادی</v>
      </c>
      <c r="K1835" s="252">
        <f>bargiri[[#This Row],[فی]]*bargiri[[#This Row],[میزان بارگیری شده]]</f>
        <v>1203019365</v>
      </c>
    </row>
    <row r="1836" spans="1:11" ht="18.600000000000001">
      <c r="A1836" s="360" t="s">
        <v>531</v>
      </c>
      <c r="B1836" s="360" t="s">
        <v>118</v>
      </c>
      <c r="C1836" s="355" t="s">
        <v>84</v>
      </c>
      <c r="D1836">
        <v>20955</v>
      </c>
      <c r="E1836" s="143">
        <v>57273</v>
      </c>
      <c r="F1836" s="117">
        <v>1404</v>
      </c>
      <c r="G1836" s="360" t="s">
        <v>305</v>
      </c>
      <c r="H1836" s="144">
        <f>bargiri[[#This Row],[میزان بارگیری شده]]*bargiri[[#This Row],[فی]]</f>
        <v>1200155715</v>
      </c>
      <c r="I1836" s="360">
        <f>IF(year=bargiri[[#This Row],[سال]],1,0)</f>
        <v>0</v>
      </c>
      <c r="J1836" s="360" t="str">
        <f>VLOOKUP(bargiri[[#This Row],[شماره پیش فاکتور]],invoice[],16,0)</f>
        <v>عادی</v>
      </c>
      <c r="K1836" s="252">
        <f>bargiri[[#This Row],[فی]]*bargiri[[#This Row],[میزان بارگیری شده]]</f>
        <v>1200155715</v>
      </c>
    </row>
    <row r="1837" spans="1:11" ht="18.600000000000001">
      <c r="A1837" s="360" t="s">
        <v>531</v>
      </c>
      <c r="B1837" s="360" t="s">
        <v>120</v>
      </c>
      <c r="C1837" s="355" t="s">
        <v>88</v>
      </c>
      <c r="D1837">
        <v>9060</v>
      </c>
      <c r="E1837" s="143">
        <v>80000</v>
      </c>
      <c r="F1837" s="117">
        <v>1404</v>
      </c>
      <c r="G1837" s="360" t="s">
        <v>305</v>
      </c>
      <c r="H1837" s="144">
        <f>bargiri[[#This Row],[میزان بارگیری شده]]*bargiri[[#This Row],[فی]]</f>
        <v>724800000</v>
      </c>
      <c r="I1837" s="360">
        <f>IF(year=bargiri[[#This Row],[سال]],1,0)</f>
        <v>0</v>
      </c>
      <c r="J1837" s="360" t="str">
        <f>VLOOKUP(bargiri[[#This Row],[شماره پیش فاکتور]],invoice[],16,0)</f>
        <v>عادی</v>
      </c>
      <c r="K1837" s="252">
        <f>bargiri[[#This Row],[فی]]*bargiri[[#This Row],[میزان بارگیری شده]]</f>
        <v>724800000</v>
      </c>
    </row>
    <row r="1838" spans="1:11" ht="18.600000000000001">
      <c r="A1838" s="360" t="s">
        <v>532</v>
      </c>
      <c r="B1838" s="360" t="s">
        <v>116</v>
      </c>
      <c r="C1838" s="355" t="s">
        <v>77</v>
      </c>
      <c r="D1838">
        <v>7995</v>
      </c>
      <c r="E1838" s="143">
        <v>68500</v>
      </c>
      <c r="F1838" s="117">
        <v>1404</v>
      </c>
      <c r="G1838" s="360" t="s">
        <v>305</v>
      </c>
      <c r="H1838" s="144">
        <f>bargiri[[#This Row],[میزان بارگیری شده]]*bargiri[[#This Row],[فی]]</f>
        <v>547657500</v>
      </c>
      <c r="I1838" s="360">
        <f>IF(year=bargiri[[#This Row],[سال]],1,0)</f>
        <v>0</v>
      </c>
      <c r="J1838" s="360" t="str">
        <f>VLOOKUP(bargiri[[#This Row],[شماره پیش فاکتور]],invoice[],16,0)</f>
        <v>عادی</v>
      </c>
      <c r="K1838" s="252">
        <f>bargiri[[#This Row],[فی]]*bargiri[[#This Row],[میزان بارگیری شده]]</f>
        <v>547657500</v>
      </c>
    </row>
    <row r="1839" spans="1:11" ht="18.600000000000001">
      <c r="A1839" s="360" t="s">
        <v>532</v>
      </c>
      <c r="B1839" s="360" t="s">
        <v>123</v>
      </c>
      <c r="C1839" s="355" t="s">
        <v>533</v>
      </c>
      <c r="D1839">
        <v>7700</v>
      </c>
      <c r="E1839" s="143">
        <v>100000</v>
      </c>
      <c r="F1839" s="117">
        <v>1404</v>
      </c>
      <c r="G1839" s="360" t="s">
        <v>305</v>
      </c>
      <c r="H1839" s="144">
        <f>bargiri[[#This Row],[میزان بارگیری شده]]*bargiri[[#This Row],[فی]]</f>
        <v>770000000</v>
      </c>
      <c r="I1839" s="360">
        <f>IF(year=bargiri[[#This Row],[سال]],1,0)</f>
        <v>0</v>
      </c>
      <c r="J1839" s="360" t="str">
        <f>VLOOKUP(bargiri[[#This Row],[شماره پیش فاکتور]],invoice[],16,0)</f>
        <v>عادی</v>
      </c>
      <c r="K1839" s="252">
        <f>bargiri[[#This Row],[فی]]*bargiri[[#This Row],[میزان بارگیری شده]]</f>
        <v>770000000</v>
      </c>
    </row>
    <row r="1840" spans="1:11" ht="18.600000000000001">
      <c r="A1840" s="360" t="s">
        <v>532</v>
      </c>
      <c r="B1840" s="360" t="s">
        <v>117</v>
      </c>
      <c r="C1840" s="355" t="s">
        <v>79</v>
      </c>
      <c r="D1840">
        <v>19930</v>
      </c>
      <c r="E1840" s="143">
        <v>75000</v>
      </c>
      <c r="F1840" s="117">
        <v>1404</v>
      </c>
      <c r="G1840" s="360" t="s">
        <v>305</v>
      </c>
      <c r="H1840" s="144">
        <f>bargiri[[#This Row],[میزان بارگیری شده]]*bargiri[[#This Row],[فی]]</f>
        <v>1494750000</v>
      </c>
      <c r="I1840" s="360">
        <f>IF(year=bargiri[[#This Row],[سال]],1,0)</f>
        <v>0</v>
      </c>
      <c r="J1840" s="360" t="str">
        <f>VLOOKUP(bargiri[[#This Row],[شماره پیش فاکتور]],invoice[],16,0)</f>
        <v>عادی</v>
      </c>
      <c r="K1840" s="252">
        <f>bargiri[[#This Row],[فی]]*bargiri[[#This Row],[میزان بارگیری شده]]</f>
        <v>1494750000</v>
      </c>
    </row>
    <row r="1841" spans="1:11" ht="18.600000000000001">
      <c r="A1841" s="360" t="s">
        <v>532</v>
      </c>
      <c r="B1841" s="360" t="s">
        <v>103</v>
      </c>
      <c r="C1841" s="355" t="s">
        <v>29</v>
      </c>
      <c r="D1841">
        <v>7185</v>
      </c>
      <c r="E1841" s="143">
        <v>75000</v>
      </c>
      <c r="F1841" s="117">
        <v>1404</v>
      </c>
      <c r="G1841" s="360" t="s">
        <v>305</v>
      </c>
      <c r="H1841" s="144">
        <f>bargiri[[#This Row],[میزان بارگیری شده]]*bargiri[[#This Row],[فی]]</f>
        <v>538875000</v>
      </c>
      <c r="I1841" s="360">
        <f>IF(year=bargiri[[#This Row],[سال]],1,0)</f>
        <v>0</v>
      </c>
      <c r="J1841" s="360" t="str">
        <f>VLOOKUP(bargiri[[#This Row],[شماره پیش فاکتور]],invoice[],16,0)</f>
        <v>عادی</v>
      </c>
      <c r="K1841" s="252">
        <f>bargiri[[#This Row],[فی]]*bargiri[[#This Row],[میزان بارگیری شده]]</f>
        <v>538875000</v>
      </c>
    </row>
    <row r="1842" spans="1:11" ht="18.600000000000001">
      <c r="A1842" s="360" t="s">
        <v>532</v>
      </c>
      <c r="B1842" s="360" t="s">
        <v>106</v>
      </c>
      <c r="C1842" s="355" t="s">
        <v>44</v>
      </c>
      <c r="D1842">
        <v>20005</v>
      </c>
      <c r="E1842" s="143">
        <v>80000</v>
      </c>
      <c r="F1842" s="117">
        <v>1404</v>
      </c>
      <c r="G1842" s="360" t="s">
        <v>305</v>
      </c>
      <c r="H1842" s="144">
        <f>bargiri[[#This Row],[میزان بارگیری شده]]*bargiri[[#This Row],[فی]]</f>
        <v>1600400000</v>
      </c>
      <c r="I1842" s="360">
        <f>IF(year=bargiri[[#This Row],[سال]],1,0)</f>
        <v>0</v>
      </c>
      <c r="J1842" s="360" t="str">
        <f>VLOOKUP(bargiri[[#This Row],[شماره پیش فاکتور]],invoice[],16,0)</f>
        <v>عادی</v>
      </c>
      <c r="K1842" s="252">
        <f>bargiri[[#This Row],[فی]]*bargiri[[#This Row],[میزان بارگیری شده]]</f>
        <v>1600400000</v>
      </c>
    </row>
    <row r="1843" spans="1:11" ht="18.600000000000001">
      <c r="A1843" s="360" t="s">
        <v>532</v>
      </c>
      <c r="B1843" s="360" t="s">
        <v>113</v>
      </c>
      <c r="C1843" s="355" t="s">
        <v>61</v>
      </c>
      <c r="D1843">
        <v>19050</v>
      </c>
      <c r="E1843" s="143">
        <v>75000</v>
      </c>
      <c r="F1843" s="117">
        <v>1404</v>
      </c>
      <c r="G1843" s="360" t="s">
        <v>305</v>
      </c>
      <c r="H1843" s="144">
        <f>bargiri[[#This Row],[میزان بارگیری شده]]*bargiri[[#This Row],[فی]]</f>
        <v>1428750000</v>
      </c>
      <c r="I1843" s="360">
        <f>IF(year=bargiri[[#This Row],[سال]],1,0)</f>
        <v>0</v>
      </c>
      <c r="J1843" s="360" t="str">
        <f>VLOOKUP(bargiri[[#This Row],[شماره پیش فاکتور]],invoice[],16,0)</f>
        <v>عادی</v>
      </c>
      <c r="K1843" s="252">
        <f>bargiri[[#This Row],[فی]]*bargiri[[#This Row],[میزان بارگیری شده]]</f>
        <v>1428750000</v>
      </c>
    </row>
    <row r="1844" spans="1:11" ht="18.600000000000001">
      <c r="A1844" s="360" t="s">
        <v>532</v>
      </c>
      <c r="B1844" s="360" t="s">
        <v>114</v>
      </c>
      <c r="C1844" s="355" t="s">
        <v>62</v>
      </c>
      <c r="D1844">
        <v>21015</v>
      </c>
      <c r="E1844" s="143">
        <v>75000</v>
      </c>
      <c r="F1844" s="117">
        <v>1404</v>
      </c>
      <c r="G1844" s="360" t="s">
        <v>305</v>
      </c>
      <c r="H1844" s="144">
        <f>bargiri[[#This Row],[میزان بارگیری شده]]*bargiri[[#This Row],[فی]]</f>
        <v>1576125000</v>
      </c>
      <c r="I1844" s="360">
        <f>IF(year=bargiri[[#This Row],[سال]],1,0)</f>
        <v>0</v>
      </c>
      <c r="J1844" s="360" t="str">
        <f>VLOOKUP(bargiri[[#This Row],[شماره پیش فاکتور]],invoice[],16,0)</f>
        <v>عادی</v>
      </c>
      <c r="K1844" s="252">
        <f>bargiri[[#This Row],[فی]]*bargiri[[#This Row],[میزان بارگیری شده]]</f>
        <v>1576125000</v>
      </c>
    </row>
    <row r="1845" spans="1:11" ht="18.600000000000001">
      <c r="A1845" s="360" t="s">
        <v>515</v>
      </c>
      <c r="B1845" s="360" t="s">
        <v>103</v>
      </c>
      <c r="C1845" s="355" t="s">
        <v>29</v>
      </c>
      <c r="D1845">
        <v>7535</v>
      </c>
      <c r="E1845" s="143">
        <v>75000</v>
      </c>
      <c r="F1845" s="117">
        <v>1404</v>
      </c>
      <c r="G1845" s="360" t="s">
        <v>305</v>
      </c>
      <c r="H1845" s="144">
        <f>bargiri[[#This Row],[میزان بارگیری شده]]*bargiri[[#This Row],[فی]]</f>
        <v>565125000</v>
      </c>
      <c r="I1845" s="360">
        <f>IF(year=bargiri[[#This Row],[سال]],1,0)</f>
        <v>0</v>
      </c>
      <c r="J1845" s="360" t="str">
        <f>VLOOKUP(bargiri[[#This Row],[شماره پیش فاکتور]],invoice[],16,0)</f>
        <v>عادی</v>
      </c>
      <c r="K1845" s="252">
        <f>bargiri[[#This Row],[فی]]*bargiri[[#This Row],[میزان بارگیری شده]]</f>
        <v>565125000</v>
      </c>
    </row>
    <row r="1846" spans="1:11" ht="18.600000000000001">
      <c r="A1846" s="360" t="s">
        <v>518</v>
      </c>
      <c r="B1846" s="360" t="s">
        <v>123</v>
      </c>
      <c r="C1846" s="355" t="s">
        <v>533</v>
      </c>
      <c r="D1846">
        <v>7715</v>
      </c>
      <c r="E1846" s="143">
        <v>100000</v>
      </c>
      <c r="F1846" s="117">
        <v>1404</v>
      </c>
      <c r="G1846" s="360" t="s">
        <v>305</v>
      </c>
      <c r="H1846" s="144">
        <f>bargiri[[#This Row],[میزان بارگیری شده]]*bargiri[[#This Row],[فی]]</f>
        <v>771500000</v>
      </c>
      <c r="I1846" s="360">
        <f>IF(year=bargiri[[#This Row],[سال]],1,0)</f>
        <v>0</v>
      </c>
      <c r="J1846" s="360" t="str">
        <f>VLOOKUP(bargiri[[#This Row],[شماره پیش فاکتور]],invoice[],16,0)</f>
        <v>عادی</v>
      </c>
      <c r="K1846" s="252">
        <f>bargiri[[#This Row],[فی]]*bargiri[[#This Row],[میزان بارگیری شده]]</f>
        <v>771500000</v>
      </c>
    </row>
    <row r="1847" spans="1:11" ht="18.600000000000001">
      <c r="A1847" s="360" t="s">
        <v>534</v>
      </c>
      <c r="B1847" s="360" t="s">
        <v>103</v>
      </c>
      <c r="C1847" s="355" t="s">
        <v>29</v>
      </c>
      <c r="D1847">
        <v>7450</v>
      </c>
      <c r="E1847" s="143">
        <v>75000</v>
      </c>
      <c r="F1847" s="117">
        <v>1404</v>
      </c>
      <c r="G1847" s="360" t="s">
        <v>305</v>
      </c>
      <c r="H1847" s="144">
        <f>bargiri[[#This Row],[میزان بارگیری شده]]*bargiri[[#This Row],[فی]]</f>
        <v>558750000</v>
      </c>
      <c r="I1847" s="360">
        <f>IF(year=bargiri[[#This Row],[سال]],1,0)</f>
        <v>0</v>
      </c>
      <c r="J1847" s="360" t="str">
        <f>VLOOKUP(bargiri[[#This Row],[شماره پیش فاکتور]],invoice[],16,0)</f>
        <v>عادی</v>
      </c>
      <c r="K1847" s="252">
        <f>bargiri[[#This Row],[فی]]*bargiri[[#This Row],[میزان بارگیری شده]]</f>
        <v>558750000</v>
      </c>
    </row>
    <row r="1848" spans="1:11" ht="18.600000000000001">
      <c r="A1848" s="360" t="s">
        <v>534</v>
      </c>
      <c r="B1848" s="360" t="s">
        <v>120</v>
      </c>
      <c r="C1848" s="355" t="s">
        <v>88</v>
      </c>
      <c r="D1848">
        <v>9005</v>
      </c>
      <c r="E1848" s="143">
        <v>80000</v>
      </c>
      <c r="F1848" s="117">
        <v>1404</v>
      </c>
      <c r="G1848" s="360" t="s">
        <v>305</v>
      </c>
      <c r="H1848" s="144">
        <f>bargiri[[#This Row],[میزان بارگیری شده]]*bargiri[[#This Row],[فی]]</f>
        <v>720400000</v>
      </c>
      <c r="I1848" s="360">
        <f>IF(year=bargiri[[#This Row],[سال]],1,0)</f>
        <v>0</v>
      </c>
      <c r="J1848" s="360" t="str">
        <f>VLOOKUP(bargiri[[#This Row],[شماره پیش فاکتور]],invoice[],16,0)</f>
        <v>عادی</v>
      </c>
      <c r="K1848" s="252">
        <f>bargiri[[#This Row],[فی]]*bargiri[[#This Row],[میزان بارگیری شده]]</f>
        <v>720400000</v>
      </c>
    </row>
    <row r="1849" spans="1:11" ht="18.600000000000001">
      <c r="A1849" s="360" t="s">
        <v>515</v>
      </c>
      <c r="B1849" s="360" t="s">
        <v>118</v>
      </c>
      <c r="C1849" s="355" t="s">
        <v>84</v>
      </c>
      <c r="D1849">
        <v>20420</v>
      </c>
      <c r="E1849" s="143">
        <v>57273</v>
      </c>
      <c r="F1849" s="117">
        <v>1404</v>
      </c>
      <c r="G1849" s="360" t="s">
        <v>305</v>
      </c>
      <c r="H1849" s="144">
        <f>bargiri[[#This Row],[میزان بارگیری شده]]*bargiri[[#This Row],[فی]]</f>
        <v>1169514660</v>
      </c>
      <c r="I1849" s="360">
        <f>IF(year=bargiri[[#This Row],[سال]],1,0)</f>
        <v>0</v>
      </c>
      <c r="J1849" s="360" t="str">
        <f>VLOOKUP(bargiri[[#This Row],[شماره پیش فاکتور]],invoice[],16,0)</f>
        <v>عادی</v>
      </c>
      <c r="K1849" s="252">
        <f>bargiri[[#This Row],[فی]]*bargiri[[#This Row],[میزان بارگیری شده]]</f>
        <v>1169514660</v>
      </c>
    </row>
    <row r="1850" spans="1:11" ht="18.600000000000001">
      <c r="A1850" s="360" t="s">
        <v>515</v>
      </c>
      <c r="B1850" s="360" t="s">
        <v>118</v>
      </c>
      <c r="C1850" s="355" t="s">
        <v>84</v>
      </c>
      <c r="D1850">
        <v>20555</v>
      </c>
      <c r="E1850" s="143">
        <v>57273</v>
      </c>
      <c r="F1850" s="117">
        <v>1404</v>
      </c>
      <c r="G1850" s="360" t="s">
        <v>305</v>
      </c>
      <c r="H1850" s="144">
        <f>bargiri[[#This Row],[میزان بارگیری شده]]*bargiri[[#This Row],[فی]]</f>
        <v>1177246515</v>
      </c>
      <c r="I1850" s="360">
        <f>IF(year=bargiri[[#This Row],[سال]],1,0)</f>
        <v>0</v>
      </c>
      <c r="J1850" s="360" t="str">
        <f>VLOOKUP(bargiri[[#This Row],[شماره پیش فاکتور]],invoice[],16,0)</f>
        <v>عادی</v>
      </c>
      <c r="K1850" s="252">
        <f>bargiri[[#This Row],[فی]]*bargiri[[#This Row],[میزان بارگیری شده]]</f>
        <v>1177246515</v>
      </c>
    </row>
    <row r="1851" spans="1:11" ht="18.600000000000001">
      <c r="A1851" s="360" t="s">
        <v>515</v>
      </c>
      <c r="B1851" s="360" t="s">
        <v>118</v>
      </c>
      <c r="C1851" s="355" t="s">
        <v>84</v>
      </c>
      <c r="D1851">
        <v>20370</v>
      </c>
      <c r="E1851" s="143">
        <v>57273</v>
      </c>
      <c r="F1851" s="117">
        <v>1404</v>
      </c>
      <c r="G1851" s="360" t="s">
        <v>305</v>
      </c>
      <c r="H1851" s="144">
        <f>bargiri[[#This Row],[میزان بارگیری شده]]*bargiri[[#This Row],[فی]]</f>
        <v>1166651010</v>
      </c>
      <c r="I1851" s="360">
        <f>IF(year=bargiri[[#This Row],[سال]],1,0)</f>
        <v>0</v>
      </c>
      <c r="J1851" s="360" t="str">
        <f>VLOOKUP(bargiri[[#This Row],[شماره پیش فاکتور]],invoice[],16,0)</f>
        <v>عادی</v>
      </c>
      <c r="K1851" s="252">
        <f>bargiri[[#This Row],[فی]]*bargiri[[#This Row],[میزان بارگیری شده]]</f>
        <v>1166651010</v>
      </c>
    </row>
    <row r="1852" spans="1:11" ht="18.600000000000001">
      <c r="A1852" s="360" t="s">
        <v>515</v>
      </c>
      <c r="B1852" s="360" t="s">
        <v>101</v>
      </c>
      <c r="C1852" s="355" t="s">
        <v>19</v>
      </c>
      <c r="D1852">
        <v>19945</v>
      </c>
      <c r="E1852" s="143">
        <v>75000</v>
      </c>
      <c r="F1852" s="117">
        <v>1404</v>
      </c>
      <c r="G1852" s="360" t="s">
        <v>305</v>
      </c>
      <c r="H1852" s="144">
        <f>bargiri[[#This Row],[میزان بارگیری شده]]*bargiri[[#This Row],[فی]]</f>
        <v>1495875000</v>
      </c>
      <c r="I1852" s="360">
        <f>IF(year=bargiri[[#This Row],[سال]],1,0)</f>
        <v>0</v>
      </c>
      <c r="J1852" s="360" t="str">
        <f>VLOOKUP(bargiri[[#This Row],[شماره پیش فاکتور]],invoice[],16,0)</f>
        <v>عادی</v>
      </c>
      <c r="K1852" s="252">
        <f>bargiri[[#This Row],[فی]]*bargiri[[#This Row],[میزان بارگیری شده]]</f>
        <v>1495875000</v>
      </c>
    </row>
    <row r="1853" spans="1:11" ht="18.600000000000001">
      <c r="A1853" s="360" t="s">
        <v>515</v>
      </c>
      <c r="B1853" s="360" t="s">
        <v>107</v>
      </c>
      <c r="C1853" s="355" t="s">
        <v>50</v>
      </c>
      <c r="D1853">
        <v>18800</v>
      </c>
      <c r="E1853" s="143">
        <v>70000</v>
      </c>
      <c r="F1853" s="117">
        <v>1404</v>
      </c>
      <c r="G1853" s="360" t="s">
        <v>305</v>
      </c>
      <c r="H1853" s="144">
        <f>bargiri[[#This Row],[میزان بارگیری شده]]*bargiri[[#This Row],[فی]]</f>
        <v>1316000000</v>
      </c>
      <c r="I1853" s="360">
        <f>IF(year=bargiri[[#This Row],[سال]],1,0)</f>
        <v>0</v>
      </c>
      <c r="J1853" s="360" t="str">
        <f>VLOOKUP(bargiri[[#This Row],[شماره پیش فاکتور]],invoice[],16,0)</f>
        <v>عادی</v>
      </c>
      <c r="K1853" s="252">
        <f>bargiri[[#This Row],[فی]]*bargiri[[#This Row],[میزان بارگیری شده]]</f>
        <v>1316000000</v>
      </c>
    </row>
    <row r="1854" spans="1:11" ht="18.600000000000001">
      <c r="A1854" s="360" t="s">
        <v>515</v>
      </c>
      <c r="B1854" s="360" t="s">
        <v>109</v>
      </c>
      <c r="C1854" s="355" t="s">
        <v>56</v>
      </c>
      <c r="D1854">
        <v>7435</v>
      </c>
      <c r="E1854" s="143">
        <v>100000</v>
      </c>
      <c r="F1854" s="117">
        <v>1404</v>
      </c>
      <c r="G1854" s="360" t="s">
        <v>305</v>
      </c>
      <c r="H1854" s="144">
        <f>bargiri[[#This Row],[میزان بارگیری شده]]*bargiri[[#This Row],[فی]]</f>
        <v>743500000</v>
      </c>
      <c r="I1854" s="360">
        <f>IF(year=bargiri[[#This Row],[سال]],1,0)</f>
        <v>0</v>
      </c>
      <c r="J1854" s="360" t="str">
        <f>VLOOKUP(bargiri[[#This Row],[شماره پیش فاکتور]],invoice[],16,0)</f>
        <v>انجمن</v>
      </c>
      <c r="K1854" s="252">
        <f>bargiri[[#This Row],[فی]]*bargiri[[#This Row],[میزان بارگیری شده]]</f>
        <v>743500000</v>
      </c>
    </row>
    <row r="1855" spans="1:11" ht="18.600000000000001">
      <c r="A1855" s="360" t="s">
        <v>516</v>
      </c>
      <c r="B1855" s="360" t="s">
        <v>102</v>
      </c>
      <c r="C1855" s="355" t="s">
        <v>24</v>
      </c>
      <c r="D1855">
        <v>11585</v>
      </c>
      <c r="E1855" s="143">
        <v>70000</v>
      </c>
      <c r="F1855" s="117">
        <v>1404</v>
      </c>
      <c r="G1855" s="360" t="s">
        <v>305</v>
      </c>
      <c r="H1855" s="144">
        <f>bargiri[[#This Row],[میزان بارگیری شده]]*bargiri[[#This Row],[فی]]</f>
        <v>810950000</v>
      </c>
      <c r="I1855" s="360">
        <f>IF(year=bargiri[[#This Row],[سال]],1,0)</f>
        <v>0</v>
      </c>
      <c r="J1855" s="360" t="str">
        <f>VLOOKUP(bargiri[[#This Row],[شماره پیش فاکتور]],invoice[],16,0)</f>
        <v>عادی</v>
      </c>
      <c r="K1855" s="252">
        <f>bargiri[[#This Row],[فی]]*bargiri[[#This Row],[میزان بارگیری شده]]</f>
        <v>810950000</v>
      </c>
    </row>
    <row r="1856" spans="1:11" ht="18.600000000000001">
      <c r="A1856" s="360" t="s">
        <v>516</v>
      </c>
      <c r="B1856" s="360" t="s">
        <v>116</v>
      </c>
      <c r="C1856" s="355" t="s">
        <v>77</v>
      </c>
      <c r="D1856">
        <v>18965</v>
      </c>
      <c r="E1856" s="143">
        <v>68500</v>
      </c>
      <c r="F1856" s="117">
        <v>1404</v>
      </c>
      <c r="G1856" s="360" t="s">
        <v>305</v>
      </c>
      <c r="H1856" s="144">
        <f>bargiri[[#This Row],[میزان بارگیری شده]]*bargiri[[#This Row],[فی]]</f>
        <v>1299102500</v>
      </c>
      <c r="I1856" s="360">
        <f>IF(year=bargiri[[#This Row],[سال]],1,0)</f>
        <v>0</v>
      </c>
      <c r="J1856" s="360" t="str">
        <f>VLOOKUP(bargiri[[#This Row],[شماره پیش فاکتور]],invoice[],16,0)</f>
        <v>عادی</v>
      </c>
      <c r="K1856" s="252">
        <f>bargiri[[#This Row],[فی]]*bargiri[[#This Row],[میزان بارگیری شده]]</f>
        <v>1299102500</v>
      </c>
    </row>
    <row r="1857" spans="1:26" ht="18.600000000000001">
      <c r="A1857" s="360" t="s">
        <v>517</v>
      </c>
      <c r="B1857" s="360" t="s">
        <v>118</v>
      </c>
      <c r="C1857" s="355" t="s">
        <v>84</v>
      </c>
      <c r="D1857">
        <v>20990</v>
      </c>
      <c r="E1857" s="143">
        <v>57273</v>
      </c>
      <c r="F1857" s="117">
        <v>1404</v>
      </c>
      <c r="G1857" s="360" t="s">
        <v>305</v>
      </c>
      <c r="H1857" s="144">
        <f>bargiri[[#This Row],[میزان بارگیری شده]]*bargiri[[#This Row],[فی]]</f>
        <v>1202160270</v>
      </c>
      <c r="I1857" s="360">
        <f>IF(year=bargiri[[#This Row],[سال]],1,0)</f>
        <v>0</v>
      </c>
      <c r="J1857" s="360" t="str">
        <f>VLOOKUP(bargiri[[#This Row],[شماره پیش فاکتور]],invoice[],16,0)</f>
        <v>عادی</v>
      </c>
      <c r="K1857" s="252">
        <f>bargiri[[#This Row],[فی]]*bargiri[[#This Row],[میزان بارگیری شده]]</f>
        <v>1202160270</v>
      </c>
    </row>
    <row r="1858" spans="1:26" ht="18.600000000000001">
      <c r="A1858" s="360" t="s">
        <v>517</v>
      </c>
      <c r="B1858" s="360" t="s">
        <v>118</v>
      </c>
      <c r="C1858" s="355" t="s">
        <v>84</v>
      </c>
      <c r="D1858">
        <v>20935</v>
      </c>
      <c r="E1858" s="143">
        <v>57273</v>
      </c>
      <c r="F1858" s="117">
        <v>1404</v>
      </c>
      <c r="G1858" s="360" t="s">
        <v>305</v>
      </c>
      <c r="H1858" s="144">
        <f>bargiri[[#This Row],[میزان بارگیری شده]]*bargiri[[#This Row],[فی]]</f>
        <v>1199010255</v>
      </c>
      <c r="I1858" s="360">
        <f>IF(year=bargiri[[#This Row],[سال]],1,0)</f>
        <v>0</v>
      </c>
      <c r="J1858" s="360" t="str">
        <f>VLOOKUP(bargiri[[#This Row],[شماره پیش فاکتور]],invoice[],16,0)</f>
        <v>عادی</v>
      </c>
      <c r="K1858" s="252">
        <f>bargiri[[#This Row],[فی]]*bargiri[[#This Row],[میزان بارگیری شده]]</f>
        <v>1199010255</v>
      </c>
    </row>
    <row r="1859" spans="1:26" ht="18.600000000000001">
      <c r="A1859" s="360" t="s">
        <v>518</v>
      </c>
      <c r="B1859" s="360" t="s">
        <v>109</v>
      </c>
      <c r="C1859" s="355" t="s">
        <v>56</v>
      </c>
      <c r="D1859">
        <v>7430</v>
      </c>
      <c r="E1859" s="143">
        <v>100000</v>
      </c>
      <c r="F1859" s="117">
        <v>1404</v>
      </c>
      <c r="G1859" s="360" t="s">
        <v>305</v>
      </c>
      <c r="H1859" s="144">
        <f>bargiri[[#This Row],[میزان بارگیری شده]]*bargiri[[#This Row],[فی]]</f>
        <v>743000000</v>
      </c>
      <c r="I1859" s="360">
        <f>IF(year=bargiri[[#This Row],[سال]],1,0)</f>
        <v>0</v>
      </c>
      <c r="J1859" s="360" t="str">
        <f>VLOOKUP(bargiri[[#This Row],[شماره پیش فاکتور]],invoice[],16,0)</f>
        <v>انجمن</v>
      </c>
      <c r="K1859" s="252">
        <f>bargiri[[#This Row],[فی]]*bargiri[[#This Row],[میزان بارگیری شده]]</f>
        <v>743000000</v>
      </c>
    </row>
    <row r="1860" spans="1:26" ht="18.600000000000001">
      <c r="A1860" s="360" t="s">
        <v>518</v>
      </c>
      <c r="B1860" s="360" t="s">
        <v>102</v>
      </c>
      <c r="C1860" s="355" t="s">
        <v>24</v>
      </c>
      <c r="D1860">
        <v>11305</v>
      </c>
      <c r="E1860" s="143">
        <v>70000</v>
      </c>
      <c r="F1860" s="117">
        <v>1404</v>
      </c>
      <c r="G1860" s="360" t="s">
        <v>305</v>
      </c>
      <c r="H1860" s="144">
        <f>bargiri[[#This Row],[میزان بارگیری شده]]*bargiri[[#This Row],[فی]]</f>
        <v>791350000</v>
      </c>
      <c r="I1860" s="360">
        <f>IF(year=bargiri[[#This Row],[سال]],1,0)</f>
        <v>0</v>
      </c>
      <c r="J1860" s="360" t="str">
        <f>VLOOKUP(bargiri[[#This Row],[شماره پیش فاکتور]],invoice[],16,0)</f>
        <v>عادی</v>
      </c>
      <c r="K1860" s="252">
        <f>bargiri[[#This Row],[فی]]*bargiri[[#This Row],[میزان بارگیری شده]]</f>
        <v>791350000</v>
      </c>
    </row>
    <row r="1861" spans="1:26" ht="18.600000000000001">
      <c r="A1861" s="360" t="s">
        <v>518</v>
      </c>
      <c r="B1861" s="360" t="s">
        <v>114</v>
      </c>
      <c r="C1861" s="355" t="s">
        <v>62</v>
      </c>
      <c r="D1861">
        <v>21185</v>
      </c>
      <c r="E1861" s="143">
        <v>75000</v>
      </c>
      <c r="F1861" s="117">
        <v>1404</v>
      </c>
      <c r="G1861" s="360" t="s">
        <v>305</v>
      </c>
      <c r="H1861" s="144">
        <f>bargiri[[#This Row],[میزان بارگیری شده]]*bargiri[[#This Row],[فی]]</f>
        <v>1588875000</v>
      </c>
      <c r="I1861" s="360">
        <f>IF(year=bargiri[[#This Row],[سال]],1,0)</f>
        <v>0</v>
      </c>
      <c r="J1861" s="360" t="str">
        <f>VLOOKUP(bargiri[[#This Row],[شماره پیش فاکتور]],invoice[],16,0)</f>
        <v>عادی</v>
      </c>
      <c r="K1861" s="252">
        <f>bargiri[[#This Row],[فی]]*bargiri[[#This Row],[میزان بارگیری شده]]</f>
        <v>1588875000</v>
      </c>
    </row>
    <row r="1862" spans="1:26" ht="18.600000000000001">
      <c r="A1862" s="360" t="s">
        <v>518</v>
      </c>
      <c r="B1862" s="360" t="s">
        <v>113</v>
      </c>
      <c r="C1862" s="355" t="s">
        <v>61</v>
      </c>
      <c r="D1862">
        <v>9805</v>
      </c>
      <c r="E1862" s="143">
        <v>75000</v>
      </c>
      <c r="F1862" s="117">
        <v>1404</v>
      </c>
      <c r="G1862" s="360" t="s">
        <v>305</v>
      </c>
      <c r="H1862" s="144">
        <f>bargiri[[#This Row],[میزان بارگیری شده]]*bargiri[[#This Row],[فی]]</f>
        <v>735375000</v>
      </c>
      <c r="I1862" s="360">
        <f>IF(year=bargiri[[#This Row],[سال]],1,0)</f>
        <v>0</v>
      </c>
      <c r="J1862" s="360" t="str">
        <f>VLOOKUP(bargiri[[#This Row],[شماره پیش فاکتور]],invoice[],16,0)</f>
        <v>عادی</v>
      </c>
      <c r="K1862" s="252">
        <f>bargiri[[#This Row],[فی]]*bargiri[[#This Row],[میزان بارگیری شده]]</f>
        <v>735375000</v>
      </c>
    </row>
    <row r="1863" spans="1:26" ht="18.600000000000001">
      <c r="A1863" s="360" t="s">
        <v>518</v>
      </c>
      <c r="B1863" s="360" t="s">
        <v>120</v>
      </c>
      <c r="C1863" s="355" t="s">
        <v>88</v>
      </c>
      <c r="D1863">
        <v>8490</v>
      </c>
      <c r="E1863" s="143">
        <v>80000</v>
      </c>
      <c r="F1863" s="117">
        <v>1404</v>
      </c>
      <c r="G1863" s="360" t="s">
        <v>305</v>
      </c>
      <c r="H1863" s="144">
        <f>bargiri[[#This Row],[میزان بارگیری شده]]*bargiri[[#This Row],[فی]]</f>
        <v>679200000</v>
      </c>
      <c r="I1863" s="360">
        <f>IF(year=bargiri[[#This Row],[سال]],1,0)</f>
        <v>0</v>
      </c>
      <c r="J1863" s="360" t="str">
        <f>VLOOKUP(bargiri[[#This Row],[شماره پیش فاکتور]],invoice[],16,0)</f>
        <v>عادی</v>
      </c>
      <c r="K1863" s="252">
        <f>bargiri[[#This Row],[فی]]*bargiri[[#This Row],[میزان بارگیری شده]]</f>
        <v>679200000</v>
      </c>
    </row>
    <row r="1864" spans="1:26" ht="18.600000000000001">
      <c r="A1864" s="360" t="s">
        <v>519</v>
      </c>
      <c r="B1864" s="360" t="s">
        <v>116</v>
      </c>
      <c r="C1864" s="355" t="s">
        <v>77</v>
      </c>
      <c r="D1864">
        <v>7285</v>
      </c>
      <c r="E1864" s="143">
        <v>68500</v>
      </c>
      <c r="F1864" s="117">
        <v>1404</v>
      </c>
      <c r="G1864" s="360" t="s">
        <v>305</v>
      </c>
      <c r="H1864" s="144">
        <f>bargiri[[#This Row],[میزان بارگیری شده]]*bargiri[[#This Row],[فی]]</f>
        <v>499022500</v>
      </c>
      <c r="I1864" s="360">
        <f>IF(year=bargiri[[#This Row],[سال]],1,0)</f>
        <v>0</v>
      </c>
      <c r="J1864" s="360" t="str">
        <f>VLOOKUP(bargiri[[#This Row],[شماره پیش فاکتور]],invoice[],16,0)</f>
        <v>عادی</v>
      </c>
      <c r="K1864" s="252">
        <f>bargiri[[#This Row],[فی]]*bargiri[[#This Row],[میزان بارگیری شده]]</f>
        <v>499022500</v>
      </c>
    </row>
    <row r="1865" spans="1:26" ht="18.600000000000001">
      <c r="A1865" s="360" t="s">
        <v>519</v>
      </c>
      <c r="B1865" s="360" t="s">
        <v>98</v>
      </c>
      <c r="C1865" s="355" t="s">
        <v>6</v>
      </c>
      <c r="D1865">
        <v>9955</v>
      </c>
      <c r="E1865" s="143">
        <v>92180</v>
      </c>
      <c r="F1865" s="117">
        <v>1404</v>
      </c>
      <c r="G1865" s="360" t="s">
        <v>305</v>
      </c>
      <c r="H1865" s="144">
        <f>bargiri[[#This Row],[میزان بارگیری شده]]*bargiri[[#This Row],[فی]]</f>
        <v>917651900</v>
      </c>
      <c r="I1865" s="360">
        <f>IF(year=bargiri[[#This Row],[سال]],1,0)</f>
        <v>0</v>
      </c>
      <c r="J1865" s="360" t="str">
        <f>VLOOKUP(bargiri[[#This Row],[شماره پیش فاکتور]],invoice[],16,0)</f>
        <v>بورس</v>
      </c>
      <c r="K1865" s="252">
        <f>bargiri[[#This Row],[فی]]*bargiri[[#This Row],[میزان بارگیری شده]]</f>
        <v>917651900</v>
      </c>
    </row>
    <row r="1866" spans="1:26" ht="18.600000000000001">
      <c r="A1866" s="360" t="s">
        <v>519</v>
      </c>
      <c r="B1866" s="360" t="s">
        <v>98</v>
      </c>
      <c r="C1866" s="355" t="s">
        <v>3</v>
      </c>
      <c r="D1866">
        <v>10240</v>
      </c>
      <c r="E1866" s="143">
        <v>65000</v>
      </c>
      <c r="F1866" s="117">
        <v>1404</v>
      </c>
      <c r="G1866" s="360" t="s">
        <v>305</v>
      </c>
      <c r="H1866" s="144">
        <f>bargiri[[#This Row],[میزان بارگیری شده]]*bargiri[[#This Row],[فی]]</f>
        <v>665600000</v>
      </c>
      <c r="I1866" s="360">
        <f>IF(year=bargiri[[#This Row],[سال]],1,0)</f>
        <v>0</v>
      </c>
      <c r="J1866" s="360" t="str">
        <f>VLOOKUP(bargiri[[#This Row],[شماره پیش فاکتور]],invoice[],16,0)</f>
        <v>تعادلی</v>
      </c>
      <c r="K1866" s="252">
        <f>bargiri[[#This Row],[فی]]*bargiri[[#This Row],[میزان بارگیری شده]]</f>
        <v>665600000</v>
      </c>
    </row>
    <row r="1867" spans="1:26" ht="18.600000000000001">
      <c r="A1867" s="360" t="s">
        <v>519</v>
      </c>
      <c r="B1867" s="360" t="s">
        <v>118</v>
      </c>
      <c r="C1867" s="355" t="s">
        <v>84</v>
      </c>
      <c r="D1867">
        <v>20460</v>
      </c>
      <c r="E1867" s="143">
        <v>57273</v>
      </c>
      <c r="F1867" s="117">
        <v>1404</v>
      </c>
      <c r="G1867" s="360" t="s">
        <v>305</v>
      </c>
      <c r="H1867" s="144">
        <f>bargiri[[#This Row],[میزان بارگیری شده]]*bargiri[[#This Row],[فی]]</f>
        <v>1171805580</v>
      </c>
      <c r="I1867" s="360">
        <f>IF(year=bargiri[[#This Row],[سال]],1,0)</f>
        <v>0</v>
      </c>
      <c r="J1867" s="360" t="str">
        <f>VLOOKUP(bargiri[[#This Row],[شماره پیش فاکتور]],invoice[],16,0)</f>
        <v>عادی</v>
      </c>
      <c r="K1867" s="252">
        <f>bargiri[[#This Row],[فی]]*bargiri[[#This Row],[میزان بارگیری شده]]</f>
        <v>1171805580</v>
      </c>
    </row>
    <row r="1868" spans="1:26" ht="18.600000000000001">
      <c r="A1868" s="360" t="s">
        <v>519</v>
      </c>
      <c r="B1868" s="360" t="s">
        <v>118</v>
      </c>
      <c r="C1868" s="355" t="s">
        <v>84</v>
      </c>
      <c r="D1868">
        <v>20515</v>
      </c>
      <c r="E1868" s="143">
        <v>57273</v>
      </c>
      <c r="F1868" s="117">
        <v>1404</v>
      </c>
      <c r="G1868" s="360" t="s">
        <v>305</v>
      </c>
      <c r="H1868" s="144">
        <f>bargiri[[#This Row],[میزان بارگیری شده]]*bargiri[[#This Row],[فی]]</f>
        <v>1174955595</v>
      </c>
      <c r="I1868" s="360">
        <f>IF(year=bargiri[[#This Row],[سال]],1,0)</f>
        <v>0</v>
      </c>
      <c r="J1868" s="360" t="str">
        <f>VLOOKUP(bargiri[[#This Row],[شماره پیش فاکتور]],invoice[],16,0)</f>
        <v>عادی</v>
      </c>
      <c r="K1868" s="252">
        <f>bargiri[[#This Row],[فی]]*bargiri[[#This Row],[میزان بارگیری شده]]</f>
        <v>1174955595</v>
      </c>
    </row>
    <row r="1869" spans="1:26" ht="18.600000000000001">
      <c r="A1869" s="360" t="s">
        <v>519</v>
      </c>
      <c r="B1869" s="360" t="s">
        <v>118</v>
      </c>
      <c r="C1869" s="355" t="s">
        <v>84</v>
      </c>
      <c r="D1869">
        <v>20615</v>
      </c>
      <c r="E1869" s="143">
        <v>57273</v>
      </c>
      <c r="F1869" s="117">
        <v>1404</v>
      </c>
      <c r="G1869" s="360" t="s">
        <v>305</v>
      </c>
      <c r="H1869" s="144">
        <f>bargiri[[#This Row],[میزان بارگیری شده]]*bargiri[[#This Row],[فی]]</f>
        <v>1180682895</v>
      </c>
      <c r="I1869" s="360">
        <f>IF(year=bargiri[[#This Row],[سال]],1,0)</f>
        <v>0</v>
      </c>
      <c r="J1869" s="360" t="str">
        <f>VLOOKUP(bargiri[[#This Row],[شماره پیش فاکتور]],invoice[],16,0)</f>
        <v>عادی</v>
      </c>
      <c r="K1869" s="252">
        <f>bargiri[[#This Row],[فی]]*bargiri[[#This Row],[میزان بارگیری شده]]</f>
        <v>1180682895</v>
      </c>
    </row>
    <row r="1870" spans="1:26" ht="18.600000000000001">
      <c r="A1870" s="360" t="s">
        <v>519</v>
      </c>
      <c r="B1870" s="360" t="s">
        <v>109</v>
      </c>
      <c r="C1870" s="355" t="s">
        <v>56</v>
      </c>
      <c r="D1870">
        <v>7380</v>
      </c>
      <c r="E1870" s="143">
        <v>100000</v>
      </c>
      <c r="F1870" s="117">
        <v>1404</v>
      </c>
      <c r="G1870" s="360" t="s">
        <v>305</v>
      </c>
      <c r="H1870" s="144">
        <f>bargiri[[#This Row],[میزان بارگیری شده]]*bargiri[[#This Row],[فی]]</f>
        <v>738000000</v>
      </c>
      <c r="I1870" s="360">
        <f>IF(year=bargiri[[#This Row],[سال]],1,0)</f>
        <v>0</v>
      </c>
      <c r="J1870" s="360" t="str">
        <f>VLOOKUP(bargiri[[#This Row],[شماره پیش فاکتور]],invoice[],16,0)</f>
        <v>انجمن</v>
      </c>
      <c r="K1870" s="252">
        <f>bargiri[[#This Row],[فی]]*bargiri[[#This Row],[میزان بارگیری شده]]</f>
        <v>738000000</v>
      </c>
    </row>
    <row r="1871" spans="1:26" ht="18.600000000000001">
      <c r="A1871" s="360" t="s">
        <v>519</v>
      </c>
      <c r="B1871" s="360" t="s">
        <v>116</v>
      </c>
      <c r="C1871" s="355" t="s">
        <v>77</v>
      </c>
      <c r="D1871">
        <v>17875</v>
      </c>
      <c r="E1871" s="143">
        <v>68500</v>
      </c>
      <c r="F1871" s="117">
        <v>1404</v>
      </c>
      <c r="G1871" s="360" t="s">
        <v>305</v>
      </c>
      <c r="H1871" s="144">
        <f>bargiri[[#This Row],[میزان بارگیری شده]]*bargiri[[#This Row],[فی]]</f>
        <v>1224437500</v>
      </c>
      <c r="I1871" s="360">
        <f>IF(year=bargiri[[#This Row],[سال]],1,0)</f>
        <v>0</v>
      </c>
      <c r="J1871" s="360" t="str">
        <f>VLOOKUP(bargiri[[#This Row],[شماره پیش فاکتور]],invoice[],16,0)</f>
        <v>عادی</v>
      </c>
      <c r="K1871" s="252">
        <f>bargiri[[#This Row],[فی]]*bargiri[[#This Row],[میزان بارگیری شده]]</f>
        <v>1224437500</v>
      </c>
      <c r="Z1871" s="1"/>
    </row>
    <row r="1872" spans="1:26" ht="18.600000000000001">
      <c r="A1872" s="360" t="s">
        <v>520</v>
      </c>
      <c r="B1872" s="360" t="s">
        <v>116</v>
      </c>
      <c r="C1872" s="355" t="s">
        <v>77</v>
      </c>
      <c r="D1872">
        <v>18890</v>
      </c>
      <c r="E1872" s="143">
        <v>68500</v>
      </c>
      <c r="F1872" s="117">
        <v>1404</v>
      </c>
      <c r="G1872" s="360" t="s">
        <v>305</v>
      </c>
      <c r="H1872" s="144">
        <f>bargiri[[#This Row],[میزان بارگیری شده]]*bargiri[[#This Row],[فی]]</f>
        <v>1293965000</v>
      </c>
      <c r="I1872" s="360">
        <f>IF(year=bargiri[[#This Row],[سال]],1,0)</f>
        <v>0</v>
      </c>
      <c r="J1872" s="360" t="str">
        <f>VLOOKUP(bargiri[[#This Row],[شماره پیش فاکتور]],invoice[],16,0)</f>
        <v>عادی</v>
      </c>
      <c r="K1872" s="252">
        <f>bargiri[[#This Row],[فی]]*bargiri[[#This Row],[میزان بارگیری شده]]</f>
        <v>1293965000</v>
      </c>
      <c r="Z1872" s="1"/>
    </row>
    <row r="1873" spans="1:26" ht="18.600000000000001">
      <c r="A1873" s="360" t="s">
        <v>520</v>
      </c>
      <c r="B1873" s="360" t="s">
        <v>101</v>
      </c>
      <c r="C1873" s="355" t="s">
        <v>19</v>
      </c>
      <c r="D1873">
        <v>21055</v>
      </c>
      <c r="E1873" s="143">
        <v>75000</v>
      </c>
      <c r="F1873" s="117">
        <v>1404</v>
      </c>
      <c r="G1873" s="360" t="s">
        <v>305</v>
      </c>
      <c r="H1873" s="144">
        <f>bargiri[[#This Row],[میزان بارگیری شده]]*bargiri[[#This Row],[فی]]</f>
        <v>1579125000</v>
      </c>
      <c r="I1873" s="360">
        <f>IF(year=bargiri[[#This Row],[سال]],1,0)</f>
        <v>0</v>
      </c>
      <c r="J1873" s="360" t="str">
        <f>VLOOKUP(bargiri[[#This Row],[شماره پیش فاکتور]],invoice[],16,0)</f>
        <v>عادی</v>
      </c>
      <c r="K1873" s="252">
        <f>bargiri[[#This Row],[فی]]*bargiri[[#This Row],[میزان بارگیری شده]]</f>
        <v>1579125000</v>
      </c>
      <c r="Z1873" s="1"/>
    </row>
    <row r="1874" spans="1:26" ht="18.600000000000001">
      <c r="A1874" s="360" t="s">
        <v>520</v>
      </c>
      <c r="B1874" s="360" t="s">
        <v>102</v>
      </c>
      <c r="C1874" s="355" t="s">
        <v>24</v>
      </c>
      <c r="D1874">
        <v>12030</v>
      </c>
      <c r="E1874" s="143">
        <v>70000</v>
      </c>
      <c r="F1874" s="117">
        <v>1404</v>
      </c>
      <c r="G1874" s="360" t="s">
        <v>305</v>
      </c>
      <c r="H1874" s="144">
        <f>bargiri[[#This Row],[میزان بارگیری شده]]*bargiri[[#This Row],[فی]]</f>
        <v>842100000</v>
      </c>
      <c r="I1874" s="360">
        <f>IF(year=bargiri[[#This Row],[سال]],1,0)</f>
        <v>0</v>
      </c>
      <c r="J1874" s="360" t="str">
        <f>VLOOKUP(bargiri[[#This Row],[شماره پیش فاکتور]],invoice[],16,0)</f>
        <v>عادی</v>
      </c>
      <c r="K1874" s="252">
        <f>bargiri[[#This Row],[فی]]*bargiri[[#This Row],[میزان بارگیری شده]]</f>
        <v>842100000</v>
      </c>
      <c r="Z1874" s="1"/>
    </row>
    <row r="1875" spans="1:26" ht="18.600000000000001">
      <c r="A1875" s="360" t="s">
        <v>520</v>
      </c>
      <c r="B1875" s="360" t="s">
        <v>117</v>
      </c>
      <c r="C1875" s="355" t="s">
        <v>79</v>
      </c>
      <c r="D1875">
        <v>20040</v>
      </c>
      <c r="E1875" s="143">
        <v>75000</v>
      </c>
      <c r="F1875" s="117">
        <v>1404</v>
      </c>
      <c r="G1875" s="360" t="s">
        <v>305</v>
      </c>
      <c r="H1875" s="144">
        <f>bargiri[[#This Row],[میزان بارگیری شده]]*bargiri[[#This Row],[فی]]</f>
        <v>1503000000</v>
      </c>
      <c r="I1875" s="360">
        <f>IF(year=bargiri[[#This Row],[سال]],1,0)</f>
        <v>0</v>
      </c>
      <c r="J1875" s="360" t="str">
        <f>VLOOKUP(bargiri[[#This Row],[شماره پیش فاکتور]],invoice[],16,0)</f>
        <v>عادی</v>
      </c>
      <c r="K1875" s="252">
        <f>bargiri[[#This Row],[فی]]*bargiri[[#This Row],[میزان بارگیری شده]]</f>
        <v>1503000000</v>
      </c>
      <c r="Z1875" s="1"/>
    </row>
    <row r="1876" spans="1:26" ht="18.600000000000001">
      <c r="A1876" s="360" t="s">
        <v>521</v>
      </c>
      <c r="B1876" s="360" t="s">
        <v>106</v>
      </c>
      <c r="C1876" s="355" t="s">
        <v>45</v>
      </c>
      <c r="D1876">
        <v>13320</v>
      </c>
      <c r="E1876" s="143">
        <v>80000</v>
      </c>
      <c r="F1876" s="117">
        <v>1404</v>
      </c>
      <c r="G1876" s="360" t="s">
        <v>305</v>
      </c>
      <c r="H1876" s="144">
        <f>bargiri[[#This Row],[میزان بارگیری شده]]*bargiri[[#This Row],[فی]]</f>
        <v>1065600000</v>
      </c>
      <c r="I1876" s="360">
        <f>IF(year=bargiri[[#This Row],[سال]],1,0)</f>
        <v>0</v>
      </c>
      <c r="J1876" s="360" t="str">
        <f>VLOOKUP(bargiri[[#This Row],[شماره پیش فاکتور]],invoice[],16,0)</f>
        <v>عادی</v>
      </c>
      <c r="K1876" s="252">
        <f>bargiri[[#This Row],[فی]]*bargiri[[#This Row],[میزان بارگیری شده]]</f>
        <v>1065600000</v>
      </c>
      <c r="Z1876" s="1"/>
    </row>
    <row r="1877" spans="1:26" ht="18.600000000000001">
      <c r="A1877" s="360" t="s">
        <v>521</v>
      </c>
      <c r="B1877" s="360" t="s">
        <v>106</v>
      </c>
      <c r="C1877" s="355" t="s">
        <v>44</v>
      </c>
      <c r="D1877">
        <v>7705</v>
      </c>
      <c r="E1877" s="143">
        <v>80000</v>
      </c>
      <c r="F1877" s="117">
        <v>1404</v>
      </c>
      <c r="G1877" s="360" t="s">
        <v>305</v>
      </c>
      <c r="H1877" s="144">
        <f>bargiri[[#This Row],[میزان بارگیری شده]]*bargiri[[#This Row],[فی]]</f>
        <v>616400000</v>
      </c>
      <c r="I1877" s="360">
        <f>IF(year=bargiri[[#This Row],[سال]],1,0)</f>
        <v>0</v>
      </c>
      <c r="J1877" s="360" t="str">
        <f>VLOOKUP(bargiri[[#This Row],[شماره پیش فاکتور]],invoice[],16,0)</f>
        <v>عادی</v>
      </c>
      <c r="K1877" s="252">
        <f>bargiri[[#This Row],[فی]]*bargiri[[#This Row],[میزان بارگیری شده]]</f>
        <v>616400000</v>
      </c>
      <c r="Z1877" s="1"/>
    </row>
    <row r="1878" spans="1:26" ht="18.600000000000001">
      <c r="A1878" s="360" t="s">
        <v>521</v>
      </c>
      <c r="B1878" s="360" t="s">
        <v>109</v>
      </c>
      <c r="C1878" s="355" t="s">
        <v>56</v>
      </c>
      <c r="D1878">
        <v>7510</v>
      </c>
      <c r="E1878" s="143">
        <v>100000</v>
      </c>
      <c r="F1878" s="117">
        <v>1404</v>
      </c>
      <c r="G1878" s="360" t="s">
        <v>305</v>
      </c>
      <c r="H1878" s="144">
        <f>bargiri[[#This Row],[میزان بارگیری شده]]*bargiri[[#This Row],[فی]]</f>
        <v>751000000</v>
      </c>
      <c r="I1878" s="360">
        <f>IF(year=bargiri[[#This Row],[سال]],1,0)</f>
        <v>0</v>
      </c>
      <c r="J1878" s="360" t="str">
        <f>VLOOKUP(bargiri[[#This Row],[شماره پیش فاکتور]],invoice[],16,0)</f>
        <v>انجمن</v>
      </c>
      <c r="K1878" s="252">
        <f>bargiri[[#This Row],[فی]]*bargiri[[#This Row],[میزان بارگیری شده]]</f>
        <v>751000000</v>
      </c>
      <c r="Z1878" s="1"/>
    </row>
    <row r="1879" spans="1:26" ht="18.600000000000001">
      <c r="A1879" s="360" t="s">
        <v>521</v>
      </c>
      <c r="B1879" s="360" t="s">
        <v>103</v>
      </c>
      <c r="C1879" s="355" t="s">
        <v>29</v>
      </c>
      <c r="D1879">
        <v>4965</v>
      </c>
      <c r="E1879" s="143">
        <v>75000</v>
      </c>
      <c r="F1879" s="117">
        <v>1404</v>
      </c>
      <c r="G1879" s="360" t="s">
        <v>305</v>
      </c>
      <c r="H1879" s="144">
        <f>bargiri[[#This Row],[میزان بارگیری شده]]*bargiri[[#This Row],[فی]]</f>
        <v>372375000</v>
      </c>
      <c r="I1879" s="360">
        <f>IF(year=bargiri[[#This Row],[سال]],1,0)</f>
        <v>0</v>
      </c>
      <c r="J1879" s="360" t="str">
        <f>VLOOKUP(bargiri[[#This Row],[شماره پیش فاکتور]],invoice[],16,0)</f>
        <v>عادی</v>
      </c>
      <c r="K1879" s="252">
        <f>bargiri[[#This Row],[فی]]*bargiri[[#This Row],[میزان بارگیری شده]]</f>
        <v>372375000</v>
      </c>
      <c r="Z1879" s="1"/>
    </row>
    <row r="1880" spans="1:26" ht="18.600000000000001">
      <c r="A1880" s="360" t="s">
        <v>521</v>
      </c>
      <c r="B1880" s="360" t="s">
        <v>107</v>
      </c>
      <c r="C1880" s="355" t="s">
        <v>50</v>
      </c>
      <c r="D1880">
        <v>18765</v>
      </c>
      <c r="E1880" s="143">
        <v>70000</v>
      </c>
      <c r="F1880" s="117">
        <v>1404</v>
      </c>
      <c r="G1880" s="360" t="s">
        <v>305</v>
      </c>
      <c r="H1880" s="144">
        <f>bargiri[[#This Row],[میزان بارگیری شده]]*bargiri[[#This Row],[فی]]</f>
        <v>1313550000</v>
      </c>
      <c r="I1880" s="360">
        <f>IF(year=bargiri[[#This Row],[سال]],1,0)</f>
        <v>0</v>
      </c>
      <c r="J1880" s="360" t="str">
        <f>VLOOKUP(bargiri[[#This Row],[شماره پیش فاکتور]],invoice[],16,0)</f>
        <v>عادی</v>
      </c>
      <c r="K1880" s="252">
        <f>bargiri[[#This Row],[فی]]*bargiri[[#This Row],[میزان بارگیری شده]]</f>
        <v>1313550000</v>
      </c>
      <c r="Z1880" s="1"/>
    </row>
    <row r="1881" spans="1:26" ht="18.600000000000001">
      <c r="A1881" s="360" t="s">
        <v>521</v>
      </c>
      <c r="B1881" s="360" t="s">
        <v>118</v>
      </c>
      <c r="C1881" s="355" t="s">
        <v>84</v>
      </c>
      <c r="D1881">
        <v>21070</v>
      </c>
      <c r="E1881" s="143">
        <v>57273</v>
      </c>
      <c r="F1881" s="117">
        <v>1404</v>
      </c>
      <c r="G1881" s="360" t="s">
        <v>305</v>
      </c>
      <c r="H1881" s="144">
        <f>bargiri[[#This Row],[میزان بارگیری شده]]*bargiri[[#This Row],[فی]]</f>
        <v>1206742110</v>
      </c>
      <c r="I1881" s="360">
        <f>IF(year=bargiri[[#This Row],[سال]],1,0)</f>
        <v>0</v>
      </c>
      <c r="J1881" s="360" t="str">
        <f>VLOOKUP(bargiri[[#This Row],[شماره پیش فاکتور]],invoice[],16,0)</f>
        <v>عادی</v>
      </c>
      <c r="K1881" s="252">
        <f>bargiri[[#This Row],[فی]]*bargiri[[#This Row],[میزان بارگیری شده]]</f>
        <v>1206742110</v>
      </c>
      <c r="Z1881" s="1"/>
    </row>
    <row r="1882" spans="1:26" ht="18.600000000000001">
      <c r="A1882" s="360" t="s">
        <v>521</v>
      </c>
      <c r="B1882" s="360" t="s">
        <v>118</v>
      </c>
      <c r="C1882" s="355" t="s">
        <v>84</v>
      </c>
      <c r="D1882">
        <v>20565</v>
      </c>
      <c r="E1882" s="143">
        <v>57273</v>
      </c>
      <c r="F1882" s="117">
        <v>1404</v>
      </c>
      <c r="G1882" s="360" t="s">
        <v>305</v>
      </c>
      <c r="H1882" s="144">
        <f>bargiri[[#This Row],[میزان بارگیری شده]]*bargiri[[#This Row],[فی]]</f>
        <v>1177819245</v>
      </c>
      <c r="I1882" s="360">
        <f>IF(year=bargiri[[#This Row],[سال]],1,0)</f>
        <v>0</v>
      </c>
      <c r="J1882" s="360" t="str">
        <f>VLOOKUP(bargiri[[#This Row],[شماره پیش فاکتور]],invoice[],16,0)</f>
        <v>عادی</v>
      </c>
      <c r="K1882" s="252">
        <f>bargiri[[#This Row],[فی]]*bargiri[[#This Row],[میزان بارگیری شده]]</f>
        <v>1177819245</v>
      </c>
      <c r="Z1882" s="1"/>
    </row>
    <row r="1883" spans="1:26" ht="18.600000000000001">
      <c r="A1883" s="360" t="s">
        <v>521</v>
      </c>
      <c r="B1883" s="360" t="s">
        <v>118</v>
      </c>
      <c r="C1883" s="355" t="s">
        <v>84</v>
      </c>
      <c r="D1883">
        <v>20780</v>
      </c>
      <c r="E1883" s="143">
        <v>57273</v>
      </c>
      <c r="F1883" s="117">
        <v>1404</v>
      </c>
      <c r="G1883" s="360" t="s">
        <v>305</v>
      </c>
      <c r="H1883" s="144">
        <f>bargiri[[#This Row],[میزان بارگیری شده]]*bargiri[[#This Row],[فی]]</f>
        <v>1190132940</v>
      </c>
      <c r="I1883" s="360">
        <f>IF(year=bargiri[[#This Row],[سال]],1,0)</f>
        <v>0</v>
      </c>
      <c r="J1883" s="360" t="str">
        <f>VLOOKUP(bargiri[[#This Row],[شماره پیش فاکتور]],invoice[],16,0)</f>
        <v>عادی</v>
      </c>
      <c r="K1883" s="252">
        <f>bargiri[[#This Row],[فی]]*bargiri[[#This Row],[میزان بارگیری شده]]</f>
        <v>1190132940</v>
      </c>
      <c r="Z1883" s="1"/>
    </row>
    <row r="1884" spans="1:26" ht="18.600000000000001">
      <c r="A1884" s="360" t="s">
        <v>522</v>
      </c>
      <c r="B1884" s="360" t="s">
        <v>113</v>
      </c>
      <c r="C1884" s="355" t="s">
        <v>61</v>
      </c>
      <c r="D1884">
        <v>19100</v>
      </c>
      <c r="E1884" s="143">
        <v>75000</v>
      </c>
      <c r="F1884" s="117">
        <v>1404</v>
      </c>
      <c r="G1884" s="360" t="s">
        <v>305</v>
      </c>
      <c r="H1884" s="144">
        <f>bargiri[[#This Row],[میزان بارگیری شده]]*bargiri[[#This Row],[فی]]</f>
        <v>1432500000</v>
      </c>
      <c r="I1884" s="360">
        <f>IF(year=bargiri[[#This Row],[سال]],1,0)</f>
        <v>0</v>
      </c>
      <c r="J1884" s="360" t="str">
        <f>VLOOKUP(bargiri[[#This Row],[شماره پیش فاکتور]],invoice[],16,0)</f>
        <v>عادی</v>
      </c>
      <c r="K1884" s="252">
        <f>bargiri[[#This Row],[فی]]*bargiri[[#This Row],[میزان بارگیری شده]]</f>
        <v>1432500000</v>
      </c>
      <c r="Z1884" s="1"/>
    </row>
    <row r="1885" spans="1:26" ht="18.600000000000001">
      <c r="A1885" s="360" t="s">
        <v>522</v>
      </c>
      <c r="B1885" s="360" t="s">
        <v>107</v>
      </c>
      <c r="C1885" s="355" t="s">
        <v>50</v>
      </c>
      <c r="D1885">
        <v>9955</v>
      </c>
      <c r="E1885" s="143">
        <v>70000</v>
      </c>
      <c r="F1885" s="117">
        <v>1404</v>
      </c>
      <c r="G1885" s="360" t="s">
        <v>305</v>
      </c>
      <c r="H1885" s="144">
        <f>bargiri[[#This Row],[میزان بارگیری شده]]*bargiri[[#This Row],[فی]]</f>
        <v>696850000</v>
      </c>
      <c r="I1885" s="360">
        <f>IF(year=bargiri[[#This Row],[سال]],1,0)</f>
        <v>0</v>
      </c>
      <c r="J1885" s="360" t="str">
        <f>VLOOKUP(bargiri[[#This Row],[شماره پیش فاکتور]],invoice[],16,0)</f>
        <v>عادی</v>
      </c>
      <c r="K1885" s="252">
        <f>bargiri[[#This Row],[فی]]*bargiri[[#This Row],[میزان بارگیری شده]]</f>
        <v>696850000</v>
      </c>
      <c r="Z1885" s="1"/>
    </row>
    <row r="1886" spans="1:26" ht="18.600000000000001">
      <c r="A1886" s="360" t="s">
        <v>522</v>
      </c>
      <c r="B1886" s="360" t="s">
        <v>113</v>
      </c>
      <c r="C1886" s="355" t="s">
        <v>61</v>
      </c>
      <c r="D1886">
        <v>18120</v>
      </c>
      <c r="E1886" s="143">
        <v>75000</v>
      </c>
      <c r="F1886" s="117">
        <v>1404</v>
      </c>
      <c r="G1886" s="360" t="s">
        <v>305</v>
      </c>
      <c r="H1886" s="144">
        <f>bargiri[[#This Row],[میزان بارگیری شده]]*bargiri[[#This Row],[فی]]</f>
        <v>1359000000</v>
      </c>
      <c r="I1886" s="360">
        <f>IF(year=bargiri[[#This Row],[سال]],1,0)</f>
        <v>0</v>
      </c>
      <c r="J1886" s="360" t="str">
        <f>VLOOKUP(bargiri[[#This Row],[شماره پیش فاکتور]],invoice[],16,0)</f>
        <v>عادی</v>
      </c>
      <c r="K1886" s="252">
        <f>bargiri[[#This Row],[فی]]*bargiri[[#This Row],[میزان بارگیری شده]]</f>
        <v>1359000000</v>
      </c>
      <c r="Z1886" s="1"/>
    </row>
    <row r="1887" spans="1:26" ht="18.600000000000001">
      <c r="A1887" s="360" t="s">
        <v>522</v>
      </c>
      <c r="B1887" s="360" t="s">
        <v>120</v>
      </c>
      <c r="C1887" s="355" t="s">
        <v>88</v>
      </c>
      <c r="D1887">
        <v>9055</v>
      </c>
      <c r="E1887" s="143">
        <v>80000</v>
      </c>
      <c r="F1887" s="117">
        <v>1404</v>
      </c>
      <c r="G1887" s="360" t="s">
        <v>305</v>
      </c>
      <c r="H1887" s="144">
        <f>bargiri[[#This Row],[میزان بارگیری شده]]*bargiri[[#This Row],[فی]]</f>
        <v>724400000</v>
      </c>
      <c r="I1887" s="360">
        <f>IF(year=bargiri[[#This Row],[سال]],1,0)</f>
        <v>0</v>
      </c>
      <c r="J1887" s="360" t="str">
        <f>VLOOKUP(bargiri[[#This Row],[شماره پیش فاکتور]],invoice[],16,0)</f>
        <v>عادی</v>
      </c>
      <c r="K1887" s="252">
        <f>bargiri[[#This Row],[فی]]*bargiri[[#This Row],[میزان بارگیری شده]]</f>
        <v>724400000</v>
      </c>
      <c r="Z1887" s="1"/>
    </row>
    <row r="1888" spans="1:26" ht="18.600000000000001">
      <c r="A1888" s="360" t="s">
        <v>523</v>
      </c>
      <c r="B1888" s="360" t="s">
        <v>102</v>
      </c>
      <c r="C1888" s="355" t="s">
        <v>24</v>
      </c>
      <c r="D1888">
        <v>10495</v>
      </c>
      <c r="E1888" s="143">
        <v>70000</v>
      </c>
      <c r="F1888" s="117">
        <v>1404</v>
      </c>
      <c r="G1888" s="360" t="s">
        <v>305</v>
      </c>
      <c r="H1888" s="144">
        <f>bargiri[[#This Row],[میزان بارگیری شده]]*bargiri[[#This Row],[فی]]</f>
        <v>734650000</v>
      </c>
      <c r="I1888" s="360">
        <f>IF(year=bargiri[[#This Row],[سال]],1,0)</f>
        <v>0</v>
      </c>
      <c r="J1888" s="360" t="str">
        <f>VLOOKUP(bargiri[[#This Row],[شماره پیش فاکتور]],invoice[],16,0)</f>
        <v>عادی</v>
      </c>
      <c r="K1888" s="252">
        <f>bargiri[[#This Row],[فی]]*bargiri[[#This Row],[میزان بارگیری شده]]</f>
        <v>734650000</v>
      </c>
      <c r="Z1888" s="1"/>
    </row>
    <row r="1889" spans="1:26" ht="18.600000000000001">
      <c r="A1889" s="360" t="s">
        <v>523</v>
      </c>
      <c r="B1889" s="360" t="s">
        <v>107</v>
      </c>
      <c r="C1889" s="355" t="s">
        <v>50</v>
      </c>
      <c r="D1889">
        <v>17765</v>
      </c>
      <c r="E1889" s="143">
        <v>70000</v>
      </c>
      <c r="F1889" s="117">
        <v>1404</v>
      </c>
      <c r="G1889" s="360" t="s">
        <v>305</v>
      </c>
      <c r="H1889" s="144">
        <f>bargiri[[#This Row],[میزان بارگیری شده]]*bargiri[[#This Row],[فی]]</f>
        <v>1243550000</v>
      </c>
      <c r="I1889" s="360">
        <f>IF(year=bargiri[[#This Row],[سال]],1,0)</f>
        <v>0</v>
      </c>
      <c r="J1889" s="360" t="str">
        <f>VLOOKUP(bargiri[[#This Row],[شماره پیش فاکتور]],invoice[],16,0)</f>
        <v>عادی</v>
      </c>
      <c r="K1889" s="252">
        <f>bargiri[[#This Row],[فی]]*bargiri[[#This Row],[میزان بارگیری شده]]</f>
        <v>1243550000</v>
      </c>
      <c r="Z1889" s="1"/>
    </row>
    <row r="1890" spans="1:26" ht="18.600000000000001">
      <c r="A1890" s="360" t="s">
        <v>523</v>
      </c>
      <c r="B1890" s="360" t="s">
        <v>125</v>
      </c>
      <c r="C1890" s="355" t="s">
        <v>96</v>
      </c>
      <c r="D1890">
        <v>14400</v>
      </c>
      <c r="E1890" s="143">
        <v>100000</v>
      </c>
      <c r="F1890" s="117">
        <v>1404</v>
      </c>
      <c r="G1890" s="360" t="s">
        <v>305</v>
      </c>
      <c r="H1890" s="144">
        <f>bargiri[[#This Row],[میزان بارگیری شده]]*bargiri[[#This Row],[فی]]</f>
        <v>1440000000</v>
      </c>
      <c r="I1890" s="360">
        <f>IF(year=bargiri[[#This Row],[سال]],1,0)</f>
        <v>0</v>
      </c>
      <c r="J1890" s="360" t="str">
        <f>VLOOKUP(bargiri[[#This Row],[شماره پیش فاکتور]],invoice[],16,0)</f>
        <v>انجمن</v>
      </c>
      <c r="K1890" s="252">
        <f>bargiri[[#This Row],[فی]]*bargiri[[#This Row],[میزان بارگیری شده]]</f>
        <v>1440000000</v>
      </c>
      <c r="Z1890" s="1"/>
    </row>
    <row r="1891" spans="1:26" ht="18.600000000000001">
      <c r="A1891" s="360" t="s">
        <v>523</v>
      </c>
      <c r="B1891" s="360" t="s">
        <v>98</v>
      </c>
      <c r="C1891" s="355" t="s">
        <v>4</v>
      </c>
      <c r="D1891">
        <v>10065</v>
      </c>
      <c r="E1891" s="143">
        <v>65000</v>
      </c>
      <c r="F1891" s="117">
        <v>1404</v>
      </c>
      <c r="G1891" s="360" t="s">
        <v>305</v>
      </c>
      <c r="H1891" s="144">
        <f>bargiri[[#This Row],[میزان بارگیری شده]]*bargiri[[#This Row],[فی]]</f>
        <v>654225000</v>
      </c>
      <c r="I1891" s="360">
        <f>IF(year=bargiri[[#This Row],[سال]],1,0)</f>
        <v>0</v>
      </c>
      <c r="J1891" s="360" t="str">
        <f>VLOOKUP(bargiri[[#This Row],[شماره پیش فاکتور]],invoice[],16,0)</f>
        <v>تعادلی</v>
      </c>
      <c r="K1891" s="252">
        <f>bargiri[[#This Row],[فی]]*bargiri[[#This Row],[میزان بارگیری شده]]</f>
        <v>654225000</v>
      </c>
      <c r="Z1891" s="1"/>
    </row>
    <row r="1892" spans="1:26" ht="18.600000000000001">
      <c r="A1892" s="360" t="s">
        <v>523</v>
      </c>
      <c r="B1892" s="360" t="s">
        <v>98</v>
      </c>
      <c r="C1892" s="355" t="s">
        <v>6</v>
      </c>
      <c r="D1892">
        <v>10045</v>
      </c>
      <c r="E1892" s="143">
        <v>92180</v>
      </c>
      <c r="F1892" s="117">
        <v>1404</v>
      </c>
      <c r="G1892" s="360" t="s">
        <v>305</v>
      </c>
      <c r="H1892" s="144">
        <f>bargiri[[#This Row],[میزان بارگیری شده]]*bargiri[[#This Row],[فی]]</f>
        <v>925948100</v>
      </c>
      <c r="I1892" s="360">
        <f>IF(year=bargiri[[#This Row],[سال]],1,0)</f>
        <v>0</v>
      </c>
      <c r="J1892" s="360" t="str">
        <f>VLOOKUP(bargiri[[#This Row],[شماره پیش فاکتور]],invoice[],16,0)</f>
        <v>بورس</v>
      </c>
      <c r="K1892" s="252">
        <f>bargiri[[#This Row],[فی]]*bargiri[[#This Row],[میزان بارگیری شده]]</f>
        <v>925948100</v>
      </c>
      <c r="Z1892" s="1"/>
    </row>
    <row r="1893" spans="1:26" ht="18.600000000000001">
      <c r="A1893" s="360" t="s">
        <v>497</v>
      </c>
      <c r="B1893" s="360" t="s">
        <v>118</v>
      </c>
      <c r="C1893" s="355" t="s">
        <v>84</v>
      </c>
      <c r="D1893">
        <v>20370</v>
      </c>
      <c r="E1893" s="143">
        <v>57273</v>
      </c>
      <c r="F1893" s="117">
        <v>1404</v>
      </c>
      <c r="G1893" s="360" t="s">
        <v>305</v>
      </c>
      <c r="H1893" s="144">
        <f>bargiri[[#This Row],[میزان بارگیری شده]]*bargiri[[#This Row],[فی]]</f>
        <v>1166651010</v>
      </c>
      <c r="I1893" s="360">
        <f>IF(year=bargiri[[#This Row],[سال]],1,0)</f>
        <v>0</v>
      </c>
      <c r="J1893" s="360" t="str">
        <f>VLOOKUP(bargiri[[#This Row],[شماره پیش فاکتور]],invoice[],16,0)</f>
        <v>عادی</v>
      </c>
      <c r="K1893" s="252">
        <f>bargiri[[#This Row],[فی]]*bargiri[[#This Row],[میزان بارگیری شده]]</f>
        <v>1166651010</v>
      </c>
      <c r="Z1893" s="1"/>
    </row>
    <row r="1894" spans="1:26" ht="18.600000000000001">
      <c r="A1894" s="360" t="s">
        <v>497</v>
      </c>
      <c r="B1894" s="360" t="s">
        <v>103</v>
      </c>
      <c r="C1894" s="355" t="s">
        <v>29</v>
      </c>
      <c r="D1894">
        <v>7285</v>
      </c>
      <c r="E1894" s="143">
        <v>75000</v>
      </c>
      <c r="F1894" s="117">
        <v>1404</v>
      </c>
      <c r="G1894" s="360" t="s">
        <v>305</v>
      </c>
      <c r="H1894" s="144">
        <f>bargiri[[#This Row],[میزان بارگیری شده]]*bargiri[[#This Row],[فی]]</f>
        <v>546375000</v>
      </c>
      <c r="I1894" s="360">
        <f>IF(year=bargiri[[#This Row],[سال]],1,0)</f>
        <v>0</v>
      </c>
      <c r="J1894" s="360" t="str">
        <f>VLOOKUP(bargiri[[#This Row],[شماره پیش فاکتور]],invoice[],16,0)</f>
        <v>عادی</v>
      </c>
      <c r="K1894" s="252">
        <f>bargiri[[#This Row],[فی]]*bargiri[[#This Row],[میزان بارگیری شده]]</f>
        <v>546375000</v>
      </c>
      <c r="Z1894" s="1"/>
    </row>
    <row r="1895" spans="1:26" ht="18.600000000000001">
      <c r="A1895" s="360" t="s">
        <v>498</v>
      </c>
      <c r="B1895" s="360" t="s">
        <v>121</v>
      </c>
      <c r="C1895" s="355" t="s">
        <v>89</v>
      </c>
      <c r="D1895">
        <v>17960</v>
      </c>
      <c r="E1895" s="143">
        <v>100000</v>
      </c>
      <c r="F1895" s="117">
        <v>1404</v>
      </c>
      <c r="G1895" s="360" t="s">
        <v>305</v>
      </c>
      <c r="H1895" s="144">
        <f>bargiri[[#This Row],[میزان بارگیری شده]]*bargiri[[#This Row],[فی]]</f>
        <v>1796000000</v>
      </c>
      <c r="I1895" s="360">
        <f>IF(year=bargiri[[#This Row],[سال]],1,0)</f>
        <v>0</v>
      </c>
      <c r="J1895" s="360" t="str">
        <f>VLOOKUP(bargiri[[#This Row],[شماره پیش فاکتور]],invoice[],16,0)</f>
        <v>انجمن</v>
      </c>
      <c r="K1895" s="252">
        <f>bargiri[[#This Row],[فی]]*bargiri[[#This Row],[میزان بارگیری شده]]</f>
        <v>1796000000</v>
      </c>
      <c r="Z1895" s="1"/>
    </row>
    <row r="1896" spans="1:26" ht="18.600000000000001">
      <c r="A1896" s="360" t="s">
        <v>497</v>
      </c>
      <c r="B1896" s="360" t="s">
        <v>103</v>
      </c>
      <c r="C1896" s="355" t="s">
        <v>29</v>
      </c>
      <c r="D1896">
        <v>7510</v>
      </c>
      <c r="E1896" s="143">
        <v>75000</v>
      </c>
      <c r="F1896" s="117">
        <v>1404</v>
      </c>
      <c r="G1896" s="360" t="s">
        <v>305</v>
      </c>
      <c r="H1896" s="144">
        <f>bargiri[[#This Row],[میزان بارگیری شده]]*bargiri[[#This Row],[فی]]</f>
        <v>563250000</v>
      </c>
      <c r="I1896" s="360">
        <f>IF(year=bargiri[[#This Row],[سال]],1,0)</f>
        <v>0</v>
      </c>
      <c r="J1896" s="360" t="str">
        <f>VLOOKUP(bargiri[[#This Row],[شماره پیش فاکتور]],invoice[],16,0)</f>
        <v>عادی</v>
      </c>
      <c r="K1896" s="252">
        <f>bargiri[[#This Row],[فی]]*bargiri[[#This Row],[میزان بارگیری شده]]</f>
        <v>563250000</v>
      </c>
      <c r="Z1896" s="1"/>
    </row>
    <row r="1897" spans="1:26" ht="18.600000000000001">
      <c r="A1897" s="360" t="s">
        <v>497</v>
      </c>
      <c r="B1897" s="360" t="s">
        <v>107</v>
      </c>
      <c r="C1897" s="355" t="s">
        <v>50</v>
      </c>
      <c r="D1897">
        <v>17880</v>
      </c>
      <c r="E1897" s="143">
        <v>70000</v>
      </c>
      <c r="F1897" s="117">
        <v>1404</v>
      </c>
      <c r="G1897" s="360" t="s">
        <v>305</v>
      </c>
      <c r="H1897" s="144">
        <f>bargiri[[#This Row],[میزان بارگیری شده]]*bargiri[[#This Row],[فی]]</f>
        <v>1251600000</v>
      </c>
      <c r="I1897" s="360">
        <f>IF(year=bargiri[[#This Row],[سال]],1,0)</f>
        <v>0</v>
      </c>
      <c r="J1897" s="360" t="str">
        <f>VLOOKUP(bargiri[[#This Row],[شماره پیش فاکتور]],invoice[],16,0)</f>
        <v>عادی</v>
      </c>
      <c r="K1897" s="252">
        <f>bargiri[[#This Row],[فی]]*bargiri[[#This Row],[میزان بارگیری شده]]</f>
        <v>1251600000</v>
      </c>
      <c r="Z1897" s="1"/>
    </row>
    <row r="1898" spans="1:26" ht="18.600000000000001">
      <c r="A1898" s="360" t="s">
        <v>498</v>
      </c>
      <c r="B1898" s="360" t="s">
        <v>113</v>
      </c>
      <c r="C1898" s="355" t="s">
        <v>61</v>
      </c>
      <c r="D1898">
        <v>17855</v>
      </c>
      <c r="E1898" s="143">
        <v>75000</v>
      </c>
      <c r="F1898" s="117">
        <v>1404</v>
      </c>
      <c r="G1898" s="360" t="s">
        <v>305</v>
      </c>
      <c r="H1898" s="144">
        <f>bargiri[[#This Row],[میزان بارگیری شده]]*bargiri[[#This Row],[فی]]</f>
        <v>1339125000</v>
      </c>
      <c r="I1898" s="360">
        <f>IF(year=bargiri[[#This Row],[سال]],1,0)</f>
        <v>0</v>
      </c>
      <c r="J1898" s="360" t="str">
        <f>VLOOKUP(bargiri[[#This Row],[شماره پیش فاکتور]],invoice[],16,0)</f>
        <v>عادی</v>
      </c>
      <c r="K1898" s="252">
        <f>bargiri[[#This Row],[فی]]*bargiri[[#This Row],[میزان بارگیری شده]]</f>
        <v>1339125000</v>
      </c>
      <c r="Z1898" s="1"/>
    </row>
    <row r="1899" spans="1:26" ht="18.600000000000001">
      <c r="A1899" s="360" t="s">
        <v>498</v>
      </c>
      <c r="B1899" s="360" t="s">
        <v>118</v>
      </c>
      <c r="C1899" s="355" t="s">
        <v>84</v>
      </c>
      <c r="D1899">
        <v>20475</v>
      </c>
      <c r="E1899" s="143">
        <v>57273</v>
      </c>
      <c r="F1899" s="117">
        <v>1404</v>
      </c>
      <c r="G1899" s="360" t="s">
        <v>305</v>
      </c>
      <c r="H1899" s="144">
        <f>bargiri[[#This Row],[میزان بارگیری شده]]*bargiri[[#This Row],[فی]]</f>
        <v>1172664675</v>
      </c>
      <c r="I1899" s="360">
        <f>IF(year=bargiri[[#This Row],[سال]],1,0)</f>
        <v>0</v>
      </c>
      <c r="J1899" s="360" t="str">
        <f>VLOOKUP(bargiri[[#This Row],[شماره پیش فاکتور]],invoice[],16,0)</f>
        <v>عادی</v>
      </c>
      <c r="K1899" s="252">
        <f>bargiri[[#This Row],[فی]]*bargiri[[#This Row],[میزان بارگیری شده]]</f>
        <v>1172664675</v>
      </c>
      <c r="Z1899" s="1"/>
    </row>
    <row r="1900" spans="1:26" ht="18.600000000000001">
      <c r="A1900" s="360" t="s">
        <v>498</v>
      </c>
      <c r="B1900" s="360" t="s">
        <v>120</v>
      </c>
      <c r="C1900" s="355" t="s">
        <v>88</v>
      </c>
      <c r="D1900">
        <v>9065</v>
      </c>
      <c r="E1900" s="143">
        <v>80000</v>
      </c>
      <c r="F1900" s="117">
        <v>1404</v>
      </c>
      <c r="G1900" s="360" t="s">
        <v>305</v>
      </c>
      <c r="H1900" s="144">
        <f>bargiri[[#This Row],[میزان بارگیری شده]]*bargiri[[#This Row],[فی]]</f>
        <v>725200000</v>
      </c>
      <c r="I1900" s="360">
        <f>IF(year=bargiri[[#This Row],[سال]],1,0)</f>
        <v>0</v>
      </c>
      <c r="J1900" s="360" t="str">
        <f>VLOOKUP(bargiri[[#This Row],[شماره پیش فاکتور]],invoice[],16,0)</f>
        <v>عادی</v>
      </c>
      <c r="K1900" s="252">
        <f>bargiri[[#This Row],[فی]]*bargiri[[#This Row],[میزان بارگیری شده]]</f>
        <v>725200000</v>
      </c>
      <c r="Z1900" s="1"/>
    </row>
    <row r="1901" spans="1:26" ht="18.600000000000001">
      <c r="A1901" s="360" t="s">
        <v>499</v>
      </c>
      <c r="B1901" s="360" t="s">
        <v>118</v>
      </c>
      <c r="C1901" s="355" t="s">
        <v>84</v>
      </c>
      <c r="D1901">
        <v>20490</v>
      </c>
      <c r="E1901" s="143">
        <v>57273</v>
      </c>
      <c r="F1901" s="117">
        <v>1404</v>
      </c>
      <c r="G1901" s="360" t="s">
        <v>305</v>
      </c>
      <c r="H1901" s="144">
        <f>bargiri[[#This Row],[میزان بارگیری شده]]*bargiri[[#This Row],[فی]]</f>
        <v>1173523770</v>
      </c>
      <c r="I1901" s="360">
        <f>IF(year=bargiri[[#This Row],[سال]],1,0)</f>
        <v>0</v>
      </c>
      <c r="J1901" s="360" t="str">
        <f>VLOOKUP(bargiri[[#This Row],[شماره پیش فاکتور]],invoice[],16,0)</f>
        <v>عادی</v>
      </c>
      <c r="K1901" s="252">
        <f>bargiri[[#This Row],[فی]]*bargiri[[#This Row],[میزان بارگیری شده]]</f>
        <v>1173523770</v>
      </c>
      <c r="Z1901" s="1"/>
    </row>
    <row r="1902" spans="1:26" ht="18.600000000000001">
      <c r="A1902" s="360" t="s">
        <v>499</v>
      </c>
      <c r="B1902" s="360" t="s">
        <v>118</v>
      </c>
      <c r="C1902" s="355" t="s">
        <v>84</v>
      </c>
      <c r="D1902">
        <v>20470</v>
      </c>
      <c r="E1902" s="143">
        <v>57273</v>
      </c>
      <c r="F1902" s="117">
        <v>1404</v>
      </c>
      <c r="G1902" s="360" t="s">
        <v>305</v>
      </c>
      <c r="H1902" s="144">
        <f>bargiri[[#This Row],[میزان بارگیری شده]]*bargiri[[#This Row],[فی]]</f>
        <v>1172378310</v>
      </c>
      <c r="I1902" s="360">
        <f>IF(year=bargiri[[#This Row],[سال]],1,0)</f>
        <v>0</v>
      </c>
      <c r="J1902" s="360" t="str">
        <f>VLOOKUP(bargiri[[#This Row],[شماره پیش فاکتور]],invoice[],16,0)</f>
        <v>عادی</v>
      </c>
      <c r="K1902" s="252">
        <f>bargiri[[#This Row],[فی]]*bargiri[[#This Row],[میزان بارگیری شده]]</f>
        <v>1172378310</v>
      </c>
      <c r="Z1902" s="1"/>
    </row>
    <row r="1903" spans="1:26" ht="18.600000000000001">
      <c r="A1903" s="360" t="s">
        <v>499</v>
      </c>
      <c r="B1903" s="360" t="s">
        <v>114</v>
      </c>
      <c r="C1903" s="355" t="s">
        <v>63</v>
      </c>
      <c r="D1903">
        <v>945</v>
      </c>
      <c r="E1903" s="143">
        <v>75000</v>
      </c>
      <c r="F1903" s="117">
        <v>1404</v>
      </c>
      <c r="G1903" s="360" t="s">
        <v>305</v>
      </c>
      <c r="H1903" s="144">
        <f>bargiri[[#This Row],[میزان بارگیری شده]]*bargiri[[#This Row],[فی]]</f>
        <v>70875000</v>
      </c>
      <c r="I1903" s="360">
        <f>IF(year=bargiri[[#This Row],[سال]],1,0)</f>
        <v>0</v>
      </c>
      <c r="J1903" s="360" t="str">
        <f>VLOOKUP(bargiri[[#This Row],[شماره پیش فاکتور]],invoice[],16,0)</f>
        <v>عادی</v>
      </c>
      <c r="K1903" s="252">
        <f>bargiri[[#This Row],[فی]]*bargiri[[#This Row],[میزان بارگیری شده]]</f>
        <v>70875000</v>
      </c>
      <c r="Z1903" s="1"/>
    </row>
    <row r="1904" spans="1:26" ht="18.600000000000001">
      <c r="A1904" s="360" t="s">
        <v>499</v>
      </c>
      <c r="B1904" s="360" t="s">
        <v>114</v>
      </c>
      <c r="C1904" s="355" t="s">
        <v>62</v>
      </c>
      <c r="D1904">
        <v>20620</v>
      </c>
      <c r="E1904" s="143">
        <v>75000</v>
      </c>
      <c r="F1904" s="117">
        <v>1404</v>
      </c>
      <c r="G1904" s="360" t="s">
        <v>305</v>
      </c>
      <c r="H1904" s="144">
        <f>bargiri[[#This Row],[میزان بارگیری شده]]*bargiri[[#This Row],[فی]]</f>
        <v>1546500000</v>
      </c>
      <c r="I1904" s="360">
        <f>IF(year=bargiri[[#This Row],[سال]],1,0)</f>
        <v>0</v>
      </c>
      <c r="J1904" s="360" t="str">
        <f>VLOOKUP(bargiri[[#This Row],[شماره پیش فاکتور]],invoice[],16,0)</f>
        <v>عادی</v>
      </c>
      <c r="K1904" s="252">
        <f>bargiri[[#This Row],[فی]]*bargiri[[#This Row],[میزان بارگیری شده]]</f>
        <v>1546500000</v>
      </c>
      <c r="Z1904" s="1"/>
    </row>
    <row r="1905" spans="1:26" ht="18.600000000000001">
      <c r="A1905" s="360" t="s">
        <v>499</v>
      </c>
      <c r="B1905" s="360" t="s">
        <v>107</v>
      </c>
      <c r="C1905" s="355" t="s">
        <v>50</v>
      </c>
      <c r="D1905">
        <v>18925</v>
      </c>
      <c r="E1905" s="143">
        <v>70000</v>
      </c>
      <c r="F1905" s="117">
        <v>1404</v>
      </c>
      <c r="G1905" s="360" t="s">
        <v>305</v>
      </c>
      <c r="H1905" s="144">
        <f>bargiri[[#This Row],[میزان بارگیری شده]]*bargiri[[#This Row],[فی]]</f>
        <v>1324750000</v>
      </c>
      <c r="I1905" s="360">
        <f>IF(year=bargiri[[#This Row],[سال]],1,0)</f>
        <v>0</v>
      </c>
      <c r="J1905" s="360" t="str">
        <f>VLOOKUP(bargiri[[#This Row],[شماره پیش فاکتور]],invoice[],16,0)</f>
        <v>عادی</v>
      </c>
      <c r="K1905" s="252">
        <f>bargiri[[#This Row],[فی]]*bargiri[[#This Row],[میزان بارگیری شده]]</f>
        <v>1324750000</v>
      </c>
      <c r="Z1905" s="1"/>
    </row>
    <row r="1906" spans="1:26" ht="18.600000000000001">
      <c r="A1906" s="360" t="s">
        <v>499</v>
      </c>
      <c r="B1906" s="360" t="s">
        <v>116</v>
      </c>
      <c r="C1906" s="355" t="s">
        <v>77</v>
      </c>
      <c r="D1906">
        <v>18145</v>
      </c>
      <c r="E1906" s="143">
        <v>68500</v>
      </c>
      <c r="F1906" s="117">
        <v>1404</v>
      </c>
      <c r="G1906" s="360" t="s">
        <v>305</v>
      </c>
      <c r="H1906" s="144">
        <f>bargiri[[#This Row],[میزان بارگیری شده]]*bargiri[[#This Row],[فی]]</f>
        <v>1242932500</v>
      </c>
      <c r="I1906" s="360">
        <f>IF(year=bargiri[[#This Row],[سال]],1,0)</f>
        <v>0</v>
      </c>
      <c r="J1906" s="360" t="str">
        <f>VLOOKUP(bargiri[[#This Row],[شماره پیش فاکتور]],invoice[],16,0)</f>
        <v>عادی</v>
      </c>
      <c r="K1906" s="252">
        <f>bargiri[[#This Row],[فی]]*bargiri[[#This Row],[میزان بارگیری شده]]</f>
        <v>1242932500</v>
      </c>
      <c r="Z1906" s="1"/>
    </row>
    <row r="1907" spans="1:26" ht="18.600000000000001">
      <c r="A1907" s="360" t="s">
        <v>500</v>
      </c>
      <c r="B1907" s="360" t="s">
        <v>116</v>
      </c>
      <c r="C1907" s="355" t="s">
        <v>77</v>
      </c>
      <c r="D1907">
        <v>17885</v>
      </c>
      <c r="E1907" s="143">
        <v>68500</v>
      </c>
      <c r="F1907" s="117">
        <v>1404</v>
      </c>
      <c r="G1907" s="360" t="s">
        <v>305</v>
      </c>
      <c r="H1907" s="144">
        <f>bargiri[[#This Row],[میزان بارگیری شده]]*bargiri[[#This Row],[فی]]</f>
        <v>1225122500</v>
      </c>
      <c r="I1907" s="360">
        <f>IF(year=bargiri[[#This Row],[سال]],1,0)</f>
        <v>0</v>
      </c>
      <c r="J1907" s="360" t="str">
        <f>VLOOKUP(bargiri[[#This Row],[شماره پیش فاکتور]],invoice[],16,0)</f>
        <v>عادی</v>
      </c>
      <c r="K1907" s="252">
        <f>bargiri[[#This Row],[فی]]*bargiri[[#This Row],[میزان بارگیری شده]]</f>
        <v>1225122500</v>
      </c>
      <c r="Z1907" s="1"/>
    </row>
    <row r="1908" spans="1:26" ht="18.600000000000001">
      <c r="A1908" s="360" t="s">
        <v>500</v>
      </c>
      <c r="B1908" s="360" t="s">
        <v>106</v>
      </c>
      <c r="C1908" s="355" t="s">
        <v>45</v>
      </c>
      <c r="D1908">
        <v>19975</v>
      </c>
      <c r="E1908" s="143">
        <v>80000</v>
      </c>
      <c r="F1908" s="117">
        <v>1404</v>
      </c>
      <c r="G1908" s="360" t="s">
        <v>305</v>
      </c>
      <c r="H1908" s="144">
        <f>bargiri[[#This Row],[میزان بارگیری شده]]*bargiri[[#This Row],[فی]]</f>
        <v>1598000000</v>
      </c>
      <c r="I1908" s="360">
        <f>IF(year=bargiri[[#This Row],[سال]],1,0)</f>
        <v>0</v>
      </c>
      <c r="J1908" s="360" t="str">
        <f>VLOOKUP(bargiri[[#This Row],[شماره پیش فاکتور]],invoice[],16,0)</f>
        <v>عادی</v>
      </c>
      <c r="K1908" s="252">
        <f>bargiri[[#This Row],[فی]]*bargiri[[#This Row],[میزان بارگیری شده]]</f>
        <v>1598000000</v>
      </c>
      <c r="Z1908" s="1"/>
    </row>
    <row r="1909" spans="1:26" ht="18.600000000000001">
      <c r="A1909" s="360" t="s">
        <v>500</v>
      </c>
      <c r="B1909" s="360" t="s">
        <v>122</v>
      </c>
      <c r="C1909" s="355" t="s">
        <v>91</v>
      </c>
      <c r="D1909">
        <v>19860</v>
      </c>
      <c r="E1909" s="143">
        <v>75000</v>
      </c>
      <c r="F1909" s="117">
        <v>1404</v>
      </c>
      <c r="G1909" s="360" t="s">
        <v>305</v>
      </c>
      <c r="H1909" s="144">
        <f>bargiri[[#This Row],[میزان بارگیری شده]]*bargiri[[#This Row],[فی]]</f>
        <v>1489500000</v>
      </c>
      <c r="I1909" s="360">
        <f>IF(year=bargiri[[#This Row],[سال]],1,0)</f>
        <v>0</v>
      </c>
      <c r="J1909" s="360" t="str">
        <f>VLOOKUP(bargiri[[#This Row],[شماره پیش فاکتور]],invoice[],16,0)</f>
        <v>عادی</v>
      </c>
      <c r="K1909" s="252">
        <f>bargiri[[#This Row],[فی]]*bargiri[[#This Row],[میزان بارگیری شده]]</f>
        <v>1489500000</v>
      </c>
      <c r="Z1909" s="1"/>
    </row>
    <row r="1910" spans="1:26" ht="18.600000000000001">
      <c r="A1910" s="360" t="s">
        <v>185</v>
      </c>
      <c r="B1910" s="360" t="s">
        <v>113</v>
      </c>
      <c r="C1910" s="355" t="s">
        <v>61</v>
      </c>
      <c r="D1910">
        <v>18190</v>
      </c>
      <c r="E1910" s="143">
        <v>75000</v>
      </c>
      <c r="F1910" s="117">
        <v>1404</v>
      </c>
      <c r="G1910" s="360" t="s">
        <v>305</v>
      </c>
      <c r="H1910" s="144">
        <f>bargiri[[#This Row],[میزان بارگیری شده]]*bargiri[[#This Row],[فی]]</f>
        <v>1364250000</v>
      </c>
      <c r="I1910" s="360">
        <f>IF(year=bargiri[[#This Row],[سال]],1,0)</f>
        <v>0</v>
      </c>
      <c r="J1910" s="360" t="str">
        <f>VLOOKUP(bargiri[[#This Row],[شماره پیش فاکتور]],invoice[],16,0)</f>
        <v>عادی</v>
      </c>
      <c r="K1910" s="252">
        <f>bargiri[[#This Row],[فی]]*bargiri[[#This Row],[میزان بارگیری شده]]</f>
        <v>1364250000</v>
      </c>
      <c r="Z1910" s="1"/>
    </row>
    <row r="1911" spans="1:26" ht="18.600000000000001">
      <c r="A1911" s="360" t="s">
        <v>185</v>
      </c>
      <c r="B1911" s="360" t="s">
        <v>102</v>
      </c>
      <c r="C1911" s="355" t="s">
        <v>24</v>
      </c>
      <c r="D1911">
        <v>11920</v>
      </c>
      <c r="E1911" s="143">
        <v>70000</v>
      </c>
      <c r="F1911" s="117">
        <v>1404</v>
      </c>
      <c r="G1911" s="360" t="s">
        <v>305</v>
      </c>
      <c r="H1911" s="144">
        <f>bargiri[[#This Row],[میزان بارگیری شده]]*bargiri[[#This Row],[فی]]</f>
        <v>834400000</v>
      </c>
      <c r="I1911" s="360">
        <f>IF(year=bargiri[[#This Row],[سال]],1,0)</f>
        <v>0</v>
      </c>
      <c r="J1911" s="360" t="str">
        <f>VLOOKUP(bargiri[[#This Row],[شماره پیش فاکتور]],invoice[],16,0)</f>
        <v>عادی</v>
      </c>
      <c r="K1911" s="252">
        <f>bargiri[[#This Row],[فی]]*bargiri[[#This Row],[میزان بارگیری شده]]</f>
        <v>834400000</v>
      </c>
      <c r="Z1911" s="1"/>
    </row>
    <row r="1912" spans="1:26" ht="18.600000000000001">
      <c r="A1912" s="360" t="s">
        <v>185</v>
      </c>
      <c r="B1912" s="360" t="s">
        <v>104</v>
      </c>
      <c r="C1912" s="355" t="s">
        <v>39</v>
      </c>
      <c r="D1912">
        <v>17975</v>
      </c>
      <c r="E1912" s="143">
        <v>65000</v>
      </c>
      <c r="F1912" s="117">
        <v>1404</v>
      </c>
      <c r="G1912" s="360" t="s">
        <v>305</v>
      </c>
      <c r="H1912" s="144">
        <f>bargiri[[#This Row],[میزان بارگیری شده]]*bargiri[[#This Row],[فی]]</f>
        <v>1168375000</v>
      </c>
      <c r="I1912" s="360">
        <f>IF(year=bargiri[[#This Row],[سال]],1,0)</f>
        <v>0</v>
      </c>
      <c r="J1912" s="360" t="str">
        <f>VLOOKUP(bargiri[[#This Row],[شماره پیش فاکتور]],invoice[],16,0)</f>
        <v>تعادلی</v>
      </c>
      <c r="K1912" s="252">
        <f>bargiri[[#This Row],[فی]]*bargiri[[#This Row],[میزان بارگیری شده]]</f>
        <v>1168375000</v>
      </c>
      <c r="Z1912" s="1"/>
    </row>
    <row r="1913" spans="1:26" ht="18.600000000000001">
      <c r="A1913" s="360" t="s">
        <v>185</v>
      </c>
      <c r="B1913" s="360" t="s">
        <v>101</v>
      </c>
      <c r="C1913" s="355" t="s">
        <v>19</v>
      </c>
      <c r="D1913">
        <v>20040</v>
      </c>
      <c r="E1913" s="143">
        <v>75000</v>
      </c>
      <c r="F1913" s="117">
        <v>1404</v>
      </c>
      <c r="G1913" s="360" t="s">
        <v>305</v>
      </c>
      <c r="H1913" s="144">
        <f>bargiri[[#This Row],[میزان بارگیری شده]]*bargiri[[#This Row],[فی]]</f>
        <v>1503000000</v>
      </c>
      <c r="I1913" s="360">
        <f>IF(year=bargiri[[#This Row],[سال]],1,0)</f>
        <v>0</v>
      </c>
      <c r="J1913" s="360" t="str">
        <f>VLOOKUP(bargiri[[#This Row],[شماره پیش فاکتور]],invoice[],16,0)</f>
        <v>عادی</v>
      </c>
      <c r="K1913" s="252">
        <f>bargiri[[#This Row],[فی]]*bargiri[[#This Row],[میزان بارگیری شده]]</f>
        <v>1503000000</v>
      </c>
      <c r="Z1913" s="1"/>
    </row>
    <row r="1914" spans="1:26" ht="18.600000000000001">
      <c r="A1914" s="360" t="s">
        <v>185</v>
      </c>
      <c r="B1914" s="360" t="s">
        <v>118</v>
      </c>
      <c r="C1914" s="355" t="s">
        <v>84</v>
      </c>
      <c r="D1914">
        <v>21110</v>
      </c>
      <c r="E1914" s="143">
        <v>57273</v>
      </c>
      <c r="F1914" s="117">
        <v>1404</v>
      </c>
      <c r="G1914" s="360" t="s">
        <v>305</v>
      </c>
      <c r="H1914" s="144">
        <f>bargiri[[#This Row],[میزان بارگیری شده]]*bargiri[[#This Row],[فی]]</f>
        <v>1209033030</v>
      </c>
      <c r="I1914" s="360">
        <f>IF(year=bargiri[[#This Row],[سال]],1,0)</f>
        <v>0</v>
      </c>
      <c r="J1914" s="360" t="str">
        <f>VLOOKUP(bargiri[[#This Row],[شماره پیش فاکتور]],invoice[],16,0)</f>
        <v>عادی</v>
      </c>
      <c r="K1914" s="252">
        <f>bargiri[[#This Row],[فی]]*bargiri[[#This Row],[میزان بارگیری شده]]</f>
        <v>1209033030</v>
      </c>
      <c r="Z1914" s="1"/>
    </row>
    <row r="1915" spans="1:26" ht="18.600000000000001">
      <c r="A1915" s="360" t="s">
        <v>185</v>
      </c>
      <c r="B1915" s="360" t="s">
        <v>118</v>
      </c>
      <c r="C1915" s="355" t="s">
        <v>84</v>
      </c>
      <c r="D1915">
        <v>21230</v>
      </c>
      <c r="E1915" s="143">
        <v>57273</v>
      </c>
      <c r="F1915" s="117">
        <v>1404</v>
      </c>
      <c r="G1915" s="360" t="s">
        <v>305</v>
      </c>
      <c r="H1915" s="144">
        <f>bargiri[[#This Row],[میزان بارگیری شده]]*bargiri[[#This Row],[فی]]</f>
        <v>1215905790</v>
      </c>
      <c r="I1915" s="360">
        <f>IF(year=bargiri[[#This Row],[سال]],1,0)</f>
        <v>0</v>
      </c>
      <c r="J1915" s="360" t="str">
        <f>VLOOKUP(bargiri[[#This Row],[شماره پیش فاکتور]],invoice[],16,0)</f>
        <v>عادی</v>
      </c>
      <c r="K1915" s="252">
        <f>bargiri[[#This Row],[فی]]*bargiri[[#This Row],[میزان بارگیری شده]]</f>
        <v>1215905790</v>
      </c>
      <c r="Z1915" s="1"/>
    </row>
    <row r="1916" spans="1:26" ht="18.600000000000001">
      <c r="A1916" s="360" t="s">
        <v>327</v>
      </c>
      <c r="B1916" s="360" t="s">
        <v>103</v>
      </c>
      <c r="C1916" s="355" t="s">
        <v>29</v>
      </c>
      <c r="D1916">
        <v>7385</v>
      </c>
      <c r="E1916" s="143">
        <v>75000</v>
      </c>
      <c r="F1916" s="117">
        <v>1404</v>
      </c>
      <c r="G1916" s="360" t="s">
        <v>295</v>
      </c>
      <c r="H1916" s="144">
        <f>bargiri[[#This Row],[میزان بارگیری شده]]*bargiri[[#This Row],[فی]]</f>
        <v>553875000</v>
      </c>
      <c r="I1916" s="360">
        <f>IF(year=bargiri[[#This Row],[سال]],1,0)</f>
        <v>0</v>
      </c>
      <c r="J1916" s="360" t="str">
        <f>VLOOKUP(bargiri[[#This Row],[شماره پیش فاکتور]],invoice[],16,0)</f>
        <v>عادی</v>
      </c>
      <c r="K1916" s="252">
        <f>bargiri[[#This Row],[فی]]*bargiri[[#This Row],[میزان بارگیری شده]]</f>
        <v>553875000</v>
      </c>
      <c r="Z1916" s="1"/>
    </row>
    <row r="1917" spans="1:26" ht="18.600000000000001">
      <c r="A1917" s="360" t="s">
        <v>327</v>
      </c>
      <c r="B1917" s="360" t="s">
        <v>110</v>
      </c>
      <c r="C1917" s="355" t="s">
        <v>57</v>
      </c>
      <c r="D1917">
        <v>20100</v>
      </c>
      <c r="E1917" s="143">
        <v>78000</v>
      </c>
      <c r="F1917" s="117">
        <v>1404</v>
      </c>
      <c r="G1917" s="360" t="s">
        <v>295</v>
      </c>
      <c r="H1917" s="144">
        <f>bargiri[[#This Row],[میزان بارگیری شده]]*bargiri[[#This Row],[فی]]</f>
        <v>1567800000</v>
      </c>
      <c r="I1917" s="360">
        <f>IF(year=bargiri[[#This Row],[سال]],1,0)</f>
        <v>0</v>
      </c>
      <c r="J1917" s="360" t="str">
        <f>VLOOKUP(bargiri[[#This Row],[شماره پیش فاکتور]],invoice[],16,0)</f>
        <v>عادی</v>
      </c>
      <c r="K1917" s="252">
        <f>bargiri[[#This Row],[فی]]*bargiri[[#This Row],[میزان بارگیری شده]]</f>
        <v>1567800000</v>
      </c>
      <c r="Z1917" s="1"/>
    </row>
    <row r="1918" spans="1:26" ht="18.600000000000001">
      <c r="A1918" s="360" t="s">
        <v>327</v>
      </c>
      <c r="B1918" s="360" t="s">
        <v>103</v>
      </c>
      <c r="C1918" s="355" t="s">
        <v>29</v>
      </c>
      <c r="D1918">
        <v>7220</v>
      </c>
      <c r="E1918" s="143">
        <v>75000</v>
      </c>
      <c r="F1918" s="117">
        <v>1404</v>
      </c>
      <c r="G1918" s="360" t="s">
        <v>295</v>
      </c>
      <c r="H1918" s="144">
        <f>bargiri[[#This Row],[میزان بارگیری شده]]*bargiri[[#This Row],[فی]]</f>
        <v>541500000</v>
      </c>
      <c r="I1918" s="360">
        <f>IF(year=bargiri[[#This Row],[سال]],1,0)</f>
        <v>0</v>
      </c>
      <c r="J1918" s="360" t="str">
        <f>VLOOKUP(bargiri[[#This Row],[شماره پیش فاکتور]],invoice[],16,0)</f>
        <v>عادی</v>
      </c>
      <c r="K1918" s="252">
        <f>bargiri[[#This Row],[فی]]*bargiri[[#This Row],[میزان بارگیری شده]]</f>
        <v>541500000</v>
      </c>
      <c r="Z1918" s="1"/>
    </row>
    <row r="1919" spans="1:26" ht="18.600000000000001">
      <c r="A1919" s="360" t="s">
        <v>328</v>
      </c>
      <c r="B1919" s="360" t="s">
        <v>120</v>
      </c>
      <c r="C1919" s="355" t="s">
        <v>88</v>
      </c>
      <c r="D1919">
        <v>9065</v>
      </c>
      <c r="E1919" s="143">
        <v>80000</v>
      </c>
      <c r="F1919" s="117">
        <v>1404</v>
      </c>
      <c r="G1919" s="360" t="s">
        <v>295</v>
      </c>
      <c r="H1919" s="144">
        <f>bargiri[[#This Row],[میزان بارگیری شده]]*bargiri[[#This Row],[فی]]</f>
        <v>725200000</v>
      </c>
      <c r="I1919" s="360">
        <f>IF(year=bargiri[[#This Row],[سال]],1,0)</f>
        <v>0</v>
      </c>
      <c r="J1919" s="360" t="str">
        <f>VLOOKUP(bargiri[[#This Row],[شماره پیش فاکتور]],invoice[],16,0)</f>
        <v>عادی</v>
      </c>
      <c r="K1919" s="252">
        <f>bargiri[[#This Row],[فی]]*bargiri[[#This Row],[میزان بارگیری شده]]</f>
        <v>725200000</v>
      </c>
      <c r="Z1919" s="1"/>
    </row>
    <row r="1920" spans="1:26" ht="18.600000000000001">
      <c r="A1920" s="360" t="s">
        <v>328</v>
      </c>
      <c r="B1920" s="360" t="s">
        <v>123</v>
      </c>
      <c r="C1920" s="355" t="s">
        <v>93</v>
      </c>
      <c r="D1920">
        <v>7085</v>
      </c>
      <c r="E1920" s="143">
        <v>75000</v>
      </c>
      <c r="F1920" s="117">
        <v>1404</v>
      </c>
      <c r="G1920" s="360" t="s">
        <v>295</v>
      </c>
      <c r="H1920" s="144">
        <f>bargiri[[#This Row],[میزان بارگیری شده]]*bargiri[[#This Row],[فی]]</f>
        <v>531375000</v>
      </c>
      <c r="I1920" s="360">
        <f>IF(year=bargiri[[#This Row],[سال]],1,0)</f>
        <v>0</v>
      </c>
      <c r="J1920" s="360" t="str">
        <f>VLOOKUP(bargiri[[#This Row],[شماره پیش فاکتور]],invoice[],16,0)</f>
        <v>عادی</v>
      </c>
      <c r="K1920" s="252">
        <f>bargiri[[#This Row],[فی]]*bargiri[[#This Row],[میزان بارگیری شده]]</f>
        <v>531375000</v>
      </c>
      <c r="Z1920" s="1"/>
    </row>
    <row r="1921" spans="1:26" ht="18.600000000000001">
      <c r="A1921" s="360" t="s">
        <v>329</v>
      </c>
      <c r="B1921" s="360" t="s">
        <v>103</v>
      </c>
      <c r="C1921" s="355" t="s">
        <v>29</v>
      </c>
      <c r="D1921">
        <v>7075</v>
      </c>
      <c r="E1921" s="143">
        <v>75000</v>
      </c>
      <c r="F1921" s="117">
        <v>1404</v>
      </c>
      <c r="G1921" s="360" t="s">
        <v>295</v>
      </c>
      <c r="H1921" s="144">
        <f>bargiri[[#This Row],[میزان بارگیری شده]]*bargiri[[#This Row],[فی]]</f>
        <v>530625000</v>
      </c>
      <c r="I1921" s="360">
        <f>IF(year=bargiri[[#This Row],[سال]],1,0)</f>
        <v>0</v>
      </c>
      <c r="J1921" s="360" t="str">
        <f>VLOOKUP(bargiri[[#This Row],[شماره پیش فاکتور]],invoice[],16,0)</f>
        <v>عادی</v>
      </c>
      <c r="K1921" s="252">
        <f>bargiri[[#This Row],[فی]]*bargiri[[#This Row],[میزان بارگیری شده]]</f>
        <v>530625000</v>
      </c>
      <c r="Z1921" s="1"/>
    </row>
    <row r="1922" spans="1:26" ht="18.600000000000001">
      <c r="A1922" s="360" t="s">
        <v>329</v>
      </c>
      <c r="B1922" s="360" t="s">
        <v>107</v>
      </c>
      <c r="C1922" s="355" t="s">
        <v>50</v>
      </c>
      <c r="D1922">
        <v>18040</v>
      </c>
      <c r="E1922" s="143">
        <v>70000</v>
      </c>
      <c r="F1922" s="117">
        <v>1404</v>
      </c>
      <c r="G1922" s="360" t="s">
        <v>295</v>
      </c>
      <c r="H1922" s="144">
        <f>bargiri[[#This Row],[میزان بارگیری شده]]*bargiri[[#This Row],[فی]]</f>
        <v>1262800000</v>
      </c>
      <c r="I1922" s="360">
        <f>IF(year=bargiri[[#This Row],[سال]],1,0)</f>
        <v>0</v>
      </c>
      <c r="J1922" s="360" t="str">
        <f>VLOOKUP(bargiri[[#This Row],[شماره پیش فاکتور]],invoice[],16,0)</f>
        <v>عادی</v>
      </c>
      <c r="K1922" s="252">
        <f>bargiri[[#This Row],[فی]]*bargiri[[#This Row],[میزان بارگیری شده]]</f>
        <v>1262800000</v>
      </c>
      <c r="Z1922" s="1"/>
    </row>
    <row r="1923" spans="1:26" ht="18.600000000000001">
      <c r="A1923" s="360" t="s">
        <v>330</v>
      </c>
      <c r="B1923" s="360" t="s">
        <v>120</v>
      </c>
      <c r="C1923" s="355" t="s">
        <v>88</v>
      </c>
      <c r="D1923">
        <v>9015</v>
      </c>
      <c r="E1923" s="143">
        <v>80000</v>
      </c>
      <c r="F1923" s="117">
        <v>1404</v>
      </c>
      <c r="G1923" s="360" t="s">
        <v>295</v>
      </c>
      <c r="H1923" s="144">
        <f>bargiri[[#This Row],[میزان بارگیری شده]]*bargiri[[#This Row],[فی]]</f>
        <v>721200000</v>
      </c>
      <c r="I1923" s="360">
        <f>IF(year=bargiri[[#This Row],[سال]],1,0)</f>
        <v>0</v>
      </c>
      <c r="J1923" s="360" t="str">
        <f>VLOOKUP(bargiri[[#This Row],[شماره پیش فاکتور]],invoice[],16,0)</f>
        <v>عادی</v>
      </c>
      <c r="K1923" s="252">
        <f>bargiri[[#This Row],[فی]]*bargiri[[#This Row],[میزان بارگیری شده]]</f>
        <v>721200000</v>
      </c>
      <c r="Z1923" s="1"/>
    </row>
    <row r="1924" spans="1:26" ht="18.600000000000001">
      <c r="A1924" s="360" t="s">
        <v>330</v>
      </c>
      <c r="B1924" s="360" t="s">
        <v>120</v>
      </c>
      <c r="C1924" s="355" t="s">
        <v>88</v>
      </c>
      <c r="D1924">
        <v>9000</v>
      </c>
      <c r="E1924" s="143">
        <v>80000</v>
      </c>
      <c r="F1924" s="117">
        <v>1404</v>
      </c>
      <c r="G1924" s="360" t="s">
        <v>295</v>
      </c>
      <c r="H1924" s="144">
        <f>bargiri[[#This Row],[میزان بارگیری شده]]*bargiri[[#This Row],[فی]]</f>
        <v>720000000</v>
      </c>
      <c r="I1924" s="360">
        <f>IF(year=bargiri[[#This Row],[سال]],1,0)</f>
        <v>0</v>
      </c>
      <c r="J1924" s="360" t="str">
        <f>VLOOKUP(bargiri[[#This Row],[شماره پیش فاکتور]],invoice[],16,0)</f>
        <v>عادی</v>
      </c>
      <c r="K1924" s="252">
        <f>bargiri[[#This Row],[فی]]*bargiri[[#This Row],[میزان بارگیری شده]]</f>
        <v>720000000</v>
      </c>
      <c r="Z1924" s="1"/>
    </row>
    <row r="1925" spans="1:26" ht="18.600000000000001">
      <c r="A1925" s="360" t="s">
        <v>330</v>
      </c>
      <c r="B1925" s="360" t="s">
        <v>113</v>
      </c>
      <c r="C1925" s="355" t="s">
        <v>61</v>
      </c>
      <c r="D1925">
        <v>17930</v>
      </c>
      <c r="E1925" s="143">
        <v>75000</v>
      </c>
      <c r="F1925" s="117">
        <v>1404</v>
      </c>
      <c r="G1925" s="360" t="s">
        <v>295</v>
      </c>
      <c r="H1925" s="144">
        <f>bargiri[[#This Row],[میزان بارگیری شده]]*bargiri[[#This Row],[فی]]</f>
        <v>1344750000</v>
      </c>
      <c r="I1925" s="360">
        <f>IF(year=bargiri[[#This Row],[سال]],1,0)</f>
        <v>0</v>
      </c>
      <c r="J1925" s="360" t="str">
        <f>VLOOKUP(bargiri[[#This Row],[شماره پیش فاکتور]],invoice[],16,0)</f>
        <v>عادی</v>
      </c>
      <c r="K1925" s="252">
        <f>bargiri[[#This Row],[فی]]*bargiri[[#This Row],[میزان بارگیری شده]]</f>
        <v>1344750000</v>
      </c>
      <c r="Z1925" s="1"/>
    </row>
    <row r="1926" spans="1:26" ht="18.600000000000001">
      <c r="A1926" s="360" t="s">
        <v>330</v>
      </c>
      <c r="B1926" s="360" t="s">
        <v>98</v>
      </c>
      <c r="C1926" s="355" t="s">
        <v>4</v>
      </c>
      <c r="D1926">
        <v>20130</v>
      </c>
      <c r="E1926" s="143">
        <v>65000</v>
      </c>
      <c r="F1926" s="117">
        <v>1404</v>
      </c>
      <c r="G1926" s="360" t="s">
        <v>295</v>
      </c>
      <c r="H1926" s="144">
        <f>bargiri[[#This Row],[میزان بارگیری شده]]*bargiri[[#This Row],[فی]]</f>
        <v>1308450000</v>
      </c>
      <c r="I1926" s="360">
        <f>IF(year=bargiri[[#This Row],[سال]],1,0)</f>
        <v>0</v>
      </c>
      <c r="J1926" s="360" t="str">
        <f>VLOOKUP(bargiri[[#This Row],[شماره پیش فاکتور]],invoice[],16,0)</f>
        <v>تعادلی</v>
      </c>
      <c r="K1926" s="252">
        <f>bargiri[[#This Row],[فی]]*bargiri[[#This Row],[میزان بارگیری شده]]</f>
        <v>1308450000</v>
      </c>
      <c r="Z1926" s="1"/>
    </row>
    <row r="1927" spans="1:26" ht="18.600000000000001">
      <c r="A1927" s="360" t="s">
        <v>330</v>
      </c>
      <c r="B1927" s="360" t="s">
        <v>106</v>
      </c>
      <c r="C1927" s="355" t="s">
        <v>45</v>
      </c>
      <c r="D1927">
        <v>12065</v>
      </c>
      <c r="E1927" s="143">
        <v>80000</v>
      </c>
      <c r="F1927" s="117">
        <v>1404</v>
      </c>
      <c r="G1927" s="360" t="s">
        <v>295</v>
      </c>
      <c r="H1927" s="144">
        <f>bargiri[[#This Row],[میزان بارگیری شده]]*bargiri[[#This Row],[فی]]</f>
        <v>965200000</v>
      </c>
      <c r="I1927" s="360">
        <f>IF(year=bargiri[[#This Row],[سال]],1,0)</f>
        <v>0</v>
      </c>
      <c r="J1927" s="360" t="str">
        <f>VLOOKUP(bargiri[[#This Row],[شماره پیش فاکتور]],invoice[],16,0)</f>
        <v>عادی</v>
      </c>
      <c r="K1927" s="252">
        <f>bargiri[[#This Row],[فی]]*bargiri[[#This Row],[میزان بارگیری شده]]</f>
        <v>965200000</v>
      </c>
      <c r="Z1927" s="1"/>
    </row>
    <row r="1928" spans="1:26" ht="18.600000000000001">
      <c r="A1928" s="360" t="s">
        <v>331</v>
      </c>
      <c r="B1928" s="360" t="s">
        <v>123</v>
      </c>
      <c r="C1928" s="355" t="s">
        <v>93</v>
      </c>
      <c r="D1928">
        <v>7655</v>
      </c>
      <c r="E1928" s="143">
        <v>75000</v>
      </c>
      <c r="F1928" s="117">
        <v>1404</v>
      </c>
      <c r="G1928" s="360" t="s">
        <v>295</v>
      </c>
      <c r="H1928" s="144">
        <f>bargiri[[#This Row],[میزان بارگیری شده]]*bargiri[[#This Row],[فی]]</f>
        <v>574125000</v>
      </c>
      <c r="I1928" s="360">
        <f>IF(year=bargiri[[#This Row],[سال]],1,0)</f>
        <v>0</v>
      </c>
      <c r="J1928" s="360" t="str">
        <f>VLOOKUP(bargiri[[#This Row],[شماره پیش فاکتور]],invoice[],16,0)</f>
        <v>عادی</v>
      </c>
      <c r="K1928" s="252">
        <f>bargiri[[#This Row],[فی]]*bargiri[[#This Row],[میزان بارگیری شده]]</f>
        <v>574125000</v>
      </c>
      <c r="Z1928" s="1"/>
    </row>
    <row r="1929" spans="1:26" ht="18.600000000000001">
      <c r="A1929" s="360" t="s">
        <v>331</v>
      </c>
      <c r="B1929" s="360" t="s">
        <v>118</v>
      </c>
      <c r="C1929" s="355" t="s">
        <v>84</v>
      </c>
      <c r="D1929">
        <v>20505</v>
      </c>
      <c r="E1929" s="143">
        <v>57273</v>
      </c>
      <c r="F1929" s="117">
        <v>1404</v>
      </c>
      <c r="G1929" s="360" t="s">
        <v>295</v>
      </c>
      <c r="H1929" s="144">
        <f>bargiri[[#This Row],[میزان بارگیری شده]]*bargiri[[#This Row],[فی]]</f>
        <v>1174382865</v>
      </c>
      <c r="I1929" s="360">
        <f>IF(year=bargiri[[#This Row],[سال]],1,0)</f>
        <v>0</v>
      </c>
      <c r="J1929" s="360" t="str">
        <f>VLOOKUP(bargiri[[#This Row],[شماره پیش فاکتور]],invoice[],16,0)</f>
        <v>عادی</v>
      </c>
      <c r="K1929" s="252">
        <f>bargiri[[#This Row],[فی]]*bargiri[[#This Row],[میزان بارگیری شده]]</f>
        <v>1174382865</v>
      </c>
      <c r="Z1929" s="1"/>
    </row>
    <row r="1930" spans="1:26" ht="18.600000000000001">
      <c r="A1930" s="360" t="s">
        <v>331</v>
      </c>
      <c r="B1930" s="360" t="s">
        <v>118</v>
      </c>
      <c r="C1930" s="355" t="s">
        <v>84</v>
      </c>
      <c r="D1930">
        <v>20495</v>
      </c>
      <c r="E1930" s="143">
        <v>57273</v>
      </c>
      <c r="F1930" s="117">
        <v>1404</v>
      </c>
      <c r="G1930" s="360" t="s">
        <v>295</v>
      </c>
      <c r="H1930" s="144">
        <f>bargiri[[#This Row],[میزان بارگیری شده]]*bargiri[[#This Row],[فی]]</f>
        <v>1173810135</v>
      </c>
      <c r="I1930" s="360">
        <f>IF(year=bargiri[[#This Row],[سال]],1,0)</f>
        <v>0</v>
      </c>
      <c r="J1930" s="360" t="str">
        <f>VLOOKUP(bargiri[[#This Row],[شماره پیش فاکتور]],invoice[],16,0)</f>
        <v>عادی</v>
      </c>
      <c r="K1930" s="252">
        <f>bargiri[[#This Row],[فی]]*bargiri[[#This Row],[میزان بارگیری شده]]</f>
        <v>1173810135</v>
      </c>
      <c r="Z1930" s="1"/>
    </row>
    <row r="1931" spans="1:26" ht="18.600000000000001">
      <c r="A1931" s="360" t="s">
        <v>331</v>
      </c>
      <c r="B1931" s="360" t="s">
        <v>116</v>
      </c>
      <c r="C1931" s="355" t="s">
        <v>77</v>
      </c>
      <c r="D1931">
        <v>18020</v>
      </c>
      <c r="E1931" s="143">
        <v>68500</v>
      </c>
      <c r="F1931" s="117">
        <v>1404</v>
      </c>
      <c r="G1931" s="360" t="s">
        <v>295</v>
      </c>
      <c r="H1931" s="144">
        <f>bargiri[[#This Row],[میزان بارگیری شده]]*bargiri[[#This Row],[فی]]</f>
        <v>1234370000</v>
      </c>
      <c r="I1931" s="360">
        <f>IF(year=bargiri[[#This Row],[سال]],1,0)</f>
        <v>0</v>
      </c>
      <c r="J1931" s="360" t="str">
        <f>VLOOKUP(bargiri[[#This Row],[شماره پیش فاکتور]],invoice[],16,0)</f>
        <v>عادی</v>
      </c>
      <c r="K1931" s="252">
        <f>bargiri[[#This Row],[فی]]*bargiri[[#This Row],[میزان بارگیری شده]]</f>
        <v>1234370000</v>
      </c>
      <c r="Z1931" s="1"/>
    </row>
    <row r="1932" spans="1:26" ht="18.600000000000001">
      <c r="A1932" s="360" t="s">
        <v>332</v>
      </c>
      <c r="B1932" s="360" t="s">
        <v>106</v>
      </c>
      <c r="C1932" s="355" t="s">
        <v>45</v>
      </c>
      <c r="D1932">
        <v>5050</v>
      </c>
      <c r="E1932" s="143">
        <v>80000</v>
      </c>
      <c r="F1932" s="117">
        <v>1404</v>
      </c>
      <c r="G1932" s="360" t="s">
        <v>295</v>
      </c>
      <c r="H1932" s="144">
        <f>bargiri[[#This Row],[میزان بارگیری شده]]*bargiri[[#This Row],[فی]]</f>
        <v>404000000</v>
      </c>
      <c r="I1932" s="360">
        <f>IF(year=bargiri[[#This Row],[سال]],1,0)</f>
        <v>0</v>
      </c>
      <c r="J1932" s="360" t="str">
        <f>VLOOKUP(bargiri[[#This Row],[شماره پیش فاکتور]],invoice[],16,0)</f>
        <v>عادی</v>
      </c>
      <c r="K1932" s="252">
        <f>bargiri[[#This Row],[فی]]*bargiri[[#This Row],[میزان بارگیری شده]]</f>
        <v>404000000</v>
      </c>
      <c r="Z1932" s="1"/>
    </row>
    <row r="1933" spans="1:26" ht="18.600000000000001">
      <c r="A1933" s="360" t="s">
        <v>332</v>
      </c>
      <c r="B1933" s="360" t="s">
        <v>117</v>
      </c>
      <c r="C1933" s="355" t="s">
        <v>79</v>
      </c>
      <c r="D1933">
        <v>18040</v>
      </c>
      <c r="E1933" s="143">
        <v>75000</v>
      </c>
      <c r="F1933" s="117">
        <v>1404</v>
      </c>
      <c r="G1933" s="360" t="s">
        <v>295</v>
      </c>
      <c r="H1933" s="144">
        <f>bargiri[[#This Row],[میزان بارگیری شده]]*bargiri[[#This Row],[فی]]</f>
        <v>1353000000</v>
      </c>
      <c r="I1933" s="360">
        <f>IF(year=bargiri[[#This Row],[سال]],1,0)</f>
        <v>0</v>
      </c>
      <c r="J1933" s="360" t="str">
        <f>VLOOKUP(bargiri[[#This Row],[شماره پیش فاکتور]],invoice[],16,0)</f>
        <v>عادی</v>
      </c>
      <c r="K1933" s="252">
        <f>bargiri[[#This Row],[فی]]*bargiri[[#This Row],[میزان بارگیری شده]]</f>
        <v>1353000000</v>
      </c>
      <c r="Z1933" s="1"/>
    </row>
    <row r="1934" spans="1:26" ht="18.600000000000001">
      <c r="A1934" s="360" t="s">
        <v>332</v>
      </c>
      <c r="B1934" s="360" t="s">
        <v>116</v>
      </c>
      <c r="C1934" s="355" t="s">
        <v>77</v>
      </c>
      <c r="D1934">
        <v>18135</v>
      </c>
      <c r="E1934" s="143">
        <v>68500</v>
      </c>
      <c r="F1934" s="117">
        <v>1404</v>
      </c>
      <c r="G1934" s="360" t="s">
        <v>295</v>
      </c>
      <c r="H1934" s="144">
        <f>bargiri[[#This Row],[میزان بارگیری شده]]*bargiri[[#This Row],[فی]]</f>
        <v>1242247500</v>
      </c>
      <c r="I1934" s="360">
        <f>IF(year=bargiri[[#This Row],[سال]],1,0)</f>
        <v>0</v>
      </c>
      <c r="J1934" s="360" t="str">
        <f>VLOOKUP(bargiri[[#This Row],[شماره پیش فاکتور]],invoice[],16,0)</f>
        <v>عادی</v>
      </c>
      <c r="K1934" s="252">
        <f>bargiri[[#This Row],[فی]]*bargiri[[#This Row],[میزان بارگیری شده]]</f>
        <v>1242247500</v>
      </c>
      <c r="Z1934" s="1"/>
    </row>
    <row r="1935" spans="1:26" ht="18.600000000000001">
      <c r="A1935" s="360" t="s">
        <v>332</v>
      </c>
      <c r="B1935" s="360" t="s">
        <v>107</v>
      </c>
      <c r="C1935" s="355" t="s">
        <v>50</v>
      </c>
      <c r="D1935">
        <v>17920</v>
      </c>
      <c r="E1935" s="143">
        <v>70000</v>
      </c>
      <c r="F1935" s="117">
        <v>1404</v>
      </c>
      <c r="G1935" s="360" t="s">
        <v>295</v>
      </c>
      <c r="H1935" s="144">
        <f>bargiri[[#This Row],[میزان بارگیری شده]]*bargiri[[#This Row],[فی]]</f>
        <v>1254400000</v>
      </c>
      <c r="I1935" s="360">
        <f>IF(year=bargiri[[#This Row],[سال]],1,0)</f>
        <v>0</v>
      </c>
      <c r="J1935" s="360" t="str">
        <f>VLOOKUP(bargiri[[#This Row],[شماره پیش فاکتور]],invoice[],16,0)</f>
        <v>عادی</v>
      </c>
      <c r="K1935" s="252">
        <f>bargiri[[#This Row],[فی]]*bargiri[[#This Row],[میزان بارگیری شده]]</f>
        <v>1254400000</v>
      </c>
      <c r="Z1935" s="1"/>
    </row>
    <row r="1936" spans="1:26" ht="18.600000000000001">
      <c r="A1936" s="360" t="s">
        <v>333</v>
      </c>
      <c r="B1936" s="360" t="s">
        <v>114</v>
      </c>
      <c r="C1936" s="355" t="s">
        <v>63</v>
      </c>
      <c r="D1936">
        <v>17985</v>
      </c>
      <c r="E1936" s="143">
        <v>75000</v>
      </c>
      <c r="F1936" s="117">
        <v>1404</v>
      </c>
      <c r="G1936" s="360" t="s">
        <v>295</v>
      </c>
      <c r="H1936" s="144">
        <f>bargiri[[#This Row],[میزان بارگیری شده]]*bargiri[[#This Row],[فی]]</f>
        <v>1348875000</v>
      </c>
      <c r="I1936" s="360">
        <f>IF(year=bargiri[[#This Row],[سال]],1,0)</f>
        <v>0</v>
      </c>
      <c r="J1936" s="360" t="str">
        <f>VLOOKUP(bargiri[[#This Row],[شماره پیش فاکتور]],invoice[],16,0)</f>
        <v>عادی</v>
      </c>
      <c r="K1936" s="252">
        <f>bargiri[[#This Row],[فی]]*bargiri[[#This Row],[میزان بارگیری شده]]</f>
        <v>1348875000</v>
      </c>
      <c r="Z1936" s="1"/>
    </row>
    <row r="1937" spans="1:26" ht="18.600000000000001">
      <c r="A1937" s="360" t="s">
        <v>333</v>
      </c>
      <c r="B1937" s="360" t="s">
        <v>118</v>
      </c>
      <c r="C1937" s="355" t="s">
        <v>84</v>
      </c>
      <c r="D1937">
        <v>20925</v>
      </c>
      <c r="E1937" s="143">
        <v>57273</v>
      </c>
      <c r="F1937" s="117">
        <v>1404</v>
      </c>
      <c r="G1937" s="360" t="s">
        <v>295</v>
      </c>
      <c r="H1937" s="144">
        <f>bargiri[[#This Row],[میزان بارگیری شده]]*bargiri[[#This Row],[فی]]</f>
        <v>1198437525</v>
      </c>
      <c r="I1937" s="360">
        <f>IF(year=bargiri[[#This Row],[سال]],1,0)</f>
        <v>0</v>
      </c>
      <c r="J1937" s="360" t="str">
        <f>VLOOKUP(bargiri[[#This Row],[شماره پیش فاکتور]],invoice[],16,0)</f>
        <v>عادی</v>
      </c>
      <c r="K1937" s="252">
        <f>bargiri[[#This Row],[فی]]*bargiri[[#This Row],[میزان بارگیری شده]]</f>
        <v>1198437525</v>
      </c>
      <c r="Z1937" s="1"/>
    </row>
    <row r="1938" spans="1:26" ht="18.600000000000001">
      <c r="A1938" s="360" t="s">
        <v>333</v>
      </c>
      <c r="B1938" s="360" t="s">
        <v>118</v>
      </c>
      <c r="C1938" s="355" t="s">
        <v>84</v>
      </c>
      <c r="D1938">
        <v>20655</v>
      </c>
      <c r="E1938" s="143">
        <v>57273</v>
      </c>
      <c r="F1938" s="117">
        <v>1404</v>
      </c>
      <c r="G1938" s="360" t="s">
        <v>295</v>
      </c>
      <c r="H1938" s="144">
        <f>bargiri[[#This Row],[میزان بارگیری شده]]*bargiri[[#This Row],[فی]]</f>
        <v>1182973815</v>
      </c>
      <c r="I1938" s="360">
        <f>IF(year=bargiri[[#This Row],[سال]],1,0)</f>
        <v>0</v>
      </c>
      <c r="J1938" s="360" t="str">
        <f>VLOOKUP(bargiri[[#This Row],[شماره پیش فاکتور]],invoice[],16,0)</f>
        <v>عادی</v>
      </c>
      <c r="K1938" s="252">
        <f>bargiri[[#This Row],[فی]]*bargiri[[#This Row],[میزان بارگیری شده]]</f>
        <v>1182973815</v>
      </c>
      <c r="Z1938" s="1"/>
    </row>
    <row r="1939" spans="1:26" ht="18.600000000000001">
      <c r="A1939" s="360" t="s">
        <v>334</v>
      </c>
      <c r="B1939" s="360" t="s">
        <v>102</v>
      </c>
      <c r="C1939" s="355" t="s">
        <v>24</v>
      </c>
      <c r="D1939">
        <v>11490</v>
      </c>
      <c r="E1939" s="143">
        <v>70000</v>
      </c>
      <c r="F1939" s="117">
        <v>1404</v>
      </c>
      <c r="G1939" s="360" t="s">
        <v>295</v>
      </c>
      <c r="H1939" s="144">
        <f>bargiri[[#This Row],[میزان بارگیری شده]]*bargiri[[#This Row],[فی]]</f>
        <v>804300000</v>
      </c>
      <c r="I1939" s="360">
        <f>IF(year=bargiri[[#This Row],[سال]],1,0)</f>
        <v>0</v>
      </c>
      <c r="J1939" s="360" t="str">
        <f>VLOOKUP(bargiri[[#This Row],[شماره پیش فاکتور]],invoice[],16,0)</f>
        <v>عادی</v>
      </c>
      <c r="K1939" s="252">
        <f>bargiri[[#This Row],[فی]]*bargiri[[#This Row],[میزان بارگیری شده]]</f>
        <v>804300000</v>
      </c>
      <c r="Z1939" s="1"/>
    </row>
    <row r="1940" spans="1:26" ht="18.600000000000001">
      <c r="A1940" s="360" t="s">
        <v>334</v>
      </c>
      <c r="B1940" s="360" t="s">
        <v>120</v>
      </c>
      <c r="C1940" s="355" t="s">
        <v>88</v>
      </c>
      <c r="D1940">
        <v>9100</v>
      </c>
      <c r="E1940" s="143">
        <v>80000</v>
      </c>
      <c r="F1940" s="117">
        <v>1404</v>
      </c>
      <c r="G1940" s="360" t="s">
        <v>295</v>
      </c>
      <c r="H1940" s="144">
        <f>bargiri[[#This Row],[میزان بارگیری شده]]*bargiri[[#This Row],[فی]]</f>
        <v>728000000</v>
      </c>
      <c r="I1940" s="360">
        <f>IF(year=bargiri[[#This Row],[سال]],1,0)</f>
        <v>0</v>
      </c>
      <c r="J1940" s="360" t="str">
        <f>VLOOKUP(bargiri[[#This Row],[شماره پیش فاکتور]],invoice[],16,0)</f>
        <v>عادی</v>
      </c>
      <c r="K1940" s="252">
        <f>bargiri[[#This Row],[فی]]*bargiri[[#This Row],[میزان بارگیری شده]]</f>
        <v>728000000</v>
      </c>
      <c r="Z1940" s="1"/>
    </row>
    <row r="1941" spans="1:26" ht="18.600000000000001">
      <c r="A1941" s="360" t="s">
        <v>335</v>
      </c>
      <c r="B1941" s="360" t="s">
        <v>120</v>
      </c>
      <c r="C1941" s="355" t="s">
        <v>88</v>
      </c>
      <c r="D1941">
        <v>9055</v>
      </c>
      <c r="E1941" s="143">
        <v>80000</v>
      </c>
      <c r="F1941" s="117">
        <v>1404</v>
      </c>
      <c r="G1941" s="360" t="s">
        <v>295</v>
      </c>
      <c r="H1941" s="144">
        <f>bargiri[[#This Row],[میزان بارگیری شده]]*bargiri[[#This Row],[فی]]</f>
        <v>724400000</v>
      </c>
      <c r="I1941" s="360">
        <f>IF(year=bargiri[[#This Row],[سال]],1,0)</f>
        <v>0</v>
      </c>
      <c r="J1941" s="360" t="str">
        <f>VLOOKUP(bargiri[[#This Row],[شماره پیش فاکتور]],invoice[],16,0)</f>
        <v>عادی</v>
      </c>
      <c r="K1941" s="252">
        <f>bargiri[[#This Row],[فی]]*bargiri[[#This Row],[میزان بارگیری شده]]</f>
        <v>724400000</v>
      </c>
      <c r="Z1941" s="1"/>
    </row>
    <row r="1942" spans="1:26" ht="18.600000000000001">
      <c r="A1942" s="360" t="s">
        <v>335</v>
      </c>
      <c r="B1942" s="360" t="s">
        <v>118</v>
      </c>
      <c r="C1942" s="355" t="s">
        <v>84</v>
      </c>
      <c r="D1942">
        <v>20840</v>
      </c>
      <c r="E1942" s="143">
        <v>57273</v>
      </c>
      <c r="F1942" s="117">
        <v>1404</v>
      </c>
      <c r="G1942" s="360" t="s">
        <v>295</v>
      </c>
      <c r="H1942" s="144">
        <f>bargiri[[#This Row],[میزان بارگیری شده]]*bargiri[[#This Row],[فی]]</f>
        <v>1193569320</v>
      </c>
      <c r="I1942" s="360">
        <f>IF(year=bargiri[[#This Row],[سال]],1,0)</f>
        <v>0</v>
      </c>
      <c r="J1942" s="360" t="str">
        <f>VLOOKUP(bargiri[[#This Row],[شماره پیش فاکتور]],invoice[],16,0)</f>
        <v>عادی</v>
      </c>
      <c r="K1942" s="252">
        <f>bargiri[[#This Row],[فی]]*bargiri[[#This Row],[میزان بارگیری شده]]</f>
        <v>1193569320</v>
      </c>
      <c r="Z1942" s="1"/>
    </row>
    <row r="1943" spans="1:26" ht="18.600000000000001">
      <c r="A1943" s="360" t="s">
        <v>335</v>
      </c>
      <c r="B1943" s="360" t="s">
        <v>113</v>
      </c>
      <c r="C1943" s="355" t="s">
        <v>61</v>
      </c>
      <c r="D1943">
        <v>18125</v>
      </c>
      <c r="E1943" s="143">
        <v>75000</v>
      </c>
      <c r="F1943" s="117">
        <v>1404</v>
      </c>
      <c r="G1943" s="360" t="s">
        <v>295</v>
      </c>
      <c r="H1943" s="144">
        <f>bargiri[[#This Row],[میزان بارگیری شده]]*bargiri[[#This Row],[فی]]</f>
        <v>1359375000</v>
      </c>
      <c r="I1943" s="360">
        <f>IF(year=bargiri[[#This Row],[سال]],1,0)</f>
        <v>0</v>
      </c>
      <c r="J1943" s="360" t="str">
        <f>VLOOKUP(bargiri[[#This Row],[شماره پیش فاکتور]],invoice[],16,0)</f>
        <v>عادی</v>
      </c>
      <c r="K1943" s="252">
        <f>bargiri[[#This Row],[فی]]*bargiri[[#This Row],[میزان بارگیری شده]]</f>
        <v>1359375000</v>
      </c>
      <c r="Z1943" s="1"/>
    </row>
    <row r="1944" spans="1:26" ht="18.600000000000001">
      <c r="A1944" s="360" t="s">
        <v>336</v>
      </c>
      <c r="B1944" s="360" t="s">
        <v>107</v>
      </c>
      <c r="C1944" s="355" t="s">
        <v>50</v>
      </c>
      <c r="D1944">
        <v>18895</v>
      </c>
      <c r="E1944" s="143">
        <v>70000</v>
      </c>
      <c r="F1944" s="117">
        <v>1404</v>
      </c>
      <c r="G1944" s="360" t="s">
        <v>295</v>
      </c>
      <c r="H1944" s="144">
        <f>bargiri[[#This Row],[میزان بارگیری شده]]*bargiri[[#This Row],[فی]]</f>
        <v>1322650000</v>
      </c>
      <c r="I1944" s="360">
        <f>IF(year=bargiri[[#This Row],[سال]],1,0)</f>
        <v>0</v>
      </c>
      <c r="J1944" s="360" t="str">
        <f>VLOOKUP(bargiri[[#This Row],[شماره پیش فاکتور]],invoice[],16,0)</f>
        <v>عادی</v>
      </c>
      <c r="K1944" s="252">
        <f>bargiri[[#This Row],[فی]]*bargiri[[#This Row],[میزان بارگیری شده]]</f>
        <v>1322650000</v>
      </c>
      <c r="Z1944" s="1"/>
    </row>
    <row r="1945" spans="1:26" ht="18.600000000000001">
      <c r="A1945" s="360" t="s">
        <v>337</v>
      </c>
      <c r="B1945" s="360" t="s">
        <v>116</v>
      </c>
      <c r="C1945" s="355" t="s">
        <v>77</v>
      </c>
      <c r="D1945">
        <v>19925</v>
      </c>
      <c r="E1945" s="143">
        <v>68500</v>
      </c>
      <c r="F1945" s="117">
        <v>1404</v>
      </c>
      <c r="G1945" s="360" t="s">
        <v>295</v>
      </c>
      <c r="H1945" s="144">
        <f>bargiri[[#This Row],[میزان بارگیری شده]]*bargiri[[#This Row],[فی]]</f>
        <v>1364862500</v>
      </c>
      <c r="I1945" s="360">
        <f>IF(year=bargiri[[#This Row],[سال]],1,0)</f>
        <v>0</v>
      </c>
      <c r="J1945" s="360" t="str">
        <f>VLOOKUP(bargiri[[#This Row],[شماره پیش فاکتور]],invoice[],16,0)</f>
        <v>عادی</v>
      </c>
      <c r="K1945" s="252">
        <f>bargiri[[#This Row],[فی]]*bargiri[[#This Row],[میزان بارگیری شده]]</f>
        <v>1364862500</v>
      </c>
      <c r="Z1945" s="1"/>
    </row>
    <row r="1946" spans="1:26" ht="18.600000000000001">
      <c r="A1946" s="360" t="s">
        <v>337</v>
      </c>
      <c r="B1946" s="360" t="s">
        <v>107</v>
      </c>
      <c r="C1946" s="355" t="s">
        <v>50</v>
      </c>
      <c r="D1946">
        <v>18895</v>
      </c>
      <c r="E1946" s="143">
        <v>70000</v>
      </c>
      <c r="F1946" s="117">
        <v>1404</v>
      </c>
      <c r="G1946" s="360" t="s">
        <v>295</v>
      </c>
      <c r="H1946" s="144">
        <f>bargiri[[#This Row],[میزان بارگیری شده]]*bargiri[[#This Row],[فی]]</f>
        <v>1322650000</v>
      </c>
      <c r="I1946" s="360">
        <f>IF(year=bargiri[[#This Row],[سال]],1,0)</f>
        <v>0</v>
      </c>
      <c r="J1946" s="360" t="str">
        <f>VLOOKUP(bargiri[[#This Row],[شماره پیش فاکتور]],invoice[],16,0)</f>
        <v>عادی</v>
      </c>
      <c r="K1946" s="252">
        <f>bargiri[[#This Row],[فی]]*bargiri[[#This Row],[میزان بارگیری شده]]</f>
        <v>1322650000</v>
      </c>
      <c r="Z1946" s="1"/>
    </row>
    <row r="1947" spans="1:26" ht="18.600000000000001">
      <c r="A1947" s="360" t="s">
        <v>337</v>
      </c>
      <c r="B1947" s="360" t="s">
        <v>98</v>
      </c>
      <c r="C1947" s="355" t="s">
        <v>4</v>
      </c>
      <c r="D1947">
        <v>22055</v>
      </c>
      <c r="E1947" s="143">
        <v>65000</v>
      </c>
      <c r="F1947" s="117">
        <v>1404</v>
      </c>
      <c r="G1947" s="360" t="s">
        <v>295</v>
      </c>
      <c r="H1947" s="144">
        <f>bargiri[[#This Row],[میزان بارگیری شده]]*bargiri[[#This Row],[فی]]</f>
        <v>1433575000</v>
      </c>
      <c r="I1947" s="360">
        <f>IF(year=bargiri[[#This Row],[سال]],1,0)</f>
        <v>0</v>
      </c>
      <c r="J1947" s="360" t="str">
        <f>VLOOKUP(bargiri[[#This Row],[شماره پیش فاکتور]],invoice[],16,0)</f>
        <v>تعادلی</v>
      </c>
      <c r="K1947" s="252">
        <f>bargiri[[#This Row],[فی]]*bargiri[[#This Row],[میزان بارگیری شده]]</f>
        <v>1433575000</v>
      </c>
      <c r="Z1947" s="1"/>
    </row>
    <row r="1948" spans="1:26" ht="18.600000000000001">
      <c r="A1948" s="360" t="s">
        <v>337</v>
      </c>
      <c r="B1948" s="360" t="s">
        <v>113</v>
      </c>
      <c r="C1948" s="355" t="s">
        <v>61</v>
      </c>
      <c r="D1948">
        <v>18830</v>
      </c>
      <c r="E1948" s="143">
        <v>75000</v>
      </c>
      <c r="F1948" s="117">
        <v>1404</v>
      </c>
      <c r="G1948" s="360" t="s">
        <v>295</v>
      </c>
      <c r="H1948" s="144">
        <f>bargiri[[#This Row],[میزان بارگیری شده]]*bargiri[[#This Row],[فی]]</f>
        <v>1412250000</v>
      </c>
      <c r="I1948" s="360">
        <f>IF(year=bargiri[[#This Row],[سال]],1,0)</f>
        <v>0</v>
      </c>
      <c r="J1948" s="360" t="str">
        <f>VLOOKUP(bargiri[[#This Row],[شماره پیش فاکتور]],invoice[],16,0)</f>
        <v>عادی</v>
      </c>
      <c r="K1948" s="252">
        <f>bargiri[[#This Row],[فی]]*bargiri[[#This Row],[میزان بارگیری شده]]</f>
        <v>1412250000</v>
      </c>
      <c r="Z1948" s="1"/>
    </row>
    <row r="1949" spans="1:26" ht="18.600000000000001">
      <c r="A1949" s="360" t="s">
        <v>338</v>
      </c>
      <c r="B1949" s="360" t="s">
        <v>106</v>
      </c>
      <c r="C1949" s="355" t="s">
        <v>45</v>
      </c>
      <c r="D1949">
        <v>5240</v>
      </c>
      <c r="E1949" s="143">
        <v>80000</v>
      </c>
      <c r="F1949" s="117">
        <v>1404</v>
      </c>
      <c r="G1949" s="360" t="s">
        <v>295</v>
      </c>
      <c r="H1949" s="144">
        <f>bargiri[[#This Row],[میزان بارگیری شده]]*bargiri[[#This Row],[فی]]</f>
        <v>419200000</v>
      </c>
      <c r="I1949" s="360">
        <f>IF(year=bargiri[[#This Row],[سال]],1,0)</f>
        <v>0</v>
      </c>
      <c r="J1949" s="360" t="str">
        <f>VLOOKUP(bargiri[[#This Row],[شماره پیش فاکتور]],invoice[],16,0)</f>
        <v>عادی</v>
      </c>
      <c r="K1949" s="252">
        <f>bargiri[[#This Row],[فی]]*bargiri[[#This Row],[میزان بارگیری شده]]</f>
        <v>419200000</v>
      </c>
      <c r="Z1949" s="1"/>
    </row>
    <row r="1950" spans="1:26" ht="18.600000000000001">
      <c r="A1950" s="360" t="s">
        <v>338</v>
      </c>
      <c r="B1950" s="360" t="s">
        <v>102</v>
      </c>
      <c r="C1950" s="355" t="s">
        <v>24</v>
      </c>
      <c r="D1950">
        <v>11710</v>
      </c>
      <c r="E1950" s="143">
        <v>70000</v>
      </c>
      <c r="F1950" s="117">
        <v>1404</v>
      </c>
      <c r="G1950" s="360" t="s">
        <v>295</v>
      </c>
      <c r="H1950" s="144">
        <f>bargiri[[#This Row],[میزان بارگیری شده]]*bargiri[[#This Row],[فی]]</f>
        <v>819700000</v>
      </c>
      <c r="I1950" s="360">
        <f>IF(year=bargiri[[#This Row],[سال]],1,0)</f>
        <v>0</v>
      </c>
      <c r="J1950" s="360" t="str">
        <f>VLOOKUP(bargiri[[#This Row],[شماره پیش فاکتور]],invoice[],16,0)</f>
        <v>عادی</v>
      </c>
      <c r="K1950" s="252">
        <f>bargiri[[#This Row],[فی]]*bargiri[[#This Row],[میزان بارگیری شده]]</f>
        <v>819700000</v>
      </c>
      <c r="Z1950" s="1"/>
    </row>
    <row r="1951" spans="1:26" ht="18.600000000000001">
      <c r="A1951" s="360" t="s">
        <v>339</v>
      </c>
      <c r="B1951" s="360" t="s">
        <v>118</v>
      </c>
      <c r="C1951" s="355" t="s">
        <v>84</v>
      </c>
      <c r="D1951">
        <v>20575</v>
      </c>
      <c r="E1951" s="143">
        <v>57273</v>
      </c>
      <c r="F1951" s="117">
        <v>1404</v>
      </c>
      <c r="G1951" s="360" t="s">
        <v>295</v>
      </c>
      <c r="H1951" s="144">
        <f>bargiri[[#This Row],[میزان بارگیری شده]]*bargiri[[#This Row],[فی]]</f>
        <v>1178391975</v>
      </c>
      <c r="I1951" s="360">
        <f>IF(year=bargiri[[#This Row],[سال]],1,0)</f>
        <v>0</v>
      </c>
      <c r="J1951" s="360" t="str">
        <f>VLOOKUP(bargiri[[#This Row],[شماره پیش فاکتور]],invoice[],16,0)</f>
        <v>عادی</v>
      </c>
      <c r="K1951" s="252">
        <f>bargiri[[#This Row],[فی]]*bargiri[[#This Row],[میزان بارگیری شده]]</f>
        <v>1178391975</v>
      </c>
      <c r="Z1951" s="1"/>
    </row>
    <row r="1952" spans="1:26" ht="18.600000000000001">
      <c r="A1952" s="360" t="s">
        <v>339</v>
      </c>
      <c r="B1952" s="360" t="s">
        <v>118</v>
      </c>
      <c r="C1952" s="355" t="s">
        <v>84</v>
      </c>
      <c r="D1952">
        <v>20455</v>
      </c>
      <c r="E1952" s="143">
        <v>57273</v>
      </c>
      <c r="F1952" s="117">
        <v>1404</v>
      </c>
      <c r="G1952" s="360" t="s">
        <v>295</v>
      </c>
      <c r="H1952" s="144">
        <f>bargiri[[#This Row],[میزان بارگیری شده]]*bargiri[[#This Row],[فی]]</f>
        <v>1171519215</v>
      </c>
      <c r="I1952" s="360">
        <f>IF(year=bargiri[[#This Row],[سال]],1,0)</f>
        <v>0</v>
      </c>
      <c r="J1952" s="360" t="str">
        <f>VLOOKUP(bargiri[[#This Row],[شماره پیش فاکتور]],invoice[],16,0)</f>
        <v>عادی</v>
      </c>
      <c r="K1952" s="252">
        <f>bargiri[[#This Row],[فی]]*bargiri[[#This Row],[میزان بارگیری شده]]</f>
        <v>1171519215</v>
      </c>
      <c r="Z1952" s="1"/>
    </row>
    <row r="1953" spans="1:26" ht="18.600000000000001">
      <c r="A1953" s="360" t="s">
        <v>339</v>
      </c>
      <c r="B1953" s="360" t="s">
        <v>118</v>
      </c>
      <c r="C1953" s="355" t="s">
        <v>84</v>
      </c>
      <c r="D1953">
        <v>20460</v>
      </c>
      <c r="E1953" s="143">
        <v>57273</v>
      </c>
      <c r="F1953" s="117">
        <v>1404</v>
      </c>
      <c r="G1953" s="360" t="s">
        <v>295</v>
      </c>
      <c r="H1953" s="144">
        <f>bargiri[[#This Row],[میزان بارگیری شده]]*bargiri[[#This Row],[فی]]</f>
        <v>1171805580</v>
      </c>
      <c r="I1953" s="360">
        <f>IF(year=bargiri[[#This Row],[سال]],1,0)</f>
        <v>0</v>
      </c>
      <c r="J1953" s="360" t="str">
        <f>VLOOKUP(bargiri[[#This Row],[شماره پیش فاکتور]],invoice[],16,0)</f>
        <v>عادی</v>
      </c>
      <c r="K1953" s="252">
        <f>bargiri[[#This Row],[فی]]*bargiri[[#This Row],[میزان بارگیری شده]]</f>
        <v>1171805580</v>
      </c>
      <c r="Z1953" s="1"/>
    </row>
    <row r="1954" spans="1:26" ht="18.600000000000001">
      <c r="A1954" s="360" t="s">
        <v>339</v>
      </c>
      <c r="B1954" s="360" t="s">
        <v>118</v>
      </c>
      <c r="C1954" s="355" t="s">
        <v>84</v>
      </c>
      <c r="D1954">
        <v>20290</v>
      </c>
      <c r="E1954" s="143">
        <v>57273</v>
      </c>
      <c r="F1954" s="117">
        <v>1404</v>
      </c>
      <c r="G1954" s="360" t="s">
        <v>295</v>
      </c>
      <c r="H1954" s="144">
        <f>bargiri[[#This Row],[میزان بارگیری شده]]*bargiri[[#This Row],[فی]]</f>
        <v>1162069170</v>
      </c>
      <c r="I1954" s="360">
        <f>IF(year=bargiri[[#This Row],[سال]],1,0)</f>
        <v>0</v>
      </c>
      <c r="J1954" s="360" t="str">
        <f>VLOOKUP(bargiri[[#This Row],[شماره پیش فاکتور]],invoice[],16,0)</f>
        <v>عادی</v>
      </c>
      <c r="K1954" s="252">
        <f>bargiri[[#This Row],[فی]]*bargiri[[#This Row],[میزان بارگیری شده]]</f>
        <v>1162069170</v>
      </c>
      <c r="Z1954" s="1"/>
    </row>
    <row r="1955" spans="1:26" ht="18.600000000000001">
      <c r="A1955" s="360" t="s">
        <v>339</v>
      </c>
      <c r="B1955" s="360" t="s">
        <v>120</v>
      </c>
      <c r="C1955" s="355" t="s">
        <v>88</v>
      </c>
      <c r="D1955">
        <v>9005</v>
      </c>
      <c r="E1955" s="143">
        <v>80000</v>
      </c>
      <c r="F1955" s="117">
        <v>1404</v>
      </c>
      <c r="G1955" s="360" t="s">
        <v>295</v>
      </c>
      <c r="H1955" s="144">
        <f>bargiri[[#This Row],[میزان بارگیری شده]]*bargiri[[#This Row],[فی]]</f>
        <v>720400000</v>
      </c>
      <c r="I1955" s="360">
        <f>IF(year=bargiri[[#This Row],[سال]],1,0)</f>
        <v>0</v>
      </c>
      <c r="J1955" s="360" t="str">
        <f>VLOOKUP(bargiri[[#This Row],[شماره پیش فاکتور]],invoice[],16,0)</f>
        <v>عادی</v>
      </c>
      <c r="K1955" s="252">
        <f>bargiri[[#This Row],[فی]]*bargiri[[#This Row],[میزان بارگیری شده]]</f>
        <v>720400000</v>
      </c>
      <c r="Z1955" s="1"/>
    </row>
    <row r="1956" spans="1:26" ht="18.600000000000001">
      <c r="A1956" s="360" t="s">
        <v>339</v>
      </c>
      <c r="B1956" s="360" t="s">
        <v>107</v>
      </c>
      <c r="C1956" s="355" t="s">
        <v>50</v>
      </c>
      <c r="D1956">
        <v>18995</v>
      </c>
      <c r="E1956" s="143">
        <v>70000</v>
      </c>
      <c r="F1956" s="117">
        <v>1404</v>
      </c>
      <c r="G1956" s="360" t="s">
        <v>295</v>
      </c>
      <c r="H1956" s="144">
        <f>bargiri[[#This Row],[میزان بارگیری شده]]*bargiri[[#This Row],[فی]]</f>
        <v>1329650000</v>
      </c>
      <c r="I1956" s="360">
        <f>IF(year=bargiri[[#This Row],[سال]],1,0)</f>
        <v>0</v>
      </c>
      <c r="J1956" s="360" t="str">
        <f>VLOOKUP(bargiri[[#This Row],[شماره پیش فاکتور]],invoice[],16,0)</f>
        <v>عادی</v>
      </c>
      <c r="K1956" s="252">
        <f>bargiri[[#This Row],[فی]]*bargiri[[#This Row],[میزان بارگیری شده]]</f>
        <v>1329650000</v>
      </c>
      <c r="Z1956" s="1"/>
    </row>
    <row r="1957" spans="1:26" ht="18.600000000000001">
      <c r="A1957" s="360" t="s">
        <v>339</v>
      </c>
      <c r="B1957" s="360" t="s">
        <v>108</v>
      </c>
      <c r="C1957" s="355" t="s">
        <v>52</v>
      </c>
      <c r="D1957">
        <v>13605</v>
      </c>
      <c r="E1957" s="143">
        <v>90000</v>
      </c>
      <c r="F1957" s="117">
        <v>1404</v>
      </c>
      <c r="G1957" s="360" t="s">
        <v>295</v>
      </c>
      <c r="H1957" s="144">
        <f>bargiri[[#This Row],[میزان بارگیری شده]]*bargiri[[#This Row],[فی]]</f>
        <v>1224450000</v>
      </c>
      <c r="I1957" s="360">
        <f>IF(year=bargiri[[#This Row],[سال]],1,0)</f>
        <v>0</v>
      </c>
      <c r="J1957" s="360" t="str">
        <f>VLOOKUP(bargiri[[#This Row],[شماره پیش فاکتور]],invoice[],16,0)</f>
        <v>عادی</v>
      </c>
      <c r="K1957" s="252">
        <f>bargiri[[#This Row],[فی]]*bargiri[[#This Row],[میزان بارگیری شده]]</f>
        <v>1224450000</v>
      </c>
      <c r="Z1957" s="1"/>
    </row>
    <row r="1958" spans="1:26" ht="18.600000000000001">
      <c r="A1958" s="360" t="s">
        <v>340</v>
      </c>
      <c r="B1958" s="360" t="s">
        <v>116</v>
      </c>
      <c r="C1958" s="355" t="s">
        <v>77</v>
      </c>
      <c r="D1958">
        <v>17900</v>
      </c>
      <c r="E1958" s="143">
        <v>68500</v>
      </c>
      <c r="F1958" s="117">
        <v>1404</v>
      </c>
      <c r="G1958" s="360" t="s">
        <v>295</v>
      </c>
      <c r="H1958" s="144">
        <f>bargiri[[#This Row],[میزان بارگیری شده]]*bargiri[[#This Row],[فی]]</f>
        <v>1226150000</v>
      </c>
      <c r="I1958" s="360">
        <f>IF(year=bargiri[[#This Row],[سال]],1,0)</f>
        <v>0</v>
      </c>
      <c r="J1958" s="360" t="str">
        <f>VLOOKUP(bargiri[[#This Row],[شماره پیش فاکتور]],invoice[],16,0)</f>
        <v>عادی</v>
      </c>
      <c r="K1958" s="252">
        <f>bargiri[[#This Row],[فی]]*bargiri[[#This Row],[میزان بارگیری شده]]</f>
        <v>1226150000</v>
      </c>
      <c r="Z1958" s="1"/>
    </row>
    <row r="1959" spans="1:26" ht="18.600000000000001">
      <c r="A1959" s="360" t="s">
        <v>340</v>
      </c>
      <c r="B1959" s="360" t="s">
        <v>102</v>
      </c>
      <c r="C1959" s="355" t="s">
        <v>24</v>
      </c>
      <c r="D1959">
        <v>11795</v>
      </c>
      <c r="E1959" s="143">
        <v>70000</v>
      </c>
      <c r="F1959" s="117">
        <v>1404</v>
      </c>
      <c r="G1959" s="360" t="s">
        <v>295</v>
      </c>
      <c r="H1959" s="144">
        <f>bargiri[[#This Row],[میزان بارگیری شده]]*bargiri[[#This Row],[فی]]</f>
        <v>825650000</v>
      </c>
      <c r="I1959" s="360">
        <f>IF(year=bargiri[[#This Row],[سال]],1,0)</f>
        <v>0</v>
      </c>
      <c r="J1959" s="360" t="str">
        <f>VLOOKUP(bargiri[[#This Row],[شماره پیش فاکتور]],invoice[],16,0)</f>
        <v>عادی</v>
      </c>
      <c r="K1959" s="252">
        <f>bargiri[[#This Row],[فی]]*bargiri[[#This Row],[میزان بارگیری شده]]</f>
        <v>825650000</v>
      </c>
      <c r="Z1959" s="1"/>
    </row>
    <row r="1960" spans="1:26" ht="18.600000000000001">
      <c r="A1960" s="360" t="s">
        <v>340</v>
      </c>
      <c r="B1960" s="360" t="s">
        <v>118</v>
      </c>
      <c r="C1960" s="355" t="s">
        <v>84</v>
      </c>
      <c r="D1960">
        <v>20560</v>
      </c>
      <c r="E1960" s="143">
        <v>57273</v>
      </c>
      <c r="F1960" s="117">
        <v>1404</v>
      </c>
      <c r="G1960" s="360" t="s">
        <v>295</v>
      </c>
      <c r="H1960" s="144">
        <f>bargiri[[#This Row],[میزان بارگیری شده]]*bargiri[[#This Row],[فی]]</f>
        <v>1177532880</v>
      </c>
      <c r="I1960" s="360">
        <f>IF(year=bargiri[[#This Row],[سال]],1,0)</f>
        <v>0</v>
      </c>
      <c r="J1960" s="360" t="str">
        <f>VLOOKUP(bargiri[[#This Row],[شماره پیش فاکتور]],invoice[],16,0)</f>
        <v>عادی</v>
      </c>
      <c r="K1960" s="252">
        <f>bargiri[[#This Row],[فی]]*bargiri[[#This Row],[میزان بارگیری شده]]</f>
        <v>1177532880</v>
      </c>
      <c r="Z1960" s="1"/>
    </row>
    <row r="1961" spans="1:26" ht="18.600000000000001">
      <c r="A1961" s="360" t="s">
        <v>340</v>
      </c>
      <c r="B1961" s="360" t="s">
        <v>118</v>
      </c>
      <c r="C1961" s="355" t="s">
        <v>84</v>
      </c>
      <c r="D1961">
        <v>20455</v>
      </c>
      <c r="E1961" s="143">
        <v>57273</v>
      </c>
      <c r="F1961" s="117">
        <v>1404</v>
      </c>
      <c r="G1961" s="360" t="s">
        <v>295</v>
      </c>
      <c r="H1961" s="144">
        <f>bargiri[[#This Row],[میزان بارگیری شده]]*bargiri[[#This Row],[فی]]</f>
        <v>1171519215</v>
      </c>
      <c r="I1961" s="360">
        <f>IF(year=bargiri[[#This Row],[سال]],1,0)</f>
        <v>0</v>
      </c>
      <c r="J1961" s="360" t="str">
        <f>VLOOKUP(bargiri[[#This Row],[شماره پیش فاکتور]],invoice[],16,0)</f>
        <v>عادی</v>
      </c>
      <c r="K1961" s="252">
        <f>bargiri[[#This Row],[فی]]*bargiri[[#This Row],[میزان بارگیری شده]]</f>
        <v>1171519215</v>
      </c>
      <c r="Z1961" s="1"/>
    </row>
    <row r="1962" spans="1:26" ht="18.600000000000001">
      <c r="A1962" s="360" t="s">
        <v>340</v>
      </c>
      <c r="B1962" s="360" t="s">
        <v>118</v>
      </c>
      <c r="C1962" s="355" t="s">
        <v>84</v>
      </c>
      <c r="D1962">
        <v>20635</v>
      </c>
      <c r="E1962" s="143">
        <v>57273</v>
      </c>
      <c r="F1962" s="117">
        <v>1404</v>
      </c>
      <c r="G1962" s="360" t="s">
        <v>295</v>
      </c>
      <c r="H1962" s="144">
        <f>bargiri[[#This Row],[میزان بارگیری شده]]*bargiri[[#This Row],[فی]]</f>
        <v>1181828355</v>
      </c>
      <c r="I1962" s="360">
        <f>IF(year=bargiri[[#This Row],[سال]],1,0)</f>
        <v>0</v>
      </c>
      <c r="J1962" s="360" t="str">
        <f>VLOOKUP(bargiri[[#This Row],[شماره پیش فاکتور]],invoice[],16,0)</f>
        <v>عادی</v>
      </c>
      <c r="K1962" s="252">
        <f>bargiri[[#This Row],[فی]]*bargiri[[#This Row],[میزان بارگیری شده]]</f>
        <v>1181828355</v>
      </c>
      <c r="Z1962" s="1"/>
    </row>
    <row r="1963" spans="1:26" ht="18.600000000000001">
      <c r="A1963" s="360" t="s">
        <v>232</v>
      </c>
      <c r="B1963" s="360" t="s">
        <v>106</v>
      </c>
      <c r="C1963" s="355" t="s">
        <v>45</v>
      </c>
      <c r="D1963">
        <v>5440</v>
      </c>
      <c r="E1963" s="143">
        <v>80000</v>
      </c>
      <c r="F1963" s="117">
        <v>1404</v>
      </c>
      <c r="G1963" s="360" t="s">
        <v>295</v>
      </c>
      <c r="H1963" s="144">
        <f>bargiri[[#This Row],[میزان بارگیری شده]]*bargiri[[#This Row],[فی]]</f>
        <v>435200000</v>
      </c>
      <c r="I1963" s="360">
        <f>IF(year=bargiri[[#This Row],[سال]],1,0)</f>
        <v>0</v>
      </c>
      <c r="J1963" s="360" t="str">
        <f>VLOOKUP(bargiri[[#This Row],[شماره پیش فاکتور]],invoice[],16,0)</f>
        <v>عادی</v>
      </c>
      <c r="K1963" s="252">
        <f>bargiri[[#This Row],[فی]]*bargiri[[#This Row],[میزان بارگیری شده]]</f>
        <v>435200000</v>
      </c>
      <c r="Z1963" s="1"/>
    </row>
    <row r="1964" spans="1:26" ht="18.600000000000001">
      <c r="A1964" s="360" t="s">
        <v>232</v>
      </c>
      <c r="B1964" s="360" t="s">
        <v>110</v>
      </c>
      <c r="C1964" s="355" t="s">
        <v>57</v>
      </c>
      <c r="D1964">
        <v>9430</v>
      </c>
      <c r="E1964" s="143">
        <v>78000</v>
      </c>
      <c r="F1964" s="117">
        <v>1404</v>
      </c>
      <c r="G1964" s="360" t="s">
        <v>295</v>
      </c>
      <c r="H1964" s="144">
        <f>bargiri[[#This Row],[میزان بارگیری شده]]*bargiri[[#This Row],[فی]]</f>
        <v>735540000</v>
      </c>
      <c r="I1964" s="360">
        <f>IF(year=bargiri[[#This Row],[سال]],1,0)</f>
        <v>0</v>
      </c>
      <c r="J1964" s="360" t="str">
        <f>VLOOKUP(bargiri[[#This Row],[شماره پیش فاکتور]],invoice[],16,0)</f>
        <v>عادی</v>
      </c>
      <c r="K1964" s="252">
        <f>bargiri[[#This Row],[فی]]*bargiri[[#This Row],[میزان بارگیری شده]]</f>
        <v>735540000</v>
      </c>
      <c r="Z1964" s="1"/>
    </row>
    <row r="1965" spans="1:26" ht="18.600000000000001">
      <c r="A1965" s="360" t="s">
        <v>232</v>
      </c>
      <c r="B1965" s="360" t="s">
        <v>103</v>
      </c>
      <c r="C1965" s="355" t="s">
        <v>29</v>
      </c>
      <c r="D1965">
        <v>7405</v>
      </c>
      <c r="E1965" s="143">
        <v>75000</v>
      </c>
      <c r="F1965" s="117">
        <v>1404</v>
      </c>
      <c r="G1965" s="360" t="s">
        <v>295</v>
      </c>
      <c r="H1965" s="144">
        <f>bargiri[[#This Row],[میزان بارگیری شده]]*bargiri[[#This Row],[فی]]</f>
        <v>555375000</v>
      </c>
      <c r="I1965" s="360">
        <f>IF(year=bargiri[[#This Row],[سال]],1,0)</f>
        <v>0</v>
      </c>
      <c r="J1965" s="360" t="str">
        <f>VLOOKUP(bargiri[[#This Row],[شماره پیش فاکتور]],invoice[],16,0)</f>
        <v>عادی</v>
      </c>
      <c r="K1965" s="252">
        <f>bargiri[[#This Row],[فی]]*bargiri[[#This Row],[میزان بارگیری شده]]</f>
        <v>555375000</v>
      </c>
      <c r="Z1965" s="1"/>
    </row>
    <row r="1966" spans="1:26" ht="18.600000000000001">
      <c r="A1966" s="360" t="s">
        <v>232</v>
      </c>
      <c r="B1966" s="360" t="s">
        <v>106</v>
      </c>
      <c r="C1966" s="355" t="s">
        <v>45</v>
      </c>
      <c r="D1966">
        <v>5410</v>
      </c>
      <c r="E1966" s="143">
        <v>80000</v>
      </c>
      <c r="F1966" s="117">
        <v>1404</v>
      </c>
      <c r="G1966" s="360" t="s">
        <v>295</v>
      </c>
      <c r="H1966" s="144">
        <f>bargiri[[#This Row],[میزان بارگیری شده]]*bargiri[[#This Row],[فی]]</f>
        <v>432800000</v>
      </c>
      <c r="I1966" s="360">
        <f>IF(year=bargiri[[#This Row],[سال]],1,0)</f>
        <v>0</v>
      </c>
      <c r="J1966" s="360" t="str">
        <f>VLOOKUP(bargiri[[#This Row],[شماره پیش فاکتور]],invoice[],16,0)</f>
        <v>عادی</v>
      </c>
      <c r="K1966" s="252">
        <f>bargiri[[#This Row],[فی]]*bargiri[[#This Row],[میزان بارگیری شده]]</f>
        <v>432800000</v>
      </c>
      <c r="Z1966" s="1"/>
    </row>
    <row r="1967" spans="1:26" ht="18.600000000000001">
      <c r="A1967" s="360" t="s">
        <v>232</v>
      </c>
      <c r="B1967" s="360" t="s">
        <v>103</v>
      </c>
      <c r="C1967" s="355" t="s">
        <v>29</v>
      </c>
      <c r="D1967">
        <v>7370</v>
      </c>
      <c r="E1967" s="143">
        <v>75000</v>
      </c>
      <c r="F1967" s="117">
        <v>1404</v>
      </c>
      <c r="G1967" s="360" t="s">
        <v>295</v>
      </c>
      <c r="H1967" s="144">
        <f>bargiri[[#This Row],[میزان بارگیری شده]]*bargiri[[#This Row],[فی]]</f>
        <v>552750000</v>
      </c>
      <c r="I1967" s="360">
        <f>IF(year=bargiri[[#This Row],[سال]],1,0)</f>
        <v>0</v>
      </c>
      <c r="J1967" s="360" t="str">
        <f>VLOOKUP(bargiri[[#This Row],[شماره پیش فاکتور]],invoice[],16,0)</f>
        <v>عادی</v>
      </c>
      <c r="K1967" s="252">
        <f>bargiri[[#This Row],[فی]]*bargiri[[#This Row],[میزان بارگیری شده]]</f>
        <v>552750000</v>
      </c>
      <c r="Z1967" s="1"/>
    </row>
    <row r="1968" spans="1:26" ht="18.600000000000001">
      <c r="A1968" s="360" t="s">
        <v>232</v>
      </c>
      <c r="B1968" s="360" t="s">
        <v>111</v>
      </c>
      <c r="C1968" s="355" t="s">
        <v>59</v>
      </c>
      <c r="D1968">
        <v>4620</v>
      </c>
      <c r="E1968" s="143">
        <v>80000</v>
      </c>
      <c r="F1968" s="117">
        <v>1404</v>
      </c>
      <c r="G1968" s="360" t="s">
        <v>295</v>
      </c>
      <c r="H1968" s="144">
        <f>bargiri[[#This Row],[میزان بارگیری شده]]*bargiri[[#This Row],[فی]]</f>
        <v>369600000</v>
      </c>
      <c r="I1968" s="360">
        <f>IF(year=bargiri[[#This Row],[سال]],1,0)</f>
        <v>0</v>
      </c>
      <c r="J1968" s="360" t="str">
        <f>VLOOKUP(bargiri[[#This Row],[شماره پیش فاکتور]],invoice[],16,0)</f>
        <v>عادی</v>
      </c>
      <c r="K1968" s="252">
        <f>bargiri[[#This Row],[فی]]*bargiri[[#This Row],[میزان بارگیری شده]]</f>
        <v>369600000</v>
      </c>
      <c r="Z1968" s="1"/>
    </row>
    <row r="1969" spans="1:26" ht="18.600000000000001">
      <c r="A1969" s="360" t="s">
        <v>232</v>
      </c>
      <c r="B1969" s="360" t="s">
        <v>111</v>
      </c>
      <c r="C1969" s="355" t="s">
        <v>129</v>
      </c>
      <c r="D1969">
        <v>5330</v>
      </c>
      <c r="E1969" s="143">
        <v>120000</v>
      </c>
      <c r="F1969" s="117">
        <v>1404</v>
      </c>
      <c r="G1969" s="360" t="s">
        <v>295</v>
      </c>
      <c r="H1969" s="144">
        <f>bargiri[[#This Row],[میزان بارگیری شده]]*bargiri[[#This Row],[فی]]</f>
        <v>639600000</v>
      </c>
      <c r="I1969" s="360">
        <f>IF(year=bargiri[[#This Row],[سال]],1,0)</f>
        <v>0</v>
      </c>
      <c r="J1969" s="360" t="str">
        <f>VLOOKUP(bargiri[[#This Row],[شماره پیش فاکتور]],invoice[],16,0)</f>
        <v>عادی</v>
      </c>
      <c r="K1969" s="252">
        <f>bargiri[[#This Row],[فی]]*bargiri[[#This Row],[میزان بارگیری شده]]</f>
        <v>639600000</v>
      </c>
      <c r="Z1969" s="1"/>
    </row>
    <row r="1970" spans="1:26" ht="18.600000000000001">
      <c r="A1970" s="360" t="s">
        <v>232</v>
      </c>
      <c r="B1970" s="360" t="s">
        <v>114</v>
      </c>
      <c r="C1970" s="355" t="s">
        <v>63</v>
      </c>
      <c r="D1970">
        <v>21135</v>
      </c>
      <c r="E1970" s="143">
        <v>75000</v>
      </c>
      <c r="F1970" s="117">
        <v>1404</v>
      </c>
      <c r="G1970" s="360" t="s">
        <v>295</v>
      </c>
      <c r="H1970" s="144">
        <f>bargiri[[#This Row],[میزان بارگیری شده]]*bargiri[[#This Row],[فی]]</f>
        <v>1585125000</v>
      </c>
      <c r="I1970" s="360">
        <f>IF(year=bargiri[[#This Row],[سال]],1,0)</f>
        <v>0</v>
      </c>
      <c r="J1970" s="360" t="str">
        <f>VLOOKUP(bargiri[[#This Row],[شماره پیش فاکتور]],invoice[],16,0)</f>
        <v>عادی</v>
      </c>
      <c r="K1970" s="252">
        <f>bargiri[[#This Row],[فی]]*bargiri[[#This Row],[میزان بارگیری شده]]</f>
        <v>1585125000</v>
      </c>
      <c r="Z1970" s="1"/>
    </row>
    <row r="1971" spans="1:26" ht="18.600000000000001">
      <c r="A1971" s="360" t="s">
        <v>232</v>
      </c>
      <c r="B1971" s="360" t="s">
        <v>106</v>
      </c>
      <c r="C1971" s="355" t="s">
        <v>45</v>
      </c>
      <c r="D1971">
        <v>5405</v>
      </c>
      <c r="E1971" s="143">
        <v>80000</v>
      </c>
      <c r="F1971" s="117">
        <v>1404</v>
      </c>
      <c r="G1971" s="360" t="s">
        <v>295</v>
      </c>
      <c r="H1971" s="144">
        <f>bargiri[[#This Row],[میزان بارگیری شده]]*bargiri[[#This Row],[فی]]</f>
        <v>432400000</v>
      </c>
      <c r="I1971" s="360">
        <f>IF(year=bargiri[[#This Row],[سال]],1,0)</f>
        <v>0</v>
      </c>
      <c r="J1971" s="360" t="str">
        <f>VLOOKUP(bargiri[[#This Row],[شماره پیش فاکتور]],invoice[],16,0)</f>
        <v>عادی</v>
      </c>
      <c r="K1971" s="252">
        <f>bargiri[[#This Row],[فی]]*bargiri[[#This Row],[میزان بارگیری شده]]</f>
        <v>432400000</v>
      </c>
      <c r="Z1971" s="1"/>
    </row>
    <row r="1972" spans="1:26" ht="18.600000000000001">
      <c r="A1972" s="360" t="s">
        <v>184</v>
      </c>
      <c r="B1972" s="360" t="s">
        <v>106</v>
      </c>
      <c r="C1972" s="355" t="s">
        <v>45</v>
      </c>
      <c r="D1972">
        <v>5445</v>
      </c>
      <c r="E1972" s="143">
        <v>80000</v>
      </c>
      <c r="F1972" s="117">
        <v>1404</v>
      </c>
      <c r="G1972" s="360" t="s">
        <v>295</v>
      </c>
      <c r="H1972" s="144">
        <f>bargiri[[#This Row],[میزان بارگیری شده]]*bargiri[[#This Row],[فی]]</f>
        <v>435600000</v>
      </c>
      <c r="I1972" s="360">
        <f>IF(year=bargiri[[#This Row],[سال]],1,0)</f>
        <v>0</v>
      </c>
      <c r="J1972" s="360" t="str">
        <f>VLOOKUP(bargiri[[#This Row],[شماره پیش فاکتور]],invoice[],16,0)</f>
        <v>عادی</v>
      </c>
      <c r="K1972" s="252">
        <f>bargiri[[#This Row],[فی]]*bargiri[[#This Row],[میزان بارگیری شده]]</f>
        <v>435600000</v>
      </c>
      <c r="Z1972" s="1"/>
    </row>
    <row r="1973" spans="1:26" ht="18.600000000000001">
      <c r="A1973" s="360" t="s">
        <v>184</v>
      </c>
      <c r="B1973" s="360" t="s">
        <v>116</v>
      </c>
      <c r="C1973" s="355" t="s">
        <v>77</v>
      </c>
      <c r="D1973">
        <v>19990</v>
      </c>
      <c r="E1973" s="143">
        <v>68500</v>
      </c>
      <c r="F1973" s="117">
        <v>1404</v>
      </c>
      <c r="G1973" s="360" t="s">
        <v>295</v>
      </c>
      <c r="H1973" s="144">
        <f>bargiri[[#This Row],[میزان بارگیری شده]]*bargiri[[#This Row],[فی]]</f>
        <v>1369315000</v>
      </c>
      <c r="I1973" s="360">
        <f>IF(year=bargiri[[#This Row],[سال]],1,0)</f>
        <v>0</v>
      </c>
      <c r="J1973" s="360" t="str">
        <f>VLOOKUP(bargiri[[#This Row],[شماره پیش فاکتور]],invoice[],16,0)</f>
        <v>عادی</v>
      </c>
      <c r="K1973" s="252">
        <f>bargiri[[#This Row],[فی]]*bargiri[[#This Row],[میزان بارگیری شده]]</f>
        <v>1369315000</v>
      </c>
      <c r="Z1973" s="1"/>
    </row>
    <row r="1974" spans="1:26" ht="18.600000000000001">
      <c r="A1974" s="360" t="s">
        <v>184</v>
      </c>
      <c r="B1974" s="360" t="s">
        <v>114</v>
      </c>
      <c r="C1974" s="355" t="s">
        <v>63</v>
      </c>
      <c r="D1974">
        <v>21985</v>
      </c>
      <c r="E1974" s="143">
        <v>75000</v>
      </c>
      <c r="F1974" s="117">
        <v>1404</v>
      </c>
      <c r="G1974" s="360" t="s">
        <v>295</v>
      </c>
      <c r="H1974" s="144">
        <f>bargiri[[#This Row],[میزان بارگیری شده]]*bargiri[[#This Row],[فی]]</f>
        <v>1648875000</v>
      </c>
      <c r="I1974" s="360">
        <f>IF(year=bargiri[[#This Row],[سال]],1,0)</f>
        <v>0</v>
      </c>
      <c r="J1974" s="360" t="str">
        <f>VLOOKUP(bargiri[[#This Row],[شماره پیش فاکتور]],invoice[],16,0)</f>
        <v>عادی</v>
      </c>
      <c r="K1974" s="252">
        <f>bargiri[[#This Row],[فی]]*bargiri[[#This Row],[میزان بارگیری شده]]</f>
        <v>1648875000</v>
      </c>
      <c r="Z1974" s="1"/>
    </row>
    <row r="1975" spans="1:26" ht="18.600000000000001">
      <c r="A1975" s="360" t="s">
        <v>184</v>
      </c>
      <c r="B1975" s="360" t="s">
        <v>102</v>
      </c>
      <c r="C1975" s="355" t="s">
        <v>24</v>
      </c>
      <c r="D1975">
        <v>11835</v>
      </c>
      <c r="E1975" s="143">
        <v>70000</v>
      </c>
      <c r="F1975" s="117">
        <v>1404</v>
      </c>
      <c r="G1975" s="360" t="s">
        <v>295</v>
      </c>
      <c r="H1975" s="144">
        <f>bargiri[[#This Row],[میزان بارگیری شده]]*bargiri[[#This Row],[فی]]</f>
        <v>828450000</v>
      </c>
      <c r="I1975" s="360">
        <f>IF(year=bargiri[[#This Row],[سال]],1,0)</f>
        <v>0</v>
      </c>
      <c r="J1975" s="360" t="str">
        <f>VLOOKUP(bargiri[[#This Row],[شماره پیش فاکتور]],invoice[],16,0)</f>
        <v>عادی</v>
      </c>
      <c r="K1975" s="252">
        <f>bargiri[[#This Row],[فی]]*bargiri[[#This Row],[میزان بارگیری شده]]</f>
        <v>828450000</v>
      </c>
      <c r="Z1975" s="1"/>
    </row>
    <row r="1976" spans="1:26" ht="18.600000000000001">
      <c r="A1976" s="360" t="s">
        <v>184</v>
      </c>
      <c r="B1976" s="360" t="s">
        <v>98</v>
      </c>
      <c r="C1976" s="355" t="s">
        <v>4</v>
      </c>
      <c r="D1976">
        <v>22240</v>
      </c>
      <c r="E1976" s="143">
        <v>65000</v>
      </c>
      <c r="F1976" s="117">
        <v>1404</v>
      </c>
      <c r="G1976" s="360" t="s">
        <v>295</v>
      </c>
      <c r="H1976" s="144">
        <f>bargiri[[#This Row],[میزان بارگیری شده]]*bargiri[[#This Row],[فی]]</f>
        <v>1445600000</v>
      </c>
      <c r="I1976" s="360">
        <f>IF(year=bargiri[[#This Row],[سال]],1,0)</f>
        <v>0</v>
      </c>
      <c r="J1976" s="360" t="str">
        <f>VLOOKUP(bargiri[[#This Row],[شماره پیش فاکتور]],invoice[],16,0)</f>
        <v>تعادلی</v>
      </c>
      <c r="K1976" s="252">
        <f>bargiri[[#This Row],[فی]]*bargiri[[#This Row],[میزان بارگیری شده]]</f>
        <v>1445600000</v>
      </c>
      <c r="Z1976" s="1"/>
    </row>
    <row r="1977" spans="1:26" ht="18.600000000000001">
      <c r="A1977" s="360" t="s">
        <v>184</v>
      </c>
      <c r="B1977" s="360" t="s">
        <v>111</v>
      </c>
      <c r="C1977" s="355" t="s">
        <v>59</v>
      </c>
      <c r="D1977">
        <v>9930</v>
      </c>
      <c r="E1977" s="143">
        <v>80000</v>
      </c>
      <c r="F1977" s="117">
        <v>1404</v>
      </c>
      <c r="G1977" s="360" t="s">
        <v>295</v>
      </c>
      <c r="H1977" s="144">
        <f>bargiri[[#This Row],[میزان بارگیری شده]]*bargiri[[#This Row],[فی]]</f>
        <v>794400000</v>
      </c>
      <c r="I1977" s="360">
        <f>IF(year=bargiri[[#This Row],[سال]],1,0)</f>
        <v>0</v>
      </c>
      <c r="J1977" s="360" t="str">
        <f>VLOOKUP(bargiri[[#This Row],[شماره پیش فاکتور]],invoice[],16,0)</f>
        <v>عادی</v>
      </c>
      <c r="K1977" s="252">
        <f>bargiri[[#This Row],[فی]]*bargiri[[#This Row],[میزان بارگیری شده]]</f>
        <v>794400000</v>
      </c>
      <c r="Z1977" s="1"/>
    </row>
    <row r="1978" spans="1:26" ht="18.600000000000001">
      <c r="A1978" s="360" t="s">
        <v>184</v>
      </c>
      <c r="B1978" s="360" t="s">
        <v>110</v>
      </c>
      <c r="C1978" s="355" t="s">
        <v>57</v>
      </c>
      <c r="D1978">
        <v>14955</v>
      </c>
      <c r="E1978" s="143">
        <v>78000</v>
      </c>
      <c r="F1978" s="117">
        <v>1404</v>
      </c>
      <c r="G1978" s="360" t="s">
        <v>295</v>
      </c>
      <c r="H1978" s="144">
        <f>bargiri[[#This Row],[میزان بارگیری شده]]*bargiri[[#This Row],[فی]]</f>
        <v>1166490000</v>
      </c>
      <c r="I1978" s="360">
        <f>IF(year=bargiri[[#This Row],[سال]],1,0)</f>
        <v>0</v>
      </c>
      <c r="J1978" s="360" t="str">
        <f>VLOOKUP(bargiri[[#This Row],[شماره پیش فاکتور]],invoice[],16,0)</f>
        <v>عادی</v>
      </c>
      <c r="K1978" s="252">
        <f>bargiri[[#This Row],[فی]]*bargiri[[#This Row],[میزان بارگیری شده]]</f>
        <v>1166490000</v>
      </c>
      <c r="Z1978" s="1"/>
    </row>
    <row r="1979" spans="1:26" ht="18.600000000000001">
      <c r="A1979" s="360" t="s">
        <v>184</v>
      </c>
      <c r="B1979" s="360" t="s">
        <v>118</v>
      </c>
      <c r="C1979" s="355" t="s">
        <v>84</v>
      </c>
      <c r="D1979">
        <v>20790</v>
      </c>
      <c r="E1979" s="143">
        <v>57273</v>
      </c>
      <c r="F1979" s="117">
        <v>1404</v>
      </c>
      <c r="G1979" s="360" t="s">
        <v>295</v>
      </c>
      <c r="H1979" s="144">
        <f>bargiri[[#This Row],[میزان بارگیری شده]]*bargiri[[#This Row],[فی]]</f>
        <v>1190705670</v>
      </c>
      <c r="I1979" s="360">
        <f>IF(year=bargiri[[#This Row],[سال]],1,0)</f>
        <v>0</v>
      </c>
      <c r="J1979" s="360" t="str">
        <f>VLOOKUP(bargiri[[#This Row],[شماره پیش فاکتور]],invoice[],16,0)</f>
        <v>عادی</v>
      </c>
      <c r="K1979" s="252">
        <f>bargiri[[#This Row],[فی]]*bargiri[[#This Row],[میزان بارگیری شده]]</f>
        <v>1190705670</v>
      </c>
      <c r="Z1979" s="1"/>
    </row>
    <row r="1980" spans="1:26" ht="18.600000000000001">
      <c r="A1980" s="360" t="s">
        <v>184</v>
      </c>
      <c r="B1980" s="360" t="s">
        <v>118</v>
      </c>
      <c r="C1980" s="355" t="s">
        <v>84</v>
      </c>
      <c r="D1980">
        <v>20795</v>
      </c>
      <c r="E1980" s="143">
        <v>57273</v>
      </c>
      <c r="F1980" s="117">
        <v>1404</v>
      </c>
      <c r="G1980" s="360" t="s">
        <v>295</v>
      </c>
      <c r="H1980" s="144">
        <f>bargiri[[#This Row],[میزان بارگیری شده]]*bargiri[[#This Row],[فی]]</f>
        <v>1190992035</v>
      </c>
      <c r="I1980" s="360">
        <f>IF(year=bargiri[[#This Row],[سال]],1,0)</f>
        <v>0</v>
      </c>
      <c r="J1980" s="360" t="str">
        <f>VLOOKUP(bargiri[[#This Row],[شماره پیش فاکتور]],invoice[],16,0)</f>
        <v>عادی</v>
      </c>
      <c r="K1980" s="252">
        <f>bargiri[[#This Row],[فی]]*bargiri[[#This Row],[میزان بارگیری شده]]</f>
        <v>1190992035</v>
      </c>
      <c r="Z1980" s="1"/>
    </row>
    <row r="1981" spans="1:26" ht="18.600000000000001">
      <c r="A1981" s="360" t="s">
        <v>184</v>
      </c>
      <c r="B1981" s="360" t="s">
        <v>107</v>
      </c>
      <c r="C1981" s="355" t="s">
        <v>50</v>
      </c>
      <c r="D1981">
        <v>19205</v>
      </c>
      <c r="E1981" s="143">
        <v>70000</v>
      </c>
      <c r="F1981" s="117">
        <v>1404</v>
      </c>
      <c r="G1981" s="360" t="s">
        <v>295</v>
      </c>
      <c r="H1981" s="144">
        <f>bargiri[[#This Row],[میزان بارگیری شده]]*bargiri[[#This Row],[فی]]</f>
        <v>1344350000</v>
      </c>
      <c r="I1981" s="360">
        <f>IF(year=bargiri[[#This Row],[سال]],1,0)</f>
        <v>0</v>
      </c>
      <c r="J1981" s="360" t="str">
        <f>VLOOKUP(bargiri[[#This Row],[شماره پیش فاکتور]],invoice[],16,0)</f>
        <v>عادی</v>
      </c>
      <c r="K1981" s="252">
        <f>bargiri[[#This Row],[فی]]*bargiri[[#This Row],[میزان بارگیری شده]]</f>
        <v>1344350000</v>
      </c>
      <c r="Z1981" s="1"/>
    </row>
    <row r="1982" spans="1:26" ht="18.600000000000001">
      <c r="A1982" s="360" t="s">
        <v>184</v>
      </c>
      <c r="B1982" s="360" t="s">
        <v>114</v>
      </c>
      <c r="C1982" s="355" t="s">
        <v>63</v>
      </c>
      <c r="D1982">
        <v>22160</v>
      </c>
      <c r="E1982" s="143">
        <v>75000</v>
      </c>
      <c r="F1982" s="117">
        <v>1404</v>
      </c>
      <c r="G1982" s="360" t="s">
        <v>295</v>
      </c>
      <c r="H1982" s="144">
        <f>bargiri[[#This Row],[میزان بارگیری شده]]*bargiri[[#This Row],[فی]]</f>
        <v>1662000000</v>
      </c>
      <c r="I1982" s="360">
        <f>IF(year=bargiri[[#This Row],[سال]],1,0)</f>
        <v>0</v>
      </c>
      <c r="J1982" s="360" t="str">
        <f>VLOOKUP(bargiri[[#This Row],[شماره پیش فاکتور]],invoice[],16,0)</f>
        <v>عادی</v>
      </c>
      <c r="K1982" s="252">
        <f>bargiri[[#This Row],[فی]]*bargiri[[#This Row],[میزان بارگیری شده]]</f>
        <v>1662000000</v>
      </c>
      <c r="Z1982" s="1"/>
    </row>
    <row r="1983" spans="1:26" ht="18.600000000000001">
      <c r="A1983" s="360" t="s">
        <v>184</v>
      </c>
      <c r="B1983" s="360" t="s">
        <v>120</v>
      </c>
      <c r="C1983" s="355" t="s">
        <v>88</v>
      </c>
      <c r="D1983">
        <v>8970</v>
      </c>
      <c r="E1983" s="143">
        <v>80000</v>
      </c>
      <c r="F1983" s="117">
        <v>1404</v>
      </c>
      <c r="G1983" s="360" t="s">
        <v>295</v>
      </c>
      <c r="H1983" s="144">
        <f>bargiri[[#This Row],[میزان بارگیری شده]]*bargiri[[#This Row],[فی]]</f>
        <v>717600000</v>
      </c>
      <c r="I1983" s="360">
        <f>IF(year=bargiri[[#This Row],[سال]],1,0)</f>
        <v>0</v>
      </c>
      <c r="J1983" s="360" t="str">
        <f>VLOOKUP(bargiri[[#This Row],[شماره پیش فاکتور]],invoice[],16,0)</f>
        <v>عادی</v>
      </c>
      <c r="K1983" s="252">
        <f>bargiri[[#This Row],[فی]]*bargiri[[#This Row],[میزان بارگیری شده]]</f>
        <v>717600000</v>
      </c>
      <c r="Z1983" s="1"/>
    </row>
    <row r="1984" spans="1:26" ht="18.600000000000001">
      <c r="A1984" s="360" t="s">
        <v>184</v>
      </c>
      <c r="B1984" s="360" t="s">
        <v>106</v>
      </c>
      <c r="C1984" s="355" t="s">
        <v>45</v>
      </c>
      <c r="D1984">
        <v>5405</v>
      </c>
      <c r="E1984" s="143">
        <v>80000</v>
      </c>
      <c r="F1984" s="117">
        <v>1404</v>
      </c>
      <c r="G1984" s="360" t="s">
        <v>295</v>
      </c>
      <c r="H1984" s="144">
        <f>bargiri[[#This Row],[میزان بارگیری شده]]*bargiri[[#This Row],[فی]]</f>
        <v>432400000</v>
      </c>
      <c r="I1984" s="360">
        <f>IF(year=bargiri[[#This Row],[سال]],1,0)</f>
        <v>0</v>
      </c>
      <c r="J1984" s="360" t="str">
        <f>VLOOKUP(bargiri[[#This Row],[شماره پیش فاکتور]],invoice[],16,0)</f>
        <v>عادی</v>
      </c>
      <c r="K1984" s="252">
        <f>bargiri[[#This Row],[فی]]*bargiri[[#This Row],[میزان بارگیری شده]]</f>
        <v>432400000</v>
      </c>
      <c r="Z1984" s="1"/>
    </row>
    <row r="1985" spans="1:26" ht="18.600000000000001">
      <c r="A1985" s="360" t="s">
        <v>184</v>
      </c>
      <c r="B1985" s="360" t="s">
        <v>120</v>
      </c>
      <c r="C1985" s="355" t="s">
        <v>88</v>
      </c>
      <c r="D1985">
        <v>9085</v>
      </c>
      <c r="E1985" s="143">
        <v>80000</v>
      </c>
      <c r="F1985" s="117">
        <v>1404</v>
      </c>
      <c r="G1985" s="360" t="s">
        <v>295</v>
      </c>
      <c r="H1985" s="144">
        <f>bargiri[[#This Row],[میزان بارگیری شده]]*bargiri[[#This Row],[فی]]</f>
        <v>726800000</v>
      </c>
      <c r="I1985" s="360">
        <f>IF(year=bargiri[[#This Row],[سال]],1,0)</f>
        <v>0</v>
      </c>
      <c r="J1985" s="360" t="str">
        <f>VLOOKUP(bargiri[[#This Row],[شماره پیش فاکتور]],invoice[],16,0)</f>
        <v>عادی</v>
      </c>
      <c r="K1985" s="252">
        <f>bargiri[[#This Row],[فی]]*bargiri[[#This Row],[میزان بارگیری شده]]</f>
        <v>726800000</v>
      </c>
      <c r="Z1985" s="1"/>
    </row>
    <row r="1986" spans="1:26" ht="18.600000000000001">
      <c r="A1986" s="360" t="s">
        <v>184</v>
      </c>
      <c r="B1986" s="360" t="s">
        <v>106</v>
      </c>
      <c r="C1986" s="355" t="s">
        <v>45</v>
      </c>
      <c r="D1986">
        <v>5435</v>
      </c>
      <c r="E1986" s="143">
        <v>80000</v>
      </c>
      <c r="F1986" s="117">
        <v>1404</v>
      </c>
      <c r="G1986" s="360" t="s">
        <v>295</v>
      </c>
      <c r="H1986" s="144">
        <f>bargiri[[#This Row],[میزان بارگیری شده]]*bargiri[[#This Row],[فی]]</f>
        <v>434800000</v>
      </c>
      <c r="I1986" s="360">
        <f>IF(year=bargiri[[#This Row],[سال]],1,0)</f>
        <v>0</v>
      </c>
      <c r="J1986" s="360" t="str">
        <f>VLOOKUP(bargiri[[#This Row],[شماره پیش فاکتور]],invoice[],16,0)</f>
        <v>عادی</v>
      </c>
      <c r="K1986" s="252">
        <f>bargiri[[#This Row],[فی]]*bargiri[[#This Row],[میزان بارگیری شده]]</f>
        <v>434800000</v>
      </c>
      <c r="Z1986" s="1"/>
    </row>
    <row r="1987" spans="1:26" ht="18.600000000000001">
      <c r="A1987" s="360" t="s">
        <v>184</v>
      </c>
      <c r="B1987" s="360" t="s">
        <v>106</v>
      </c>
      <c r="C1987" s="355" t="s">
        <v>45</v>
      </c>
      <c r="D1987">
        <v>5390</v>
      </c>
      <c r="E1987" s="143">
        <v>80000</v>
      </c>
      <c r="F1987" s="117">
        <v>1404</v>
      </c>
      <c r="G1987" s="360" t="s">
        <v>295</v>
      </c>
      <c r="H1987" s="144">
        <f>bargiri[[#This Row],[میزان بارگیری شده]]*bargiri[[#This Row],[فی]]</f>
        <v>431200000</v>
      </c>
      <c r="I1987" s="360">
        <f>IF(year=bargiri[[#This Row],[سال]],1,0)</f>
        <v>0</v>
      </c>
      <c r="J1987" s="360" t="str">
        <f>VLOOKUP(bargiri[[#This Row],[شماره پیش فاکتور]],invoice[],16,0)</f>
        <v>عادی</v>
      </c>
      <c r="K1987" s="252">
        <f>bargiri[[#This Row],[فی]]*bargiri[[#This Row],[میزان بارگیری شده]]</f>
        <v>431200000</v>
      </c>
      <c r="Z1987" s="1"/>
    </row>
    <row r="1988" spans="1:26" ht="18.600000000000001">
      <c r="A1988" s="360" t="s">
        <v>184</v>
      </c>
      <c r="B1988" s="360" t="s">
        <v>106</v>
      </c>
      <c r="C1988" s="355" t="s">
        <v>45</v>
      </c>
      <c r="D1988">
        <v>5405</v>
      </c>
      <c r="E1988" s="143">
        <v>80000</v>
      </c>
      <c r="F1988" s="117">
        <v>1404</v>
      </c>
      <c r="G1988" s="360" t="s">
        <v>295</v>
      </c>
      <c r="H1988" s="144">
        <f>bargiri[[#This Row],[میزان بارگیری شده]]*bargiri[[#This Row],[فی]]</f>
        <v>432400000</v>
      </c>
      <c r="I1988" s="360">
        <f>IF(year=bargiri[[#This Row],[سال]],1,0)</f>
        <v>0</v>
      </c>
      <c r="J1988" s="360" t="str">
        <f>VLOOKUP(bargiri[[#This Row],[شماره پیش فاکتور]],invoice[],16,0)</f>
        <v>عادی</v>
      </c>
      <c r="K1988" s="252">
        <f>bargiri[[#This Row],[فی]]*bargiri[[#This Row],[میزان بارگیری شده]]</f>
        <v>432400000</v>
      </c>
      <c r="Z1988" s="1"/>
    </row>
    <row r="1989" spans="1:26" ht="18.600000000000001">
      <c r="A1989" s="360" t="s">
        <v>184</v>
      </c>
      <c r="B1989" s="360" t="s">
        <v>103</v>
      </c>
      <c r="C1989" s="355" t="s">
        <v>29</v>
      </c>
      <c r="D1989">
        <v>7390</v>
      </c>
      <c r="E1989" s="143">
        <v>75000</v>
      </c>
      <c r="F1989" s="117">
        <v>1404</v>
      </c>
      <c r="G1989" s="360" t="s">
        <v>295</v>
      </c>
      <c r="H1989" s="144">
        <f>bargiri[[#This Row],[میزان بارگیری شده]]*bargiri[[#This Row],[فی]]</f>
        <v>554250000</v>
      </c>
      <c r="I1989" s="360">
        <f>IF(year=bargiri[[#This Row],[سال]],1,0)</f>
        <v>0</v>
      </c>
      <c r="J1989" s="360" t="str">
        <f>VLOOKUP(bargiri[[#This Row],[شماره پیش فاکتور]],invoice[],16,0)</f>
        <v>عادی</v>
      </c>
      <c r="K1989" s="252">
        <f>bargiri[[#This Row],[فی]]*bargiri[[#This Row],[میزان بارگیری شده]]</f>
        <v>554250000</v>
      </c>
      <c r="Z1989" s="1"/>
    </row>
    <row r="1990" spans="1:26" ht="18.600000000000001">
      <c r="A1990" s="360" t="s">
        <v>184</v>
      </c>
      <c r="B1990" s="360" t="s">
        <v>103</v>
      </c>
      <c r="C1990" s="355" t="s">
        <v>29</v>
      </c>
      <c r="D1990">
        <v>7365</v>
      </c>
      <c r="E1990" s="143">
        <v>75000</v>
      </c>
      <c r="F1990" s="117">
        <v>1404</v>
      </c>
      <c r="G1990" s="360" t="s">
        <v>295</v>
      </c>
      <c r="H1990" s="144">
        <f>bargiri[[#This Row],[میزان بارگیری شده]]*bargiri[[#This Row],[فی]]</f>
        <v>552375000</v>
      </c>
      <c r="I1990" s="360">
        <f>IF(year=bargiri[[#This Row],[سال]],1,0)</f>
        <v>0</v>
      </c>
      <c r="J1990" s="360" t="str">
        <f>VLOOKUP(bargiri[[#This Row],[شماره پیش فاکتور]],invoice[],16,0)</f>
        <v>عادی</v>
      </c>
      <c r="K1990" s="252">
        <f>bargiri[[#This Row],[فی]]*bargiri[[#This Row],[میزان بارگیری شده]]</f>
        <v>552375000</v>
      </c>
      <c r="Z1990" s="1"/>
    </row>
    <row r="1991" spans="1:26" ht="18.600000000000001">
      <c r="A1991" s="360" t="s">
        <v>184</v>
      </c>
      <c r="B1991" s="360" t="s">
        <v>107</v>
      </c>
      <c r="C1991" s="355" t="s">
        <v>50</v>
      </c>
      <c r="D1991">
        <v>18840</v>
      </c>
      <c r="E1991" s="143">
        <v>70000</v>
      </c>
      <c r="F1991" s="117">
        <v>1404</v>
      </c>
      <c r="G1991" s="360" t="s">
        <v>295</v>
      </c>
      <c r="H1991" s="144">
        <f>bargiri[[#This Row],[میزان بارگیری شده]]*bargiri[[#This Row],[فی]]</f>
        <v>1318800000</v>
      </c>
      <c r="I1991" s="360">
        <f>IF(year=bargiri[[#This Row],[سال]],1,0)</f>
        <v>0</v>
      </c>
      <c r="J1991" s="360" t="str">
        <f>VLOOKUP(bargiri[[#This Row],[شماره پیش فاکتور]],invoice[],16,0)</f>
        <v>عادی</v>
      </c>
      <c r="K1991" s="252">
        <f>bargiri[[#This Row],[فی]]*bargiri[[#This Row],[میزان بارگیری شده]]</f>
        <v>1318800000</v>
      </c>
      <c r="Z1991" s="1"/>
    </row>
    <row r="1992" spans="1:26" ht="18.600000000000001">
      <c r="A1992" s="360" t="s">
        <v>184</v>
      </c>
      <c r="B1992" s="360" t="s">
        <v>116</v>
      </c>
      <c r="C1992" s="355" t="s">
        <v>77</v>
      </c>
      <c r="D1992">
        <v>14040</v>
      </c>
      <c r="E1992" s="143">
        <v>68500</v>
      </c>
      <c r="F1992" s="117">
        <v>1404</v>
      </c>
      <c r="G1992" s="360" t="s">
        <v>295</v>
      </c>
      <c r="H1992" s="144">
        <f>bargiri[[#This Row],[میزان بارگیری شده]]*bargiri[[#This Row],[فی]]</f>
        <v>961740000</v>
      </c>
      <c r="I1992" s="360">
        <f>IF(year=bargiri[[#This Row],[سال]],1,0)</f>
        <v>0</v>
      </c>
      <c r="J1992" s="360" t="str">
        <f>VLOOKUP(bargiri[[#This Row],[شماره پیش فاکتور]],invoice[],16,0)</f>
        <v>عادی</v>
      </c>
      <c r="K1992" s="252">
        <f>bargiri[[#This Row],[فی]]*bargiri[[#This Row],[میزان بارگیری شده]]</f>
        <v>961740000</v>
      </c>
      <c r="Z1992" s="1"/>
    </row>
    <row r="1993" spans="1:26" ht="18.600000000000001">
      <c r="A1993" s="360" t="s">
        <v>184</v>
      </c>
      <c r="B1993" s="360" t="s">
        <v>106</v>
      </c>
      <c r="C1993" s="355" t="s">
        <v>45</v>
      </c>
      <c r="D1993">
        <v>5290</v>
      </c>
      <c r="E1993" s="143">
        <v>80000</v>
      </c>
      <c r="F1993" s="117">
        <v>1404</v>
      </c>
      <c r="G1993" s="360" t="s">
        <v>295</v>
      </c>
      <c r="H1993" s="144">
        <f>bargiri[[#This Row],[میزان بارگیری شده]]*bargiri[[#This Row],[فی]]</f>
        <v>423200000</v>
      </c>
      <c r="I1993" s="360">
        <f>IF(year=bargiri[[#This Row],[سال]],1,0)</f>
        <v>0</v>
      </c>
      <c r="J1993" s="360" t="str">
        <f>VLOOKUP(bargiri[[#This Row],[شماره پیش فاکتور]],invoice[],16,0)</f>
        <v>عادی</v>
      </c>
      <c r="K1993" s="252">
        <f>bargiri[[#This Row],[فی]]*bargiri[[#This Row],[میزان بارگیری شده]]</f>
        <v>423200000</v>
      </c>
      <c r="Z1993" s="1"/>
    </row>
    <row r="1994" spans="1:26" ht="18.600000000000001">
      <c r="A1994" s="360" t="s">
        <v>184</v>
      </c>
      <c r="B1994" s="360" t="s">
        <v>106</v>
      </c>
      <c r="C1994" s="355" t="s">
        <v>45</v>
      </c>
      <c r="D1994">
        <v>5355</v>
      </c>
      <c r="E1994" s="143">
        <v>80000</v>
      </c>
      <c r="F1994" s="117">
        <v>1404</v>
      </c>
      <c r="G1994" s="360" t="s">
        <v>295</v>
      </c>
      <c r="H1994" s="144">
        <f>bargiri[[#This Row],[میزان بارگیری شده]]*bargiri[[#This Row],[فی]]</f>
        <v>428400000</v>
      </c>
      <c r="I1994" s="360">
        <f>IF(year=bargiri[[#This Row],[سال]],1,0)</f>
        <v>0</v>
      </c>
      <c r="J1994" s="360" t="str">
        <f>VLOOKUP(bargiri[[#This Row],[شماره پیش فاکتور]],invoice[],16,0)</f>
        <v>عادی</v>
      </c>
      <c r="K1994" s="252">
        <f>bargiri[[#This Row],[فی]]*bargiri[[#This Row],[میزان بارگیری شده]]</f>
        <v>428400000</v>
      </c>
      <c r="Z1994" s="1"/>
    </row>
    <row r="1995" spans="1:26" ht="18.600000000000001">
      <c r="A1995" s="360" t="s">
        <v>184</v>
      </c>
      <c r="B1995" s="360" t="s">
        <v>103</v>
      </c>
      <c r="C1995" s="355" t="s">
        <v>29</v>
      </c>
      <c r="D1995">
        <v>7505</v>
      </c>
      <c r="E1995" s="143">
        <v>75000</v>
      </c>
      <c r="F1995" s="117">
        <v>1404</v>
      </c>
      <c r="G1995" s="360" t="s">
        <v>295</v>
      </c>
      <c r="H1995" s="144">
        <f>bargiri[[#This Row],[میزان بارگیری شده]]*bargiri[[#This Row],[فی]]</f>
        <v>562875000</v>
      </c>
      <c r="I1995" s="360">
        <f>IF(year=bargiri[[#This Row],[سال]],1,0)</f>
        <v>0</v>
      </c>
      <c r="J1995" s="360" t="str">
        <f>VLOOKUP(bargiri[[#This Row],[شماره پیش فاکتور]],invoice[],16,0)</f>
        <v>عادی</v>
      </c>
      <c r="K1995" s="252">
        <f>bargiri[[#This Row],[فی]]*bargiri[[#This Row],[میزان بارگیری شده]]</f>
        <v>562875000</v>
      </c>
      <c r="Z1995" s="1"/>
    </row>
    <row r="1996" spans="1:26" ht="18.600000000000001">
      <c r="A1996" s="360" t="s">
        <v>184</v>
      </c>
      <c r="B1996" s="360" t="s">
        <v>116</v>
      </c>
      <c r="C1996" s="355" t="s">
        <v>77</v>
      </c>
      <c r="D1996">
        <v>19655</v>
      </c>
      <c r="E1996" s="143">
        <v>68500</v>
      </c>
      <c r="F1996" s="117">
        <v>1404</v>
      </c>
      <c r="G1996" s="360" t="s">
        <v>295</v>
      </c>
      <c r="H1996" s="144">
        <f>bargiri[[#This Row],[میزان بارگیری شده]]*bargiri[[#This Row],[فی]]</f>
        <v>1346367500</v>
      </c>
      <c r="I1996" s="360">
        <f>IF(year=bargiri[[#This Row],[سال]],1,0)</f>
        <v>0</v>
      </c>
      <c r="J1996" s="360" t="str">
        <f>VLOOKUP(bargiri[[#This Row],[شماره پیش فاکتور]],invoice[],16,0)</f>
        <v>عادی</v>
      </c>
      <c r="K1996" s="252">
        <f>bargiri[[#This Row],[فی]]*bargiri[[#This Row],[میزان بارگیری شده]]</f>
        <v>1346367500</v>
      </c>
      <c r="Z1996" s="1"/>
    </row>
    <row r="1997" spans="1:26" ht="18.600000000000001">
      <c r="A1997" s="360" t="s">
        <v>184</v>
      </c>
      <c r="B1997" s="360" t="s">
        <v>103</v>
      </c>
      <c r="C1997" s="355" t="s">
        <v>29</v>
      </c>
      <c r="D1997">
        <v>7440</v>
      </c>
      <c r="E1997" s="143">
        <v>75000</v>
      </c>
      <c r="F1997" s="117">
        <v>1404</v>
      </c>
      <c r="G1997" s="360" t="s">
        <v>295</v>
      </c>
      <c r="H1997" s="144">
        <f>bargiri[[#This Row],[میزان بارگیری شده]]*bargiri[[#This Row],[فی]]</f>
        <v>558000000</v>
      </c>
      <c r="I1997" s="360">
        <f>IF(year=bargiri[[#This Row],[سال]],1,0)</f>
        <v>0</v>
      </c>
      <c r="J1997" s="360" t="str">
        <f>VLOOKUP(bargiri[[#This Row],[شماره پیش فاکتور]],invoice[],16,0)</f>
        <v>عادی</v>
      </c>
      <c r="K1997" s="252">
        <f>bargiri[[#This Row],[فی]]*bargiri[[#This Row],[میزان بارگیری شده]]</f>
        <v>558000000</v>
      </c>
      <c r="Z1997" s="1"/>
    </row>
    <row r="1998" spans="1:26" ht="18.600000000000001">
      <c r="A1998" s="360" t="s">
        <v>184</v>
      </c>
      <c r="B1998" s="360" t="s">
        <v>117</v>
      </c>
      <c r="C1998" s="355" t="s">
        <v>79</v>
      </c>
      <c r="D1998">
        <v>20140</v>
      </c>
      <c r="E1998" s="143">
        <v>75000</v>
      </c>
      <c r="F1998" s="117">
        <v>1404</v>
      </c>
      <c r="G1998" s="360" t="s">
        <v>295</v>
      </c>
      <c r="H1998" s="144">
        <f>bargiri[[#This Row],[میزان بارگیری شده]]*bargiri[[#This Row],[فی]]</f>
        <v>1510500000</v>
      </c>
      <c r="I1998" s="360">
        <f>IF(year=bargiri[[#This Row],[سال]],1,0)</f>
        <v>0</v>
      </c>
      <c r="J1998" s="360" t="str">
        <f>VLOOKUP(bargiri[[#This Row],[شماره پیش فاکتور]],invoice[],16,0)</f>
        <v>عادی</v>
      </c>
      <c r="K1998" s="252">
        <f>bargiri[[#This Row],[فی]]*bargiri[[#This Row],[میزان بارگیری شده]]</f>
        <v>1510500000</v>
      </c>
      <c r="Z1998" s="1"/>
    </row>
    <row r="1999" spans="1:26" ht="18.600000000000001">
      <c r="A1999" s="360" t="s">
        <v>184</v>
      </c>
      <c r="B1999" s="360" t="s">
        <v>106</v>
      </c>
      <c r="C1999" s="355" t="s">
        <v>45</v>
      </c>
      <c r="D1999">
        <v>5420</v>
      </c>
      <c r="E1999" s="143">
        <v>80000</v>
      </c>
      <c r="F1999" s="117">
        <v>1404</v>
      </c>
      <c r="G1999" s="360" t="s">
        <v>295</v>
      </c>
      <c r="H1999" s="144">
        <f>bargiri[[#This Row],[میزان بارگیری شده]]*bargiri[[#This Row],[فی]]</f>
        <v>433600000</v>
      </c>
      <c r="I1999" s="360">
        <f>IF(year=bargiri[[#This Row],[سال]],1,0)</f>
        <v>0</v>
      </c>
      <c r="J1999" s="360" t="str">
        <f>VLOOKUP(bargiri[[#This Row],[شماره پیش فاکتور]],invoice[],16,0)</f>
        <v>عادی</v>
      </c>
      <c r="K1999" s="252">
        <f>bargiri[[#This Row],[فی]]*bargiri[[#This Row],[میزان بارگیری شده]]</f>
        <v>433600000</v>
      </c>
      <c r="Z1999" s="1"/>
    </row>
    <row r="2000" spans="1:26" ht="18.600000000000001">
      <c r="A2000" s="360" t="s">
        <v>184</v>
      </c>
      <c r="B2000" s="360" t="s">
        <v>106</v>
      </c>
      <c r="C2000" s="355" t="s">
        <v>45</v>
      </c>
      <c r="D2000">
        <v>5440</v>
      </c>
      <c r="E2000" s="143">
        <v>80000</v>
      </c>
      <c r="F2000" s="117">
        <v>1404</v>
      </c>
      <c r="G2000" s="360" t="s">
        <v>295</v>
      </c>
      <c r="H2000" s="144">
        <f>bargiri[[#This Row],[میزان بارگیری شده]]*bargiri[[#This Row],[فی]]</f>
        <v>435200000</v>
      </c>
      <c r="I2000" s="360">
        <f>IF(year=bargiri[[#This Row],[سال]],1,0)</f>
        <v>0</v>
      </c>
      <c r="J2000" s="360" t="str">
        <f>VLOOKUP(bargiri[[#This Row],[شماره پیش فاکتور]],invoice[],16,0)</f>
        <v>عادی</v>
      </c>
      <c r="K2000" s="252">
        <f>bargiri[[#This Row],[فی]]*bargiri[[#This Row],[میزان بارگیری شده]]</f>
        <v>435200000</v>
      </c>
      <c r="Z2000" s="1"/>
    </row>
    <row r="2001" spans="1:26" ht="18.600000000000001">
      <c r="A2001" s="360" t="s">
        <v>184</v>
      </c>
      <c r="B2001" s="360" t="s">
        <v>103</v>
      </c>
      <c r="C2001" s="355" t="s">
        <v>29</v>
      </c>
      <c r="D2001">
        <v>7390</v>
      </c>
      <c r="E2001" s="143">
        <v>75000</v>
      </c>
      <c r="F2001" s="117">
        <v>1404</v>
      </c>
      <c r="G2001" s="360" t="s">
        <v>295</v>
      </c>
      <c r="H2001" s="144">
        <f>bargiri[[#This Row],[میزان بارگیری شده]]*bargiri[[#This Row],[فی]]</f>
        <v>554250000</v>
      </c>
      <c r="I2001" s="360">
        <f>IF(year=bargiri[[#This Row],[سال]],1,0)</f>
        <v>0</v>
      </c>
      <c r="J2001" s="360" t="str">
        <f>VLOOKUP(bargiri[[#This Row],[شماره پیش فاکتور]],invoice[],16,0)</f>
        <v>عادی</v>
      </c>
      <c r="K2001" s="252">
        <f>bargiri[[#This Row],[فی]]*bargiri[[#This Row],[میزان بارگیری شده]]</f>
        <v>554250000</v>
      </c>
      <c r="Z2001" s="1"/>
    </row>
    <row r="2002" spans="1:26" ht="18.600000000000001">
      <c r="A2002" s="360" t="s">
        <v>184</v>
      </c>
      <c r="B2002" s="360" t="s">
        <v>106</v>
      </c>
      <c r="C2002" s="355" t="s">
        <v>45</v>
      </c>
      <c r="D2002">
        <v>5305</v>
      </c>
      <c r="E2002" s="143">
        <v>80000</v>
      </c>
      <c r="F2002" s="117">
        <v>1404</v>
      </c>
      <c r="G2002" s="360" t="s">
        <v>295</v>
      </c>
      <c r="H2002" s="144">
        <f>bargiri[[#This Row],[میزان بارگیری شده]]*bargiri[[#This Row],[فی]]</f>
        <v>424400000</v>
      </c>
      <c r="I2002" s="360">
        <f>IF(year=bargiri[[#This Row],[سال]],1,0)</f>
        <v>0</v>
      </c>
      <c r="J2002" s="360" t="str">
        <f>VLOOKUP(bargiri[[#This Row],[شماره پیش فاکتور]],invoice[],16,0)</f>
        <v>عادی</v>
      </c>
      <c r="K2002" s="252">
        <f>bargiri[[#This Row],[فی]]*bargiri[[#This Row],[میزان بارگیری شده]]</f>
        <v>424400000</v>
      </c>
      <c r="Z2002" s="1"/>
    </row>
    <row r="2003" spans="1:26" ht="18.600000000000001">
      <c r="A2003" s="360" t="s">
        <v>184</v>
      </c>
      <c r="B2003" s="360" t="s">
        <v>106</v>
      </c>
      <c r="C2003" s="355" t="s">
        <v>45</v>
      </c>
      <c r="D2003">
        <v>5465</v>
      </c>
      <c r="E2003" s="143">
        <v>80000</v>
      </c>
      <c r="F2003" s="117">
        <v>1404</v>
      </c>
      <c r="G2003" s="360" t="s">
        <v>295</v>
      </c>
      <c r="H2003" s="144">
        <f>bargiri[[#This Row],[میزان بارگیری شده]]*bargiri[[#This Row],[فی]]</f>
        <v>437200000</v>
      </c>
      <c r="I2003" s="360">
        <f>IF(year=bargiri[[#This Row],[سال]],1,0)</f>
        <v>0</v>
      </c>
      <c r="J2003" s="360" t="str">
        <f>VLOOKUP(bargiri[[#This Row],[شماره پیش فاکتور]],invoice[],16,0)</f>
        <v>عادی</v>
      </c>
      <c r="K2003" s="252">
        <f>bargiri[[#This Row],[فی]]*bargiri[[#This Row],[میزان بارگیری شده]]</f>
        <v>437200000</v>
      </c>
      <c r="Z2003" s="1"/>
    </row>
    <row r="2004" spans="1:26" ht="18.600000000000001">
      <c r="A2004" s="360" t="s">
        <v>184</v>
      </c>
      <c r="B2004" s="360" t="s">
        <v>113</v>
      </c>
      <c r="C2004" s="355" t="s">
        <v>61</v>
      </c>
      <c r="D2004">
        <v>15575</v>
      </c>
      <c r="E2004" s="143">
        <v>75000</v>
      </c>
      <c r="F2004" s="117">
        <v>1404</v>
      </c>
      <c r="G2004" s="360" t="s">
        <v>295</v>
      </c>
      <c r="H2004" s="144">
        <f>bargiri[[#This Row],[میزان بارگیری شده]]*bargiri[[#This Row],[فی]]</f>
        <v>1168125000</v>
      </c>
      <c r="I2004" s="360">
        <f>IF(year=bargiri[[#This Row],[سال]],1,0)</f>
        <v>0</v>
      </c>
      <c r="J2004" s="360" t="str">
        <f>VLOOKUP(bargiri[[#This Row],[شماره پیش فاکتور]],invoice[],16,0)</f>
        <v>عادی</v>
      </c>
      <c r="K2004" s="252">
        <f>bargiri[[#This Row],[فی]]*bargiri[[#This Row],[میزان بارگیری شده]]</f>
        <v>1168125000</v>
      </c>
      <c r="Z2004" s="1"/>
    </row>
    <row r="2005" spans="1:26" ht="18.600000000000001">
      <c r="A2005" s="360" t="s">
        <v>184</v>
      </c>
      <c r="B2005" s="360" t="s">
        <v>106</v>
      </c>
      <c r="C2005" s="355" t="s">
        <v>45</v>
      </c>
      <c r="D2005">
        <v>5325</v>
      </c>
      <c r="E2005" s="143">
        <v>80000</v>
      </c>
      <c r="F2005" s="117">
        <v>1404</v>
      </c>
      <c r="G2005" s="360" t="s">
        <v>295</v>
      </c>
      <c r="H2005" s="144">
        <f>bargiri[[#This Row],[میزان بارگیری شده]]*bargiri[[#This Row],[فی]]</f>
        <v>426000000</v>
      </c>
      <c r="I2005" s="360">
        <f>IF(year=bargiri[[#This Row],[سال]],1,0)</f>
        <v>0</v>
      </c>
      <c r="J2005" s="360" t="str">
        <f>VLOOKUP(bargiri[[#This Row],[شماره پیش فاکتور]],invoice[],16,0)</f>
        <v>عادی</v>
      </c>
      <c r="K2005" s="252">
        <f>bargiri[[#This Row],[فی]]*bargiri[[#This Row],[میزان بارگیری شده]]</f>
        <v>426000000</v>
      </c>
      <c r="Z2005" s="1"/>
    </row>
    <row r="2006" spans="1:26" ht="18.600000000000001">
      <c r="A2006" s="360" t="s">
        <v>184</v>
      </c>
      <c r="B2006" s="360" t="s">
        <v>107</v>
      </c>
      <c r="C2006" s="355" t="s">
        <v>50</v>
      </c>
      <c r="D2006">
        <v>19000</v>
      </c>
      <c r="E2006" s="143">
        <v>70000</v>
      </c>
      <c r="F2006" s="117">
        <v>1404</v>
      </c>
      <c r="G2006" s="360" t="s">
        <v>295</v>
      </c>
      <c r="H2006" s="144">
        <f>bargiri[[#This Row],[میزان بارگیری شده]]*bargiri[[#This Row],[فی]]</f>
        <v>1330000000</v>
      </c>
      <c r="I2006" s="360">
        <f>IF(year=bargiri[[#This Row],[سال]],1,0)</f>
        <v>0</v>
      </c>
      <c r="J2006" s="360" t="str">
        <f>VLOOKUP(bargiri[[#This Row],[شماره پیش فاکتور]],invoice[],16,0)</f>
        <v>عادی</v>
      </c>
      <c r="K2006" s="252">
        <f>bargiri[[#This Row],[فی]]*bargiri[[#This Row],[میزان بارگیری شده]]</f>
        <v>1330000000</v>
      </c>
      <c r="Z2006" s="1"/>
    </row>
    <row r="2007" spans="1:26" ht="18.600000000000001">
      <c r="A2007" s="360" t="s">
        <v>184</v>
      </c>
      <c r="B2007" s="360" t="s">
        <v>106</v>
      </c>
      <c r="C2007" s="355" t="s">
        <v>45</v>
      </c>
      <c r="D2007">
        <v>5380</v>
      </c>
      <c r="E2007" s="143">
        <v>80000</v>
      </c>
      <c r="F2007" s="117">
        <v>1404</v>
      </c>
      <c r="G2007" s="360" t="s">
        <v>295</v>
      </c>
      <c r="H2007" s="144">
        <f>bargiri[[#This Row],[میزان بارگیری شده]]*bargiri[[#This Row],[فی]]</f>
        <v>430400000</v>
      </c>
      <c r="I2007" s="360">
        <f>IF(year=bargiri[[#This Row],[سال]],1,0)</f>
        <v>0</v>
      </c>
      <c r="J2007" s="360" t="str">
        <f>VLOOKUP(bargiri[[#This Row],[شماره پیش فاکتور]],invoice[],16,0)</f>
        <v>عادی</v>
      </c>
      <c r="K2007" s="252">
        <f>bargiri[[#This Row],[فی]]*bargiri[[#This Row],[میزان بارگیری شده]]</f>
        <v>430400000</v>
      </c>
      <c r="Z2007" s="1"/>
    </row>
    <row r="2008" spans="1:26" ht="18.600000000000001">
      <c r="A2008" s="360" t="s">
        <v>184</v>
      </c>
      <c r="B2008" s="360" t="s">
        <v>106</v>
      </c>
      <c r="C2008" s="355" t="s">
        <v>45</v>
      </c>
      <c r="D2008">
        <v>5290</v>
      </c>
      <c r="E2008" s="143">
        <v>80000</v>
      </c>
      <c r="F2008" s="117">
        <v>1404</v>
      </c>
      <c r="G2008" s="360" t="s">
        <v>295</v>
      </c>
      <c r="H2008" s="144">
        <f>bargiri[[#This Row],[میزان بارگیری شده]]*bargiri[[#This Row],[فی]]</f>
        <v>423200000</v>
      </c>
      <c r="I2008" s="360">
        <f>IF(year=bargiri[[#This Row],[سال]],1,0)</f>
        <v>0</v>
      </c>
      <c r="J2008" s="360" t="str">
        <f>VLOOKUP(bargiri[[#This Row],[شماره پیش فاکتور]],invoice[],16,0)</f>
        <v>عادی</v>
      </c>
      <c r="K2008" s="252">
        <f>bargiri[[#This Row],[فی]]*bargiri[[#This Row],[میزان بارگیری شده]]</f>
        <v>423200000</v>
      </c>
      <c r="Z2008" s="1"/>
    </row>
    <row r="2009" spans="1:26" ht="18.600000000000001">
      <c r="A2009" s="360" t="s">
        <v>184</v>
      </c>
      <c r="B2009" s="360" t="s">
        <v>113</v>
      </c>
      <c r="C2009" s="355" t="s">
        <v>61</v>
      </c>
      <c r="D2009">
        <v>18945</v>
      </c>
      <c r="E2009" s="143">
        <v>75000</v>
      </c>
      <c r="F2009" s="117">
        <v>1404</v>
      </c>
      <c r="G2009" s="360" t="s">
        <v>295</v>
      </c>
      <c r="H2009" s="144">
        <f>bargiri[[#This Row],[میزان بارگیری شده]]*bargiri[[#This Row],[فی]]</f>
        <v>1420875000</v>
      </c>
      <c r="I2009" s="360">
        <f>IF(year=bargiri[[#This Row],[سال]],1,0)</f>
        <v>0</v>
      </c>
      <c r="J2009" s="360" t="str">
        <f>VLOOKUP(bargiri[[#This Row],[شماره پیش فاکتور]],invoice[],16,0)</f>
        <v>عادی</v>
      </c>
      <c r="K2009" s="252">
        <f>bargiri[[#This Row],[فی]]*bargiri[[#This Row],[میزان بارگیری شده]]</f>
        <v>1420875000</v>
      </c>
      <c r="Z2009" s="1"/>
    </row>
    <row r="2010" spans="1:26" ht="18.600000000000001">
      <c r="A2010" s="360" t="s">
        <v>184</v>
      </c>
      <c r="B2010" s="360" t="s">
        <v>101</v>
      </c>
      <c r="C2010" s="355" t="s">
        <v>19</v>
      </c>
      <c r="D2010">
        <v>22080</v>
      </c>
      <c r="E2010" s="143">
        <v>75000</v>
      </c>
      <c r="F2010" s="117">
        <v>1404</v>
      </c>
      <c r="G2010" s="360" t="s">
        <v>295</v>
      </c>
      <c r="H2010" s="144">
        <f>bargiri[[#This Row],[میزان بارگیری شده]]*bargiri[[#This Row],[فی]]</f>
        <v>1656000000</v>
      </c>
      <c r="I2010" s="360">
        <f>IF(year=bargiri[[#This Row],[سال]],1,0)</f>
        <v>0</v>
      </c>
      <c r="J2010" s="360" t="str">
        <f>VLOOKUP(bargiri[[#This Row],[شماره پیش فاکتور]],invoice[],16,0)</f>
        <v>عادی</v>
      </c>
      <c r="K2010" s="252">
        <f>bargiri[[#This Row],[فی]]*bargiri[[#This Row],[میزان بارگیری شده]]</f>
        <v>1656000000</v>
      </c>
      <c r="Z2010" s="1"/>
    </row>
    <row r="2011" spans="1:26" ht="18.600000000000001">
      <c r="A2011" s="360" t="s">
        <v>184</v>
      </c>
      <c r="B2011" s="360" t="s">
        <v>103</v>
      </c>
      <c r="C2011" s="355" t="s">
        <v>29</v>
      </c>
      <c r="D2011">
        <v>7250</v>
      </c>
      <c r="E2011" s="143">
        <v>75000</v>
      </c>
      <c r="F2011" s="117">
        <v>1404</v>
      </c>
      <c r="G2011" s="360" t="s">
        <v>295</v>
      </c>
      <c r="H2011" s="144">
        <f>bargiri[[#This Row],[میزان بارگیری شده]]*bargiri[[#This Row],[فی]]</f>
        <v>543750000</v>
      </c>
      <c r="I2011" s="360">
        <f>IF(year=bargiri[[#This Row],[سال]],1,0)</f>
        <v>0</v>
      </c>
      <c r="J2011" s="360" t="str">
        <f>VLOOKUP(bargiri[[#This Row],[شماره پیش فاکتور]],invoice[],16,0)</f>
        <v>عادی</v>
      </c>
      <c r="K2011" s="252">
        <f>bargiri[[#This Row],[فی]]*bargiri[[#This Row],[میزان بارگیری شده]]</f>
        <v>543750000</v>
      </c>
      <c r="Z2011" s="1"/>
    </row>
    <row r="2012" spans="1:26" ht="18.600000000000001">
      <c r="A2012" s="360" t="s">
        <v>184</v>
      </c>
      <c r="B2012" s="360" t="s">
        <v>107</v>
      </c>
      <c r="C2012" s="355" t="s">
        <v>50</v>
      </c>
      <c r="D2012">
        <v>19045</v>
      </c>
      <c r="E2012" s="143">
        <v>70000</v>
      </c>
      <c r="F2012" s="117">
        <v>1404</v>
      </c>
      <c r="G2012" s="360" t="s">
        <v>295</v>
      </c>
      <c r="H2012" s="144">
        <f>bargiri[[#This Row],[میزان بارگیری شده]]*bargiri[[#This Row],[فی]]</f>
        <v>1333150000</v>
      </c>
      <c r="I2012" s="360">
        <f>IF(year=bargiri[[#This Row],[سال]],1,0)</f>
        <v>0</v>
      </c>
      <c r="J2012" s="360" t="str">
        <f>VLOOKUP(bargiri[[#This Row],[شماره پیش فاکتور]],invoice[],16,0)</f>
        <v>عادی</v>
      </c>
      <c r="K2012" s="252">
        <f>bargiri[[#This Row],[فی]]*bargiri[[#This Row],[میزان بارگیری شده]]</f>
        <v>1333150000</v>
      </c>
      <c r="Z2012" s="1"/>
    </row>
    <row r="2013" spans="1:26" ht="18.600000000000001">
      <c r="A2013" s="360" t="s">
        <v>184</v>
      </c>
      <c r="B2013" s="360" t="s">
        <v>118</v>
      </c>
      <c r="C2013" s="355" t="s">
        <v>84</v>
      </c>
      <c r="D2013">
        <v>20925</v>
      </c>
      <c r="E2013" s="143">
        <v>57273</v>
      </c>
      <c r="F2013" s="117">
        <v>1404</v>
      </c>
      <c r="G2013" s="360" t="s">
        <v>295</v>
      </c>
      <c r="H2013" s="144">
        <f>bargiri[[#This Row],[میزان بارگیری شده]]*bargiri[[#This Row],[فی]]</f>
        <v>1198437525</v>
      </c>
      <c r="I2013" s="360">
        <f>IF(year=bargiri[[#This Row],[سال]],1,0)</f>
        <v>0</v>
      </c>
      <c r="J2013" s="360" t="str">
        <f>VLOOKUP(bargiri[[#This Row],[شماره پیش فاکتور]],invoice[],16,0)</f>
        <v>عادی</v>
      </c>
      <c r="K2013" s="252">
        <f>bargiri[[#This Row],[فی]]*bargiri[[#This Row],[میزان بارگیری شده]]</f>
        <v>1198437525</v>
      </c>
      <c r="Z2013" s="1"/>
    </row>
    <row r="2014" spans="1:26" ht="18.600000000000001">
      <c r="A2014" s="360" t="s">
        <v>184</v>
      </c>
      <c r="B2014" s="360" t="s">
        <v>118</v>
      </c>
      <c r="C2014" s="355" t="s">
        <v>84</v>
      </c>
      <c r="D2014">
        <v>21020</v>
      </c>
      <c r="E2014" s="143">
        <v>57273</v>
      </c>
      <c r="F2014" s="117">
        <v>1404</v>
      </c>
      <c r="G2014" s="360" t="s">
        <v>295</v>
      </c>
      <c r="H2014" s="144">
        <f>bargiri[[#This Row],[میزان بارگیری شده]]*bargiri[[#This Row],[فی]]</f>
        <v>1203878460</v>
      </c>
      <c r="I2014" s="360">
        <f>IF(year=bargiri[[#This Row],[سال]],1,0)</f>
        <v>0</v>
      </c>
      <c r="J2014" s="360" t="str">
        <f>VLOOKUP(bargiri[[#This Row],[شماره پیش فاکتور]],invoice[],16,0)</f>
        <v>عادی</v>
      </c>
      <c r="K2014" s="252">
        <f>bargiri[[#This Row],[فی]]*bargiri[[#This Row],[میزان بارگیری شده]]</f>
        <v>1203878460</v>
      </c>
      <c r="Z2014" s="1"/>
    </row>
    <row r="2015" spans="1:26" ht="18.600000000000001">
      <c r="A2015" s="360" t="s">
        <v>184</v>
      </c>
      <c r="B2015" s="360" t="s">
        <v>107</v>
      </c>
      <c r="C2015" s="355" t="s">
        <v>50</v>
      </c>
      <c r="D2015">
        <v>18700</v>
      </c>
      <c r="E2015" s="143">
        <v>70000</v>
      </c>
      <c r="F2015" s="117">
        <v>1404</v>
      </c>
      <c r="G2015" s="360" t="s">
        <v>295</v>
      </c>
      <c r="H2015" s="144">
        <f>bargiri[[#This Row],[میزان بارگیری شده]]*bargiri[[#This Row],[فی]]</f>
        <v>1309000000</v>
      </c>
      <c r="I2015" s="360">
        <f>IF(year=bargiri[[#This Row],[سال]],1,0)</f>
        <v>0</v>
      </c>
      <c r="J2015" s="360" t="str">
        <f>VLOOKUP(bargiri[[#This Row],[شماره پیش فاکتور]],invoice[],16,0)</f>
        <v>عادی</v>
      </c>
      <c r="K2015" s="252">
        <f>bargiri[[#This Row],[فی]]*bargiri[[#This Row],[میزان بارگیری شده]]</f>
        <v>1309000000</v>
      </c>
      <c r="Z2015" s="1"/>
    </row>
    <row r="2016" spans="1:26" ht="18.600000000000001">
      <c r="A2016" s="360" t="s">
        <v>341</v>
      </c>
      <c r="B2016" s="360" t="s">
        <v>102</v>
      </c>
      <c r="C2016" s="355" t="s">
        <v>24</v>
      </c>
      <c r="D2016">
        <v>9805</v>
      </c>
      <c r="E2016" s="143">
        <v>70000</v>
      </c>
      <c r="F2016" s="117">
        <v>1403</v>
      </c>
      <c r="G2016" s="360" t="s">
        <v>296</v>
      </c>
      <c r="H2016" s="144">
        <f>bargiri[[#This Row],[میزان بارگیری شده]]*bargiri[[#This Row],[فی]]</f>
        <v>686350000</v>
      </c>
      <c r="I2016" s="360">
        <f>IF(year=bargiri[[#This Row],[سال]],1,0)</f>
        <v>0</v>
      </c>
      <c r="J2016" s="360" t="str">
        <f>VLOOKUP(bargiri[[#This Row],[شماره پیش فاکتور]],invoice[],16,0)</f>
        <v>عادی</v>
      </c>
      <c r="K2016" s="252">
        <f>bargiri[[#This Row],[فی]]*bargiri[[#This Row],[میزان بارگیری شده]]</f>
        <v>686350000</v>
      </c>
      <c r="Z2016" s="1"/>
    </row>
    <row r="2017" spans="1:26" ht="18.600000000000001">
      <c r="A2017" s="360" t="s">
        <v>341</v>
      </c>
      <c r="B2017" s="360" t="s">
        <v>107</v>
      </c>
      <c r="C2017" s="355" t="s">
        <v>50</v>
      </c>
      <c r="D2017">
        <v>19030</v>
      </c>
      <c r="E2017" s="143">
        <v>70000</v>
      </c>
      <c r="F2017" s="117">
        <v>1403</v>
      </c>
      <c r="G2017" s="360" t="s">
        <v>296</v>
      </c>
      <c r="H2017" s="144">
        <f>bargiri[[#This Row],[میزان بارگیری شده]]*bargiri[[#This Row],[فی]]</f>
        <v>1332100000</v>
      </c>
      <c r="I2017" s="360">
        <f>IF(year=bargiri[[#This Row],[سال]],1,0)</f>
        <v>0</v>
      </c>
      <c r="J2017" s="360" t="str">
        <f>VLOOKUP(bargiri[[#This Row],[شماره پیش فاکتور]],invoice[],16,0)</f>
        <v>عادی</v>
      </c>
      <c r="K2017" s="252">
        <f>bargiri[[#This Row],[فی]]*bargiri[[#This Row],[میزان بارگیری شده]]</f>
        <v>1332100000</v>
      </c>
      <c r="Z2017" s="1"/>
    </row>
    <row r="2018" spans="1:26" ht="18.600000000000001">
      <c r="A2018" s="360" t="s">
        <v>341</v>
      </c>
      <c r="B2018" s="360" t="s">
        <v>118</v>
      </c>
      <c r="C2018" s="355" t="s">
        <v>84</v>
      </c>
      <c r="D2018">
        <v>20410</v>
      </c>
      <c r="E2018" s="143">
        <v>57273</v>
      </c>
      <c r="F2018" s="117">
        <v>1403</v>
      </c>
      <c r="G2018" s="360" t="s">
        <v>296</v>
      </c>
      <c r="H2018" s="144">
        <f>bargiri[[#This Row],[میزان بارگیری شده]]*bargiri[[#This Row],[فی]]</f>
        <v>1168941930</v>
      </c>
      <c r="I2018" s="360">
        <f>IF(year=bargiri[[#This Row],[سال]],1,0)</f>
        <v>0</v>
      </c>
      <c r="J2018" s="360" t="str">
        <f>VLOOKUP(bargiri[[#This Row],[شماره پیش فاکتور]],invoice[],16,0)</f>
        <v>عادی</v>
      </c>
      <c r="K2018" s="252">
        <f>bargiri[[#This Row],[فی]]*bargiri[[#This Row],[میزان بارگیری شده]]</f>
        <v>1168941930</v>
      </c>
      <c r="Z2018" s="1"/>
    </row>
    <row r="2019" spans="1:26" ht="18.600000000000001">
      <c r="A2019" s="360" t="s">
        <v>341</v>
      </c>
      <c r="B2019" s="360" t="s">
        <v>118</v>
      </c>
      <c r="C2019" s="355" t="s">
        <v>84</v>
      </c>
      <c r="D2019">
        <v>20505</v>
      </c>
      <c r="E2019" s="143">
        <v>57273</v>
      </c>
      <c r="F2019" s="117">
        <v>1403</v>
      </c>
      <c r="G2019" s="360" t="s">
        <v>296</v>
      </c>
      <c r="H2019" s="144">
        <f>bargiri[[#This Row],[میزان بارگیری شده]]*bargiri[[#This Row],[فی]]</f>
        <v>1174382865</v>
      </c>
      <c r="I2019" s="360">
        <f>IF(year=bargiri[[#This Row],[سال]],1,0)</f>
        <v>0</v>
      </c>
      <c r="J2019" s="360" t="str">
        <f>VLOOKUP(bargiri[[#This Row],[شماره پیش فاکتور]],invoice[],16,0)</f>
        <v>عادی</v>
      </c>
      <c r="K2019" s="252">
        <f>bargiri[[#This Row],[فی]]*bargiri[[#This Row],[میزان بارگیری شده]]</f>
        <v>1174382865</v>
      </c>
      <c r="Z2019" s="1"/>
    </row>
    <row r="2020" spans="1:26" ht="18.600000000000001">
      <c r="A2020" s="360" t="s">
        <v>342</v>
      </c>
      <c r="B2020" s="360" t="s">
        <v>107</v>
      </c>
      <c r="C2020" s="355" t="s">
        <v>50</v>
      </c>
      <c r="D2020">
        <v>19115</v>
      </c>
      <c r="E2020" s="143">
        <v>70000</v>
      </c>
      <c r="F2020" s="117">
        <v>1403</v>
      </c>
      <c r="G2020" s="360" t="s">
        <v>296</v>
      </c>
      <c r="H2020" s="144">
        <f>bargiri[[#This Row],[میزان بارگیری شده]]*bargiri[[#This Row],[فی]]</f>
        <v>1338050000</v>
      </c>
      <c r="I2020" s="360">
        <f>IF(year=bargiri[[#This Row],[سال]],1,0)</f>
        <v>0</v>
      </c>
      <c r="J2020" s="360" t="str">
        <f>VLOOKUP(bargiri[[#This Row],[شماره پیش فاکتور]],invoice[],16,0)</f>
        <v>عادی</v>
      </c>
      <c r="K2020" s="252">
        <f>bargiri[[#This Row],[فی]]*bargiri[[#This Row],[میزان بارگیری شده]]</f>
        <v>1338050000</v>
      </c>
      <c r="Z2020" s="1"/>
    </row>
    <row r="2021" spans="1:26" ht="18.600000000000001">
      <c r="A2021" s="360" t="s">
        <v>342</v>
      </c>
      <c r="B2021" s="360" t="s">
        <v>113</v>
      </c>
      <c r="C2021" s="355" t="s">
        <v>61</v>
      </c>
      <c r="D2021">
        <v>18925</v>
      </c>
      <c r="E2021" s="143">
        <v>75000</v>
      </c>
      <c r="F2021" s="117">
        <v>1403</v>
      </c>
      <c r="G2021" s="360" t="s">
        <v>296</v>
      </c>
      <c r="H2021" s="144">
        <f>bargiri[[#This Row],[میزان بارگیری شده]]*bargiri[[#This Row],[فی]]</f>
        <v>1419375000</v>
      </c>
      <c r="I2021" s="360">
        <f>IF(year=bargiri[[#This Row],[سال]],1,0)</f>
        <v>0</v>
      </c>
      <c r="J2021" s="360" t="str">
        <f>VLOOKUP(bargiri[[#This Row],[شماره پیش فاکتور]],invoice[],16,0)</f>
        <v>عادی</v>
      </c>
      <c r="K2021" s="252">
        <f>bargiri[[#This Row],[فی]]*bargiri[[#This Row],[میزان بارگیری شده]]</f>
        <v>1419375000</v>
      </c>
      <c r="Z2021" s="1"/>
    </row>
    <row r="2022" spans="1:26" ht="18.600000000000001">
      <c r="A2022" s="360" t="s">
        <v>169</v>
      </c>
      <c r="B2022" s="360" t="s">
        <v>102</v>
      </c>
      <c r="C2022" s="355" t="s">
        <v>24</v>
      </c>
      <c r="D2022">
        <v>11490</v>
      </c>
      <c r="E2022" s="143">
        <v>70000</v>
      </c>
      <c r="F2022" s="117">
        <v>1403</v>
      </c>
      <c r="G2022" s="360" t="s">
        <v>296</v>
      </c>
      <c r="H2022" s="144">
        <f>bargiri[[#This Row],[میزان بارگیری شده]]*bargiri[[#This Row],[فی]]</f>
        <v>804300000</v>
      </c>
      <c r="I2022" s="360">
        <f>IF(year=bargiri[[#This Row],[سال]],1,0)</f>
        <v>0</v>
      </c>
      <c r="J2022" s="360" t="str">
        <f>VLOOKUP(bargiri[[#This Row],[شماره پیش فاکتور]],invoice[],16,0)</f>
        <v>عادی</v>
      </c>
      <c r="K2022" s="252">
        <f>bargiri[[#This Row],[فی]]*bargiri[[#This Row],[میزان بارگیری شده]]</f>
        <v>804300000</v>
      </c>
      <c r="Z2022" s="1"/>
    </row>
    <row r="2023" spans="1:26" ht="18.600000000000001">
      <c r="A2023" s="360" t="s">
        <v>342</v>
      </c>
      <c r="B2023" s="360" t="s">
        <v>113</v>
      </c>
      <c r="C2023" s="355" t="s">
        <v>61</v>
      </c>
      <c r="D2023">
        <v>19430</v>
      </c>
      <c r="E2023" s="143">
        <v>75000</v>
      </c>
      <c r="F2023" s="117">
        <v>1403</v>
      </c>
      <c r="G2023" s="360" t="s">
        <v>296</v>
      </c>
      <c r="H2023" s="144">
        <f>bargiri[[#This Row],[میزان بارگیری شده]]*bargiri[[#This Row],[فی]]</f>
        <v>1457250000</v>
      </c>
      <c r="I2023" s="360">
        <f>IF(year=bargiri[[#This Row],[سال]],1,0)</f>
        <v>0</v>
      </c>
      <c r="J2023" s="360" t="str">
        <f>VLOOKUP(bargiri[[#This Row],[شماره پیش فاکتور]],invoice[],16,0)</f>
        <v>عادی</v>
      </c>
      <c r="K2023" s="252">
        <f>bargiri[[#This Row],[فی]]*bargiri[[#This Row],[میزان بارگیری شده]]</f>
        <v>1457250000</v>
      </c>
      <c r="Z2023" s="1"/>
    </row>
    <row r="2024" spans="1:26" ht="18.600000000000001">
      <c r="A2024" s="360" t="s">
        <v>169</v>
      </c>
      <c r="B2024" s="360" t="s">
        <v>98</v>
      </c>
      <c r="C2024" s="355" t="s">
        <v>7</v>
      </c>
      <c r="D2024">
        <v>8625</v>
      </c>
      <c r="E2024" s="143">
        <v>92180</v>
      </c>
      <c r="F2024" s="117">
        <v>1403</v>
      </c>
      <c r="G2024" s="360" t="s">
        <v>296</v>
      </c>
      <c r="H2024" s="144">
        <f>bargiri[[#This Row],[میزان بارگیری شده]]*bargiri[[#This Row],[فی]]</f>
        <v>795052500</v>
      </c>
      <c r="I2024" s="360">
        <f>IF(year=bargiri[[#This Row],[سال]],1,0)</f>
        <v>0</v>
      </c>
      <c r="J2024" s="360" t="str">
        <f>VLOOKUP(bargiri[[#This Row],[شماره پیش فاکتور]],invoice[],16,0)</f>
        <v>بورس</v>
      </c>
      <c r="K2024" s="252">
        <f>bargiri[[#This Row],[فی]]*bargiri[[#This Row],[میزان بارگیری شده]]</f>
        <v>795052500</v>
      </c>
      <c r="Z2024" s="1"/>
    </row>
    <row r="2025" spans="1:26" ht="18.600000000000001">
      <c r="A2025" s="360" t="s">
        <v>169</v>
      </c>
      <c r="B2025" s="360" t="s">
        <v>98</v>
      </c>
      <c r="C2025" s="355" t="s">
        <v>4</v>
      </c>
      <c r="D2025">
        <v>11410</v>
      </c>
      <c r="E2025" s="143">
        <v>65000</v>
      </c>
      <c r="F2025" s="117">
        <v>1403</v>
      </c>
      <c r="G2025" s="360" t="s">
        <v>296</v>
      </c>
      <c r="H2025" s="144">
        <f>bargiri[[#This Row],[میزان بارگیری شده]]*bargiri[[#This Row],[فی]]</f>
        <v>741650000</v>
      </c>
      <c r="I2025" s="360">
        <f>IF(year=bargiri[[#This Row],[سال]],1,0)</f>
        <v>0</v>
      </c>
      <c r="J2025" s="360" t="str">
        <f>VLOOKUP(bargiri[[#This Row],[شماره پیش فاکتور]],invoice[],16,0)</f>
        <v>تعادلی</v>
      </c>
      <c r="K2025" s="252">
        <f>bargiri[[#This Row],[فی]]*bargiri[[#This Row],[میزان بارگیری شده]]</f>
        <v>741650000</v>
      </c>
      <c r="Z2025" s="1"/>
    </row>
    <row r="2026" spans="1:26" ht="18.600000000000001">
      <c r="A2026" s="360" t="s">
        <v>169</v>
      </c>
      <c r="B2026" s="360" t="s">
        <v>117</v>
      </c>
      <c r="C2026" s="355" t="s">
        <v>79</v>
      </c>
      <c r="D2026">
        <v>19910</v>
      </c>
      <c r="E2026" s="143">
        <v>75000</v>
      </c>
      <c r="F2026" s="117">
        <v>1403</v>
      </c>
      <c r="G2026" s="360" t="s">
        <v>296</v>
      </c>
      <c r="H2026" s="144">
        <f>bargiri[[#This Row],[میزان بارگیری شده]]*bargiri[[#This Row],[فی]]</f>
        <v>1493250000</v>
      </c>
      <c r="I2026" s="360">
        <f>IF(year=bargiri[[#This Row],[سال]],1,0)</f>
        <v>0</v>
      </c>
      <c r="J2026" s="360" t="str">
        <f>VLOOKUP(bargiri[[#This Row],[شماره پیش فاکتور]],invoice[],16,0)</f>
        <v>عادی</v>
      </c>
      <c r="K2026" s="252">
        <f>bargiri[[#This Row],[فی]]*bargiri[[#This Row],[میزان بارگیری شده]]</f>
        <v>1493250000</v>
      </c>
      <c r="Z2026" s="1"/>
    </row>
    <row r="2027" spans="1:26" ht="18.600000000000001">
      <c r="A2027" s="360" t="s">
        <v>169</v>
      </c>
      <c r="B2027" s="360" t="s">
        <v>118</v>
      </c>
      <c r="C2027" s="355" t="s">
        <v>84</v>
      </c>
      <c r="D2027">
        <v>20855</v>
      </c>
      <c r="E2027" s="143">
        <v>57273</v>
      </c>
      <c r="F2027" s="117">
        <v>1403</v>
      </c>
      <c r="G2027" s="360" t="s">
        <v>296</v>
      </c>
      <c r="H2027" s="144">
        <f>bargiri[[#This Row],[میزان بارگیری شده]]*bargiri[[#This Row],[فی]]</f>
        <v>1194428415</v>
      </c>
      <c r="I2027" s="360">
        <f>IF(year=bargiri[[#This Row],[سال]],1,0)</f>
        <v>0</v>
      </c>
      <c r="J2027" s="360" t="str">
        <f>VLOOKUP(bargiri[[#This Row],[شماره پیش فاکتور]],invoice[],16,0)</f>
        <v>عادی</v>
      </c>
      <c r="K2027" s="252">
        <f>bargiri[[#This Row],[فی]]*bargiri[[#This Row],[میزان بارگیری شده]]</f>
        <v>1194428415</v>
      </c>
      <c r="Z2027" s="1"/>
    </row>
    <row r="2028" spans="1:26" ht="18.600000000000001">
      <c r="A2028" s="360" t="s">
        <v>169</v>
      </c>
      <c r="B2028" s="360" t="s">
        <v>118</v>
      </c>
      <c r="C2028" s="355" t="s">
        <v>84</v>
      </c>
      <c r="D2028">
        <v>20975</v>
      </c>
      <c r="E2028" s="143">
        <v>57273</v>
      </c>
      <c r="F2028" s="117">
        <v>1403</v>
      </c>
      <c r="G2028" s="360" t="s">
        <v>296</v>
      </c>
      <c r="H2028" s="144">
        <f>bargiri[[#This Row],[میزان بارگیری شده]]*bargiri[[#This Row],[فی]]</f>
        <v>1201301175</v>
      </c>
      <c r="I2028" s="360">
        <f>IF(year=bargiri[[#This Row],[سال]],1,0)</f>
        <v>0</v>
      </c>
      <c r="J2028" s="360" t="str">
        <f>VLOOKUP(bargiri[[#This Row],[شماره پیش فاکتور]],invoice[],16,0)</f>
        <v>عادی</v>
      </c>
      <c r="K2028" s="252">
        <f>bargiri[[#This Row],[فی]]*bargiri[[#This Row],[میزان بارگیری شده]]</f>
        <v>1201301175</v>
      </c>
      <c r="Z2028" s="1"/>
    </row>
    <row r="2029" spans="1:26" ht="18.600000000000001">
      <c r="A2029" s="360" t="s">
        <v>169</v>
      </c>
      <c r="B2029" s="360" t="s">
        <v>118</v>
      </c>
      <c r="C2029" s="355" t="s">
        <v>84</v>
      </c>
      <c r="D2029">
        <v>21160</v>
      </c>
      <c r="E2029" s="143">
        <v>57273</v>
      </c>
      <c r="F2029" s="117">
        <v>1403</v>
      </c>
      <c r="G2029" s="360" t="s">
        <v>296</v>
      </c>
      <c r="H2029" s="144">
        <f>bargiri[[#This Row],[میزان بارگیری شده]]*bargiri[[#This Row],[فی]]</f>
        <v>1211896680</v>
      </c>
      <c r="I2029" s="360">
        <f>IF(year=bargiri[[#This Row],[سال]],1,0)</f>
        <v>0</v>
      </c>
      <c r="J2029" s="360" t="str">
        <f>VLOOKUP(bargiri[[#This Row],[شماره پیش فاکتور]],invoice[],16,0)</f>
        <v>عادی</v>
      </c>
      <c r="K2029" s="252">
        <f>bargiri[[#This Row],[فی]]*bargiri[[#This Row],[میزان بارگیری شده]]</f>
        <v>1211896680</v>
      </c>
      <c r="Z2029" s="1"/>
    </row>
    <row r="2030" spans="1:26" ht="18.600000000000001">
      <c r="A2030" s="360" t="s">
        <v>169</v>
      </c>
      <c r="B2030" s="360" t="s">
        <v>118</v>
      </c>
      <c r="C2030" s="355" t="s">
        <v>84</v>
      </c>
      <c r="D2030">
        <v>20980</v>
      </c>
      <c r="E2030" s="143">
        <v>57273</v>
      </c>
      <c r="F2030" s="117">
        <v>1403</v>
      </c>
      <c r="G2030" s="360" t="s">
        <v>296</v>
      </c>
      <c r="H2030" s="144">
        <f>bargiri[[#This Row],[میزان بارگیری شده]]*bargiri[[#This Row],[فی]]</f>
        <v>1201587540</v>
      </c>
      <c r="I2030" s="360">
        <f>IF(year=bargiri[[#This Row],[سال]],1,0)</f>
        <v>0</v>
      </c>
      <c r="J2030" s="360" t="str">
        <f>VLOOKUP(bargiri[[#This Row],[شماره پیش فاکتور]],invoice[],16,0)</f>
        <v>عادی</v>
      </c>
      <c r="K2030" s="252">
        <f>bargiri[[#This Row],[فی]]*bargiri[[#This Row],[میزان بارگیری شده]]</f>
        <v>1201587540</v>
      </c>
      <c r="Z2030" s="1"/>
    </row>
    <row r="2031" spans="1:26" ht="18.600000000000001">
      <c r="A2031" s="360" t="s">
        <v>131</v>
      </c>
      <c r="B2031" s="360" t="s">
        <v>116</v>
      </c>
      <c r="C2031" s="355" t="s">
        <v>77</v>
      </c>
      <c r="D2031">
        <v>19100</v>
      </c>
      <c r="E2031" s="143">
        <v>68500</v>
      </c>
      <c r="F2031" s="117">
        <v>1403</v>
      </c>
      <c r="G2031" s="360" t="s">
        <v>296</v>
      </c>
      <c r="H2031" s="144">
        <f>bargiri[[#This Row],[میزان بارگیری شده]]*bargiri[[#This Row],[فی]]</f>
        <v>1308350000</v>
      </c>
      <c r="I2031" s="360">
        <f>IF(year=bargiri[[#This Row],[سال]],1,0)</f>
        <v>0</v>
      </c>
      <c r="J2031" s="360" t="str">
        <f>VLOOKUP(bargiri[[#This Row],[شماره پیش فاکتور]],invoice[],16,0)</f>
        <v>عادی</v>
      </c>
      <c r="K2031" s="252">
        <f>bargiri[[#This Row],[فی]]*bargiri[[#This Row],[میزان بارگیری شده]]</f>
        <v>1308350000</v>
      </c>
      <c r="Z2031" s="1"/>
    </row>
    <row r="2032" spans="1:26" ht="18.600000000000001">
      <c r="A2032" s="360" t="s">
        <v>131</v>
      </c>
      <c r="B2032" s="360" t="s">
        <v>118</v>
      </c>
      <c r="C2032" s="355" t="s">
        <v>84</v>
      </c>
      <c r="D2032">
        <v>21095</v>
      </c>
      <c r="E2032" s="143">
        <v>57273</v>
      </c>
      <c r="F2032" s="117">
        <v>1403</v>
      </c>
      <c r="G2032" s="360" t="s">
        <v>296</v>
      </c>
      <c r="H2032" s="144">
        <f>bargiri[[#This Row],[میزان بارگیری شده]]*bargiri[[#This Row],[فی]]</f>
        <v>1208173935</v>
      </c>
      <c r="I2032" s="360">
        <f>IF(year=bargiri[[#This Row],[سال]],1,0)</f>
        <v>0</v>
      </c>
      <c r="J2032" s="360" t="str">
        <f>VLOOKUP(bargiri[[#This Row],[شماره پیش فاکتور]],invoice[],16,0)</f>
        <v>عادی</v>
      </c>
      <c r="K2032" s="252">
        <f>bargiri[[#This Row],[فی]]*bargiri[[#This Row],[میزان بارگیری شده]]</f>
        <v>1208173935</v>
      </c>
      <c r="Z2032" s="1"/>
    </row>
    <row r="2033" spans="1:26" ht="18.600000000000001">
      <c r="A2033" s="360" t="s">
        <v>131</v>
      </c>
      <c r="B2033" s="360" t="s">
        <v>118</v>
      </c>
      <c r="C2033" s="355" t="s">
        <v>84</v>
      </c>
      <c r="D2033">
        <v>20545</v>
      </c>
      <c r="E2033" s="143">
        <v>57273</v>
      </c>
      <c r="F2033" s="117">
        <v>1403</v>
      </c>
      <c r="G2033" s="360" t="s">
        <v>296</v>
      </c>
      <c r="H2033" s="144">
        <f>bargiri[[#This Row],[میزان بارگیری شده]]*bargiri[[#This Row],[فی]]</f>
        <v>1176673785</v>
      </c>
      <c r="I2033" s="360">
        <f>IF(year=bargiri[[#This Row],[سال]],1,0)</f>
        <v>0</v>
      </c>
      <c r="J2033" s="360" t="str">
        <f>VLOOKUP(bargiri[[#This Row],[شماره پیش فاکتور]],invoice[],16,0)</f>
        <v>عادی</v>
      </c>
      <c r="K2033" s="252">
        <f>bargiri[[#This Row],[فی]]*bargiri[[#This Row],[میزان بارگیری شده]]</f>
        <v>1176673785</v>
      </c>
      <c r="Z2033" s="1"/>
    </row>
    <row r="2034" spans="1:26" ht="18.600000000000001">
      <c r="A2034" s="360" t="s">
        <v>131</v>
      </c>
      <c r="B2034" s="360" t="s">
        <v>118</v>
      </c>
      <c r="C2034" s="355" t="s">
        <v>84</v>
      </c>
      <c r="D2034">
        <v>20390</v>
      </c>
      <c r="E2034" s="143">
        <v>57273</v>
      </c>
      <c r="F2034" s="117">
        <v>1403</v>
      </c>
      <c r="G2034" s="360" t="s">
        <v>296</v>
      </c>
      <c r="H2034" s="144">
        <f>bargiri[[#This Row],[میزان بارگیری شده]]*bargiri[[#This Row],[فی]]</f>
        <v>1167796470</v>
      </c>
      <c r="I2034" s="360">
        <f>IF(year=bargiri[[#This Row],[سال]],1,0)</f>
        <v>0</v>
      </c>
      <c r="J2034" s="360" t="str">
        <f>VLOOKUP(bargiri[[#This Row],[شماره پیش فاکتور]],invoice[],16,0)</f>
        <v>عادی</v>
      </c>
      <c r="K2034" s="252">
        <f>bargiri[[#This Row],[فی]]*bargiri[[#This Row],[میزان بارگیری شده]]</f>
        <v>1167796470</v>
      </c>
      <c r="Z2034" s="1"/>
    </row>
    <row r="2035" spans="1:26" ht="18.600000000000001">
      <c r="A2035" s="360" t="s">
        <v>131</v>
      </c>
      <c r="B2035" s="360" t="s">
        <v>118</v>
      </c>
      <c r="C2035" s="355" t="s">
        <v>84</v>
      </c>
      <c r="D2035">
        <v>20830</v>
      </c>
      <c r="E2035" s="143">
        <v>57273</v>
      </c>
      <c r="F2035" s="117">
        <v>1403</v>
      </c>
      <c r="G2035" s="360" t="s">
        <v>296</v>
      </c>
      <c r="H2035" s="144">
        <f>bargiri[[#This Row],[میزان بارگیری شده]]*bargiri[[#This Row],[فی]]</f>
        <v>1192996590</v>
      </c>
      <c r="I2035" s="360">
        <f>IF(year=bargiri[[#This Row],[سال]],1,0)</f>
        <v>0</v>
      </c>
      <c r="J2035" s="360" t="str">
        <f>VLOOKUP(bargiri[[#This Row],[شماره پیش فاکتور]],invoice[],16,0)</f>
        <v>عادی</v>
      </c>
      <c r="K2035" s="252">
        <f>bargiri[[#This Row],[فی]]*bargiri[[#This Row],[میزان بارگیری شده]]</f>
        <v>1192996590</v>
      </c>
      <c r="Z2035" s="1"/>
    </row>
    <row r="2036" spans="1:26" ht="18.600000000000001">
      <c r="A2036" s="360" t="s">
        <v>131</v>
      </c>
      <c r="B2036" s="360" t="s">
        <v>123</v>
      </c>
      <c r="C2036" s="355" t="s">
        <v>93</v>
      </c>
      <c r="D2036">
        <v>7700</v>
      </c>
      <c r="E2036" s="143">
        <v>75000</v>
      </c>
      <c r="F2036" s="117">
        <v>1403</v>
      </c>
      <c r="G2036" s="360" t="s">
        <v>296</v>
      </c>
      <c r="H2036" s="144">
        <f>bargiri[[#This Row],[میزان بارگیری شده]]*bargiri[[#This Row],[فی]]</f>
        <v>577500000</v>
      </c>
      <c r="I2036" s="360">
        <f>IF(year=bargiri[[#This Row],[سال]],1,0)</f>
        <v>0</v>
      </c>
      <c r="J2036" s="360" t="str">
        <f>VLOOKUP(bargiri[[#This Row],[شماره پیش فاکتور]],invoice[],16,0)</f>
        <v>عادی</v>
      </c>
      <c r="K2036" s="252">
        <f>bargiri[[#This Row],[فی]]*bargiri[[#This Row],[میزان بارگیری شده]]</f>
        <v>577500000</v>
      </c>
      <c r="Z2036" s="1"/>
    </row>
    <row r="2037" spans="1:26" ht="18.600000000000001">
      <c r="A2037" s="360" t="s">
        <v>131</v>
      </c>
      <c r="B2037" s="360" t="s">
        <v>107</v>
      </c>
      <c r="C2037" s="355" t="s">
        <v>50</v>
      </c>
      <c r="D2037">
        <v>19105</v>
      </c>
      <c r="E2037" s="143">
        <v>70000</v>
      </c>
      <c r="F2037" s="117">
        <v>1403</v>
      </c>
      <c r="G2037" s="360" t="s">
        <v>296</v>
      </c>
      <c r="H2037" s="144">
        <f>bargiri[[#This Row],[میزان بارگیری شده]]*bargiri[[#This Row],[فی]]</f>
        <v>1337350000</v>
      </c>
      <c r="I2037" s="360">
        <f>IF(year=bargiri[[#This Row],[سال]],1,0)</f>
        <v>0</v>
      </c>
      <c r="J2037" s="360" t="str">
        <f>VLOOKUP(bargiri[[#This Row],[شماره پیش فاکتور]],invoice[],16,0)</f>
        <v>عادی</v>
      </c>
      <c r="K2037" s="252">
        <f>bargiri[[#This Row],[فی]]*bargiri[[#This Row],[میزان بارگیری شده]]</f>
        <v>1337350000</v>
      </c>
      <c r="Z2037" s="1"/>
    </row>
    <row r="2038" spans="1:26" ht="18.600000000000001">
      <c r="A2038" s="360" t="s">
        <v>343</v>
      </c>
      <c r="B2038" s="360" t="s">
        <v>114</v>
      </c>
      <c r="C2038" s="355" t="s">
        <v>63</v>
      </c>
      <c r="D2038">
        <v>21045</v>
      </c>
      <c r="E2038" s="143">
        <v>75000</v>
      </c>
      <c r="F2038" s="117">
        <v>1403</v>
      </c>
      <c r="G2038" s="360" t="s">
        <v>296</v>
      </c>
      <c r="H2038" s="144">
        <f>bargiri[[#This Row],[میزان بارگیری شده]]*bargiri[[#This Row],[فی]]</f>
        <v>1578375000</v>
      </c>
      <c r="I2038" s="360">
        <f>IF(year=bargiri[[#This Row],[سال]],1,0)</f>
        <v>0</v>
      </c>
      <c r="J2038" s="360" t="str">
        <f>VLOOKUP(bargiri[[#This Row],[شماره پیش فاکتور]],invoice[],16,0)</f>
        <v>عادی</v>
      </c>
      <c r="K2038" s="252">
        <f>bargiri[[#This Row],[فی]]*bargiri[[#This Row],[میزان بارگیری شده]]</f>
        <v>1578375000</v>
      </c>
      <c r="Z2038" s="1"/>
    </row>
    <row r="2039" spans="1:26" ht="18.600000000000001">
      <c r="A2039" s="360" t="s">
        <v>343</v>
      </c>
      <c r="B2039" s="360" t="s">
        <v>107</v>
      </c>
      <c r="C2039" s="355" t="s">
        <v>50</v>
      </c>
      <c r="D2039">
        <v>18895</v>
      </c>
      <c r="E2039" s="143">
        <v>70000</v>
      </c>
      <c r="F2039" s="117">
        <v>1403</v>
      </c>
      <c r="G2039" s="360" t="s">
        <v>296</v>
      </c>
      <c r="H2039" s="144">
        <f>bargiri[[#This Row],[میزان بارگیری شده]]*bargiri[[#This Row],[فی]]</f>
        <v>1322650000</v>
      </c>
      <c r="I2039" s="360">
        <f>IF(year=bargiri[[#This Row],[سال]],1,0)</f>
        <v>0</v>
      </c>
      <c r="J2039" s="360" t="str">
        <f>VLOOKUP(bargiri[[#This Row],[شماره پیش فاکتور]],invoice[],16,0)</f>
        <v>عادی</v>
      </c>
      <c r="K2039" s="252">
        <f>bargiri[[#This Row],[فی]]*bargiri[[#This Row],[میزان بارگیری شده]]</f>
        <v>1322650000</v>
      </c>
      <c r="Z2039" s="1"/>
    </row>
    <row r="2040" spans="1:26" ht="18.600000000000001">
      <c r="A2040" s="360" t="s">
        <v>212</v>
      </c>
      <c r="B2040" s="360" t="s">
        <v>120</v>
      </c>
      <c r="C2040" s="355" t="s">
        <v>88</v>
      </c>
      <c r="D2040">
        <v>8930</v>
      </c>
      <c r="E2040" s="143">
        <v>80000</v>
      </c>
      <c r="F2040" s="117">
        <v>1403</v>
      </c>
      <c r="G2040" s="360" t="s">
        <v>296</v>
      </c>
      <c r="H2040" s="144">
        <f>bargiri[[#This Row],[میزان بارگیری شده]]*bargiri[[#This Row],[فی]]</f>
        <v>714400000</v>
      </c>
      <c r="I2040" s="360">
        <f>IF(year=bargiri[[#This Row],[سال]],1,0)</f>
        <v>0</v>
      </c>
      <c r="J2040" s="360" t="str">
        <f>VLOOKUP(bargiri[[#This Row],[شماره پیش فاکتور]],invoice[],16,0)</f>
        <v>عادی</v>
      </c>
      <c r="K2040" s="252">
        <f>bargiri[[#This Row],[فی]]*bargiri[[#This Row],[میزان بارگیری شده]]</f>
        <v>714400000</v>
      </c>
      <c r="Z2040" s="1"/>
    </row>
    <row r="2041" spans="1:26" ht="18.600000000000001">
      <c r="A2041" s="360" t="s">
        <v>212</v>
      </c>
      <c r="B2041" s="360" t="s">
        <v>103</v>
      </c>
      <c r="C2041" s="355" t="s">
        <v>29</v>
      </c>
      <c r="D2041">
        <v>7195</v>
      </c>
      <c r="E2041" s="143">
        <v>75000</v>
      </c>
      <c r="F2041" s="117">
        <v>1403</v>
      </c>
      <c r="G2041" s="360" t="s">
        <v>296</v>
      </c>
      <c r="H2041" s="144">
        <f>bargiri[[#This Row],[میزان بارگیری شده]]*bargiri[[#This Row],[فی]]</f>
        <v>539625000</v>
      </c>
      <c r="I2041" s="360">
        <f>IF(year=bargiri[[#This Row],[سال]],1,0)</f>
        <v>0</v>
      </c>
      <c r="J2041" s="360" t="str">
        <f>VLOOKUP(bargiri[[#This Row],[شماره پیش فاکتور]],invoice[],16,0)</f>
        <v>عادی</v>
      </c>
      <c r="K2041" s="252">
        <f>bargiri[[#This Row],[فی]]*bargiri[[#This Row],[میزان بارگیری شده]]</f>
        <v>539625000</v>
      </c>
      <c r="Z2041" s="1"/>
    </row>
    <row r="2042" spans="1:26" ht="18.600000000000001">
      <c r="A2042" s="360" t="s">
        <v>212</v>
      </c>
      <c r="B2042" s="360" t="s">
        <v>117</v>
      </c>
      <c r="C2042" s="355" t="s">
        <v>79</v>
      </c>
      <c r="D2042">
        <v>20090</v>
      </c>
      <c r="E2042" s="143">
        <v>75000</v>
      </c>
      <c r="F2042" s="117">
        <v>1403</v>
      </c>
      <c r="G2042" s="360" t="s">
        <v>296</v>
      </c>
      <c r="H2042" s="144">
        <f>bargiri[[#This Row],[میزان بارگیری شده]]*bargiri[[#This Row],[فی]]</f>
        <v>1506750000</v>
      </c>
      <c r="I2042" s="360">
        <f>IF(year=bargiri[[#This Row],[سال]],1,0)</f>
        <v>0</v>
      </c>
      <c r="J2042" s="360" t="str">
        <f>VLOOKUP(bargiri[[#This Row],[شماره پیش فاکتور]],invoice[],16,0)</f>
        <v>عادی</v>
      </c>
      <c r="K2042" s="252">
        <f>bargiri[[#This Row],[فی]]*bargiri[[#This Row],[میزان بارگیری شده]]</f>
        <v>1506750000</v>
      </c>
      <c r="Z2042" s="1"/>
    </row>
    <row r="2043" spans="1:26" ht="18.600000000000001">
      <c r="A2043" s="360" t="s">
        <v>212</v>
      </c>
      <c r="B2043" s="360" t="s">
        <v>112</v>
      </c>
      <c r="C2043" s="355" t="s">
        <v>60</v>
      </c>
      <c r="D2043">
        <v>18375</v>
      </c>
      <c r="E2043" s="143">
        <v>73000</v>
      </c>
      <c r="F2043" s="117">
        <v>1403</v>
      </c>
      <c r="G2043" s="360" t="s">
        <v>296</v>
      </c>
      <c r="H2043" s="144">
        <f>bargiri[[#This Row],[میزان بارگیری شده]]*bargiri[[#This Row],[فی]]</f>
        <v>1341375000</v>
      </c>
      <c r="I2043" s="360">
        <f>IF(year=bargiri[[#This Row],[سال]],1,0)</f>
        <v>0</v>
      </c>
      <c r="J2043" s="360" t="str">
        <f>VLOOKUP(bargiri[[#This Row],[شماره پیش فاکتور]],invoice[],16,0)</f>
        <v>بورس</v>
      </c>
      <c r="K2043" s="252">
        <f>bargiri[[#This Row],[فی]]*bargiri[[#This Row],[میزان بارگیری شده]]</f>
        <v>1341375000</v>
      </c>
      <c r="Z2043" s="1"/>
    </row>
    <row r="2044" spans="1:26" ht="18.600000000000001">
      <c r="A2044" s="360" t="s">
        <v>344</v>
      </c>
      <c r="B2044" s="360" t="s">
        <v>107</v>
      </c>
      <c r="C2044" s="355" t="s">
        <v>50</v>
      </c>
      <c r="D2044">
        <v>18980</v>
      </c>
      <c r="E2044" s="143">
        <v>70000</v>
      </c>
      <c r="F2044" s="117">
        <v>1403</v>
      </c>
      <c r="G2044" s="360" t="s">
        <v>296</v>
      </c>
      <c r="H2044" s="144">
        <f>bargiri[[#This Row],[میزان بارگیری شده]]*bargiri[[#This Row],[فی]]</f>
        <v>1328600000</v>
      </c>
      <c r="I2044" s="360">
        <f>IF(year=bargiri[[#This Row],[سال]],1,0)</f>
        <v>0</v>
      </c>
      <c r="J2044" s="360" t="str">
        <f>VLOOKUP(bargiri[[#This Row],[شماره پیش فاکتور]],invoice[],16,0)</f>
        <v>عادی</v>
      </c>
      <c r="K2044" s="252">
        <f>bargiri[[#This Row],[فی]]*bargiri[[#This Row],[میزان بارگیری شده]]</f>
        <v>1328600000</v>
      </c>
      <c r="Z2044" s="1"/>
    </row>
    <row r="2045" spans="1:26" ht="18.600000000000001">
      <c r="A2045" s="360" t="s">
        <v>344</v>
      </c>
      <c r="B2045" s="360" t="s">
        <v>104</v>
      </c>
      <c r="C2045" s="355" t="s">
        <v>39</v>
      </c>
      <c r="D2045">
        <v>17970</v>
      </c>
      <c r="E2045" s="143">
        <v>65000</v>
      </c>
      <c r="F2045" s="117">
        <v>1403</v>
      </c>
      <c r="G2045" s="360" t="s">
        <v>296</v>
      </c>
      <c r="H2045" s="144">
        <f>bargiri[[#This Row],[میزان بارگیری شده]]*bargiri[[#This Row],[فی]]</f>
        <v>1168050000</v>
      </c>
      <c r="I2045" s="360">
        <f>IF(year=bargiri[[#This Row],[سال]],1,0)</f>
        <v>0</v>
      </c>
      <c r="J2045" s="360" t="str">
        <f>VLOOKUP(bargiri[[#This Row],[شماره پیش فاکتور]],invoice[],16,0)</f>
        <v>تعادلی</v>
      </c>
      <c r="K2045" s="252">
        <f>bargiri[[#This Row],[فی]]*bargiri[[#This Row],[میزان بارگیری شده]]</f>
        <v>1168050000</v>
      </c>
      <c r="Z2045" s="1"/>
    </row>
    <row r="2046" spans="1:26" ht="18.600000000000001">
      <c r="A2046" s="360" t="s">
        <v>344</v>
      </c>
      <c r="B2046" s="360" t="s">
        <v>106</v>
      </c>
      <c r="C2046" s="355" t="s">
        <v>45</v>
      </c>
      <c r="D2046">
        <v>18090</v>
      </c>
      <c r="E2046" s="143">
        <v>80000</v>
      </c>
      <c r="F2046" s="117">
        <v>1403</v>
      </c>
      <c r="G2046" s="360" t="s">
        <v>296</v>
      </c>
      <c r="H2046" s="144">
        <f>bargiri[[#This Row],[میزان بارگیری شده]]*bargiri[[#This Row],[فی]]</f>
        <v>1447200000</v>
      </c>
      <c r="I2046" s="360">
        <f>IF(year=bargiri[[#This Row],[سال]],1,0)</f>
        <v>0</v>
      </c>
      <c r="J2046" s="360" t="str">
        <f>VLOOKUP(bargiri[[#This Row],[شماره پیش فاکتور]],invoice[],16,0)</f>
        <v>عادی</v>
      </c>
      <c r="K2046" s="252">
        <f>bargiri[[#This Row],[فی]]*bargiri[[#This Row],[میزان بارگیری شده]]</f>
        <v>1447200000</v>
      </c>
      <c r="Z2046" s="1"/>
    </row>
    <row r="2047" spans="1:26" ht="18.600000000000001">
      <c r="A2047" s="360" t="s">
        <v>344</v>
      </c>
      <c r="B2047" s="360" t="s">
        <v>118</v>
      </c>
      <c r="C2047" s="355" t="s">
        <v>84</v>
      </c>
      <c r="D2047">
        <v>20570</v>
      </c>
      <c r="E2047" s="143">
        <v>57273</v>
      </c>
      <c r="F2047" s="117">
        <v>1403</v>
      </c>
      <c r="G2047" s="360" t="s">
        <v>296</v>
      </c>
      <c r="H2047" s="144">
        <f>bargiri[[#This Row],[میزان بارگیری شده]]*bargiri[[#This Row],[فی]]</f>
        <v>1178105610</v>
      </c>
      <c r="I2047" s="360">
        <f>IF(year=bargiri[[#This Row],[سال]],1,0)</f>
        <v>0</v>
      </c>
      <c r="J2047" s="360" t="str">
        <f>VLOOKUP(bargiri[[#This Row],[شماره پیش فاکتور]],invoice[],16,0)</f>
        <v>عادی</v>
      </c>
      <c r="K2047" s="252">
        <f>bargiri[[#This Row],[فی]]*bargiri[[#This Row],[میزان بارگیری شده]]</f>
        <v>1178105610</v>
      </c>
      <c r="Z2047" s="1"/>
    </row>
    <row r="2048" spans="1:26" ht="18.600000000000001">
      <c r="A2048" s="360" t="s">
        <v>344</v>
      </c>
      <c r="B2048" s="360" t="s">
        <v>118</v>
      </c>
      <c r="C2048" s="355" t="s">
        <v>84</v>
      </c>
      <c r="D2048">
        <v>20770</v>
      </c>
      <c r="E2048" s="143">
        <v>57273</v>
      </c>
      <c r="F2048" s="117">
        <v>1403</v>
      </c>
      <c r="G2048" s="360" t="s">
        <v>296</v>
      </c>
      <c r="H2048" s="144">
        <f>bargiri[[#This Row],[میزان بارگیری شده]]*bargiri[[#This Row],[فی]]</f>
        <v>1189560210</v>
      </c>
      <c r="I2048" s="360">
        <f>IF(year=bargiri[[#This Row],[سال]],1,0)</f>
        <v>0</v>
      </c>
      <c r="J2048" s="360" t="str">
        <f>VLOOKUP(bargiri[[#This Row],[شماره پیش فاکتور]],invoice[],16,0)</f>
        <v>عادی</v>
      </c>
      <c r="K2048" s="252">
        <f>bargiri[[#This Row],[فی]]*bargiri[[#This Row],[میزان بارگیری شده]]</f>
        <v>1189560210</v>
      </c>
      <c r="Z2048" s="1"/>
    </row>
    <row r="2049" spans="1:26" ht="18.600000000000001">
      <c r="A2049" s="360" t="s">
        <v>344</v>
      </c>
      <c r="B2049" s="360" t="s">
        <v>108</v>
      </c>
      <c r="C2049" s="355" t="s">
        <v>52</v>
      </c>
      <c r="D2049">
        <v>20090</v>
      </c>
      <c r="E2049" s="143">
        <v>90000</v>
      </c>
      <c r="F2049" s="117">
        <v>1403</v>
      </c>
      <c r="G2049" s="360" t="s">
        <v>296</v>
      </c>
      <c r="H2049" s="144">
        <f>bargiri[[#This Row],[میزان بارگیری شده]]*bargiri[[#This Row],[فی]]</f>
        <v>1808100000</v>
      </c>
      <c r="I2049" s="360">
        <f>IF(year=bargiri[[#This Row],[سال]],1,0)</f>
        <v>0</v>
      </c>
      <c r="J2049" s="360" t="str">
        <f>VLOOKUP(bargiri[[#This Row],[شماره پیش فاکتور]],invoice[],16,0)</f>
        <v>عادی</v>
      </c>
      <c r="K2049" s="252">
        <f>bargiri[[#This Row],[فی]]*bargiri[[#This Row],[میزان بارگیری شده]]</f>
        <v>1808100000</v>
      </c>
      <c r="Z2049" s="1"/>
    </row>
    <row r="2050" spans="1:26" ht="18.600000000000001">
      <c r="A2050" s="360" t="s">
        <v>201</v>
      </c>
      <c r="B2050" s="360" t="s">
        <v>113</v>
      </c>
      <c r="C2050" s="355" t="s">
        <v>61</v>
      </c>
      <c r="D2050">
        <v>19130</v>
      </c>
      <c r="E2050" s="143">
        <v>75000</v>
      </c>
      <c r="F2050" s="117">
        <v>1403</v>
      </c>
      <c r="G2050" s="360" t="s">
        <v>296</v>
      </c>
      <c r="H2050" s="144">
        <f>bargiri[[#This Row],[میزان بارگیری شده]]*bargiri[[#This Row],[فی]]</f>
        <v>1434750000</v>
      </c>
      <c r="I2050" s="360">
        <f>IF(year=bargiri[[#This Row],[سال]],1,0)</f>
        <v>0</v>
      </c>
      <c r="J2050" s="360" t="str">
        <f>VLOOKUP(bargiri[[#This Row],[شماره پیش فاکتور]],invoice[],16,0)</f>
        <v>عادی</v>
      </c>
      <c r="K2050" s="252">
        <f>bargiri[[#This Row],[فی]]*bargiri[[#This Row],[میزان بارگیری شده]]</f>
        <v>1434750000</v>
      </c>
      <c r="Z2050" s="1"/>
    </row>
    <row r="2051" spans="1:26" ht="18.600000000000001">
      <c r="A2051" s="360" t="s">
        <v>201</v>
      </c>
      <c r="B2051" s="360" t="s">
        <v>117</v>
      </c>
      <c r="C2051" s="355" t="s">
        <v>79</v>
      </c>
      <c r="D2051">
        <v>19870</v>
      </c>
      <c r="E2051" s="143">
        <v>75000</v>
      </c>
      <c r="F2051" s="117">
        <v>1403</v>
      </c>
      <c r="G2051" s="360" t="s">
        <v>296</v>
      </c>
      <c r="H2051" s="144">
        <f>bargiri[[#This Row],[میزان بارگیری شده]]*bargiri[[#This Row],[فی]]</f>
        <v>1490250000</v>
      </c>
      <c r="I2051" s="360">
        <f>IF(year=bargiri[[#This Row],[سال]],1,0)</f>
        <v>0</v>
      </c>
      <c r="J2051" s="360" t="str">
        <f>VLOOKUP(bargiri[[#This Row],[شماره پیش فاکتور]],invoice[],16,0)</f>
        <v>عادی</v>
      </c>
      <c r="K2051" s="252">
        <f>bargiri[[#This Row],[فی]]*bargiri[[#This Row],[میزان بارگیری شده]]</f>
        <v>1490250000</v>
      </c>
      <c r="Z2051" s="1"/>
    </row>
    <row r="2052" spans="1:26" ht="18.600000000000001">
      <c r="A2052" s="360" t="s">
        <v>201</v>
      </c>
      <c r="B2052" s="360" t="s">
        <v>98</v>
      </c>
      <c r="C2052" s="355" t="s">
        <v>7</v>
      </c>
      <c r="D2052">
        <v>22235</v>
      </c>
      <c r="E2052" s="143">
        <v>92180</v>
      </c>
      <c r="F2052" s="117">
        <v>1403</v>
      </c>
      <c r="G2052" s="360" t="s">
        <v>296</v>
      </c>
      <c r="H2052" s="144">
        <f>bargiri[[#This Row],[میزان بارگیری شده]]*bargiri[[#This Row],[فی]]</f>
        <v>2049622300</v>
      </c>
      <c r="I2052" s="360">
        <f>IF(year=bargiri[[#This Row],[سال]],1,0)</f>
        <v>0</v>
      </c>
      <c r="J2052" s="360" t="str">
        <f>VLOOKUP(bargiri[[#This Row],[شماره پیش فاکتور]],invoice[],16,0)</f>
        <v>بورس</v>
      </c>
      <c r="K2052" s="252">
        <f>bargiri[[#This Row],[فی]]*bargiri[[#This Row],[میزان بارگیری شده]]</f>
        <v>2049622300</v>
      </c>
      <c r="Z2052" s="1"/>
    </row>
    <row r="2053" spans="1:26" ht="18.600000000000001">
      <c r="A2053" s="360" t="s">
        <v>201</v>
      </c>
      <c r="B2053" s="360" t="s">
        <v>104</v>
      </c>
      <c r="C2053" s="355" t="s">
        <v>40</v>
      </c>
      <c r="D2053">
        <v>18030</v>
      </c>
      <c r="E2053" s="143">
        <v>92180</v>
      </c>
      <c r="F2053" s="117">
        <v>1403</v>
      </c>
      <c r="G2053" s="360" t="s">
        <v>296</v>
      </c>
      <c r="H2053" s="144">
        <f>bargiri[[#This Row],[میزان بارگیری شده]]*bargiri[[#This Row],[فی]]</f>
        <v>1662005400</v>
      </c>
      <c r="I2053" s="360">
        <f>IF(year=bargiri[[#This Row],[سال]],1,0)</f>
        <v>0</v>
      </c>
      <c r="J2053" s="360" t="str">
        <f>VLOOKUP(bargiri[[#This Row],[شماره پیش فاکتور]],invoice[],16,0)</f>
        <v>بورس</v>
      </c>
      <c r="K2053" s="252">
        <f>bargiri[[#This Row],[فی]]*bargiri[[#This Row],[میزان بارگیری شده]]</f>
        <v>1662005400</v>
      </c>
      <c r="Z2053" s="1"/>
    </row>
    <row r="2054" spans="1:26" ht="18.600000000000001">
      <c r="A2054" s="360" t="s">
        <v>201</v>
      </c>
      <c r="B2054" s="360" t="s">
        <v>104</v>
      </c>
      <c r="C2054" s="355" t="s">
        <v>39</v>
      </c>
      <c r="D2054">
        <v>810</v>
      </c>
      <c r="E2054" s="143">
        <v>65000</v>
      </c>
      <c r="F2054" s="117">
        <v>1403</v>
      </c>
      <c r="G2054" s="360" t="s">
        <v>296</v>
      </c>
      <c r="H2054" s="144">
        <f>bargiri[[#This Row],[میزان بارگیری شده]]*bargiri[[#This Row],[فی]]</f>
        <v>52650000</v>
      </c>
      <c r="I2054" s="360">
        <f>IF(year=bargiri[[#This Row],[سال]],1,0)</f>
        <v>0</v>
      </c>
      <c r="J2054" s="360" t="str">
        <f>VLOOKUP(bargiri[[#This Row],[شماره پیش فاکتور]],invoice[],16,0)</f>
        <v>تعادلی</v>
      </c>
      <c r="K2054" s="252">
        <f>bargiri[[#This Row],[فی]]*bargiri[[#This Row],[میزان بارگیری شده]]</f>
        <v>52650000</v>
      </c>
      <c r="Z2054" s="1"/>
    </row>
    <row r="2055" spans="1:26" ht="18.600000000000001">
      <c r="A2055" s="360" t="s">
        <v>201</v>
      </c>
      <c r="B2055" s="360" t="s">
        <v>110</v>
      </c>
      <c r="C2055" s="355" t="s">
        <v>57</v>
      </c>
      <c r="D2055">
        <v>11430</v>
      </c>
      <c r="E2055" s="143">
        <v>78000</v>
      </c>
      <c r="F2055" s="117">
        <v>1403</v>
      </c>
      <c r="G2055" s="360" t="s">
        <v>296</v>
      </c>
      <c r="H2055" s="144">
        <f>bargiri[[#This Row],[میزان بارگیری شده]]*bargiri[[#This Row],[فی]]</f>
        <v>891540000</v>
      </c>
      <c r="I2055" s="360">
        <f>IF(year=bargiri[[#This Row],[سال]],1,0)</f>
        <v>0</v>
      </c>
      <c r="J2055" s="360" t="str">
        <f>VLOOKUP(bargiri[[#This Row],[شماره پیش فاکتور]],invoice[],16,0)</f>
        <v>عادی</v>
      </c>
      <c r="K2055" s="252">
        <f>bargiri[[#This Row],[فی]]*bargiri[[#This Row],[میزان بارگیری شده]]</f>
        <v>891540000</v>
      </c>
      <c r="Z2055" s="1"/>
    </row>
    <row r="2056" spans="1:26" ht="18.600000000000001">
      <c r="A2056" s="360" t="s">
        <v>345</v>
      </c>
      <c r="B2056" s="360" t="s">
        <v>120</v>
      </c>
      <c r="C2056" s="355" t="s">
        <v>88</v>
      </c>
      <c r="D2056">
        <v>8905</v>
      </c>
      <c r="E2056" s="143">
        <v>80000</v>
      </c>
      <c r="F2056" s="117">
        <v>1403</v>
      </c>
      <c r="G2056" s="360" t="s">
        <v>296</v>
      </c>
      <c r="H2056" s="144">
        <f>bargiri[[#This Row],[میزان بارگیری شده]]*bargiri[[#This Row],[فی]]</f>
        <v>712400000</v>
      </c>
      <c r="I2056" s="360">
        <f>IF(year=bargiri[[#This Row],[سال]],1,0)</f>
        <v>0</v>
      </c>
      <c r="J2056" s="360" t="str">
        <f>VLOOKUP(bargiri[[#This Row],[شماره پیش فاکتور]],invoice[],16,0)</f>
        <v>عادی</v>
      </c>
      <c r="K2056" s="252">
        <f>bargiri[[#This Row],[فی]]*bargiri[[#This Row],[میزان بارگیری شده]]</f>
        <v>712400000</v>
      </c>
      <c r="Z2056" s="1"/>
    </row>
    <row r="2057" spans="1:26" ht="18.600000000000001">
      <c r="A2057" s="360" t="s">
        <v>345</v>
      </c>
      <c r="B2057" s="360" t="s">
        <v>116</v>
      </c>
      <c r="C2057" s="355" t="s">
        <v>77</v>
      </c>
      <c r="D2057">
        <v>20060</v>
      </c>
      <c r="E2057" s="143">
        <v>68500</v>
      </c>
      <c r="F2057" s="117">
        <v>1403</v>
      </c>
      <c r="G2057" s="360" t="s">
        <v>296</v>
      </c>
      <c r="H2057" s="144">
        <f>bargiri[[#This Row],[میزان بارگیری شده]]*bargiri[[#This Row],[فی]]</f>
        <v>1374110000</v>
      </c>
      <c r="I2057" s="360">
        <f>IF(year=bargiri[[#This Row],[سال]],1,0)</f>
        <v>0</v>
      </c>
      <c r="J2057" s="360" t="str">
        <f>VLOOKUP(bargiri[[#This Row],[شماره پیش فاکتور]],invoice[],16,0)</f>
        <v>عادی</v>
      </c>
      <c r="K2057" s="252">
        <f>bargiri[[#This Row],[فی]]*bargiri[[#This Row],[میزان بارگیری شده]]</f>
        <v>1374110000</v>
      </c>
      <c r="Z2057" s="1"/>
    </row>
    <row r="2058" spans="1:26" ht="18.600000000000001">
      <c r="A2058" s="360" t="s">
        <v>345</v>
      </c>
      <c r="B2058" s="360" t="s">
        <v>101</v>
      </c>
      <c r="C2058" s="355" t="s">
        <v>19</v>
      </c>
      <c r="D2058">
        <v>19965</v>
      </c>
      <c r="E2058" s="143">
        <v>75000</v>
      </c>
      <c r="F2058" s="117">
        <v>1403</v>
      </c>
      <c r="G2058" s="360" t="s">
        <v>296</v>
      </c>
      <c r="H2058" s="144">
        <f>bargiri[[#This Row],[میزان بارگیری شده]]*bargiri[[#This Row],[فی]]</f>
        <v>1497375000</v>
      </c>
      <c r="I2058" s="360">
        <f>IF(year=bargiri[[#This Row],[سال]],1,0)</f>
        <v>0</v>
      </c>
      <c r="J2058" s="360" t="str">
        <f>VLOOKUP(bargiri[[#This Row],[شماره پیش فاکتور]],invoice[],16,0)</f>
        <v>عادی</v>
      </c>
      <c r="K2058" s="252">
        <f>bargiri[[#This Row],[فی]]*bargiri[[#This Row],[میزان بارگیری شده]]</f>
        <v>1497375000</v>
      </c>
      <c r="Z2058" s="1"/>
    </row>
    <row r="2059" spans="1:26" ht="18.600000000000001">
      <c r="A2059" s="360" t="s">
        <v>345</v>
      </c>
      <c r="B2059" s="360" t="s">
        <v>118</v>
      </c>
      <c r="C2059" s="355" t="s">
        <v>84</v>
      </c>
      <c r="D2059">
        <v>20780</v>
      </c>
      <c r="E2059" s="143">
        <v>57273</v>
      </c>
      <c r="F2059" s="117">
        <v>1403</v>
      </c>
      <c r="G2059" s="360" t="s">
        <v>296</v>
      </c>
      <c r="H2059" s="144">
        <f>bargiri[[#This Row],[میزان بارگیری شده]]*bargiri[[#This Row],[فی]]</f>
        <v>1190132940</v>
      </c>
      <c r="I2059" s="360">
        <f>IF(year=bargiri[[#This Row],[سال]],1,0)</f>
        <v>0</v>
      </c>
      <c r="J2059" s="360" t="str">
        <f>VLOOKUP(bargiri[[#This Row],[شماره پیش فاکتور]],invoice[],16,0)</f>
        <v>عادی</v>
      </c>
      <c r="K2059" s="252">
        <f>bargiri[[#This Row],[فی]]*bargiri[[#This Row],[میزان بارگیری شده]]</f>
        <v>1190132940</v>
      </c>
      <c r="Z2059" s="1"/>
    </row>
    <row r="2060" spans="1:26" ht="18.600000000000001">
      <c r="A2060" s="360" t="s">
        <v>345</v>
      </c>
      <c r="B2060" s="360" t="s">
        <v>102</v>
      </c>
      <c r="C2060" s="355" t="s">
        <v>24</v>
      </c>
      <c r="D2060">
        <v>11790</v>
      </c>
      <c r="E2060" s="143">
        <v>70000</v>
      </c>
      <c r="F2060" s="117">
        <v>1403</v>
      </c>
      <c r="G2060" s="360" t="s">
        <v>296</v>
      </c>
      <c r="H2060" s="144">
        <f>bargiri[[#This Row],[میزان بارگیری شده]]*bargiri[[#This Row],[فی]]</f>
        <v>825300000</v>
      </c>
      <c r="I2060" s="360">
        <f>IF(year=bargiri[[#This Row],[سال]],1,0)</f>
        <v>0</v>
      </c>
      <c r="J2060" s="360" t="str">
        <f>VLOOKUP(bargiri[[#This Row],[شماره پیش فاکتور]],invoice[],16,0)</f>
        <v>عادی</v>
      </c>
      <c r="K2060" s="252">
        <f>bargiri[[#This Row],[فی]]*bargiri[[#This Row],[میزان بارگیری شده]]</f>
        <v>825300000</v>
      </c>
      <c r="Z2060" s="1"/>
    </row>
    <row r="2061" spans="1:26" ht="18.600000000000001">
      <c r="A2061" s="360" t="s">
        <v>345</v>
      </c>
      <c r="B2061" s="360" t="s">
        <v>118</v>
      </c>
      <c r="C2061" s="355" t="s">
        <v>84</v>
      </c>
      <c r="D2061">
        <v>20725</v>
      </c>
      <c r="E2061" s="143">
        <v>57273</v>
      </c>
      <c r="F2061" s="117">
        <v>1403</v>
      </c>
      <c r="G2061" s="360" t="s">
        <v>296</v>
      </c>
      <c r="H2061" s="144">
        <f>bargiri[[#This Row],[میزان بارگیری شده]]*bargiri[[#This Row],[فی]]</f>
        <v>1186982925</v>
      </c>
      <c r="I2061" s="360">
        <f>IF(year=bargiri[[#This Row],[سال]],1,0)</f>
        <v>0</v>
      </c>
      <c r="J2061" s="360" t="str">
        <f>VLOOKUP(bargiri[[#This Row],[شماره پیش فاکتور]],invoice[],16,0)</f>
        <v>عادی</v>
      </c>
      <c r="K2061" s="252">
        <f>bargiri[[#This Row],[فی]]*bargiri[[#This Row],[میزان بارگیری شده]]</f>
        <v>1186982925</v>
      </c>
      <c r="Z2061" s="1"/>
    </row>
    <row r="2062" spans="1:26" ht="18.600000000000001">
      <c r="A2062" s="360" t="s">
        <v>345</v>
      </c>
      <c r="B2062" s="360" t="s">
        <v>113</v>
      </c>
      <c r="C2062" s="355" t="s">
        <v>61</v>
      </c>
      <c r="D2062">
        <v>18715</v>
      </c>
      <c r="E2062" s="143">
        <v>75000</v>
      </c>
      <c r="F2062" s="117">
        <v>1403</v>
      </c>
      <c r="G2062" s="360" t="s">
        <v>296</v>
      </c>
      <c r="H2062" s="144">
        <f>bargiri[[#This Row],[میزان بارگیری شده]]*bargiri[[#This Row],[فی]]</f>
        <v>1403625000</v>
      </c>
      <c r="I2062" s="360">
        <f>IF(year=bargiri[[#This Row],[سال]],1,0)</f>
        <v>0</v>
      </c>
      <c r="J2062" s="360" t="str">
        <f>VLOOKUP(bargiri[[#This Row],[شماره پیش فاکتور]],invoice[],16,0)</f>
        <v>عادی</v>
      </c>
      <c r="K2062" s="252">
        <f>bargiri[[#This Row],[فی]]*bargiri[[#This Row],[میزان بارگیری شده]]</f>
        <v>1403625000</v>
      </c>
      <c r="Z2062" s="1"/>
    </row>
    <row r="2063" spans="1:26" ht="18.600000000000001">
      <c r="A2063" s="360" t="s">
        <v>345</v>
      </c>
      <c r="B2063" s="360" t="s">
        <v>114</v>
      </c>
      <c r="C2063" s="355" t="s">
        <v>63</v>
      </c>
      <c r="D2063">
        <v>22010</v>
      </c>
      <c r="E2063" s="143">
        <v>75000</v>
      </c>
      <c r="F2063" s="117">
        <v>1403</v>
      </c>
      <c r="G2063" s="360" t="s">
        <v>296</v>
      </c>
      <c r="H2063" s="144">
        <f>bargiri[[#This Row],[میزان بارگیری شده]]*bargiri[[#This Row],[فی]]</f>
        <v>1650750000</v>
      </c>
      <c r="I2063" s="360">
        <f>IF(year=bargiri[[#This Row],[سال]],1,0)</f>
        <v>0</v>
      </c>
      <c r="J2063" s="360" t="str">
        <f>VLOOKUP(bargiri[[#This Row],[شماره پیش فاکتور]],invoice[],16,0)</f>
        <v>عادی</v>
      </c>
      <c r="K2063" s="252">
        <f>bargiri[[#This Row],[فی]]*bargiri[[#This Row],[میزان بارگیری شده]]</f>
        <v>1650750000</v>
      </c>
      <c r="Z2063" s="1"/>
    </row>
    <row r="2064" spans="1:26" ht="18.600000000000001">
      <c r="A2064" s="360" t="s">
        <v>345</v>
      </c>
      <c r="B2064" s="360" t="s">
        <v>107</v>
      </c>
      <c r="C2064" s="355" t="s">
        <v>50</v>
      </c>
      <c r="D2064">
        <v>19055</v>
      </c>
      <c r="E2064" s="143">
        <v>70000</v>
      </c>
      <c r="F2064" s="117">
        <v>1403</v>
      </c>
      <c r="G2064" s="360" t="s">
        <v>296</v>
      </c>
      <c r="H2064" s="144">
        <f>bargiri[[#This Row],[میزان بارگیری شده]]*bargiri[[#This Row],[فی]]</f>
        <v>1333850000</v>
      </c>
      <c r="I2064" s="360">
        <f>IF(year=bargiri[[#This Row],[سال]],1,0)</f>
        <v>0</v>
      </c>
      <c r="J2064" s="360" t="str">
        <f>VLOOKUP(bargiri[[#This Row],[شماره پیش فاکتور]],invoice[],16,0)</f>
        <v>عادی</v>
      </c>
      <c r="K2064" s="252">
        <f>bargiri[[#This Row],[فی]]*bargiri[[#This Row],[میزان بارگیری شده]]</f>
        <v>1333850000</v>
      </c>
      <c r="Z2064" s="1"/>
    </row>
    <row r="2065" spans="1:26" ht="18.600000000000001">
      <c r="A2065" s="360" t="s">
        <v>346</v>
      </c>
      <c r="B2065" s="360" t="s">
        <v>123</v>
      </c>
      <c r="C2065" s="355" t="s">
        <v>93</v>
      </c>
      <c r="D2065">
        <v>7115</v>
      </c>
      <c r="E2065" s="143">
        <v>75000</v>
      </c>
      <c r="F2065" s="117">
        <v>1403</v>
      </c>
      <c r="G2065" s="360" t="s">
        <v>296</v>
      </c>
      <c r="H2065" s="144">
        <f>bargiri[[#This Row],[میزان بارگیری شده]]*bargiri[[#This Row],[فی]]</f>
        <v>533625000</v>
      </c>
      <c r="I2065" s="360">
        <f>IF(year=bargiri[[#This Row],[سال]],1,0)</f>
        <v>0</v>
      </c>
      <c r="J2065" s="360" t="str">
        <f>VLOOKUP(bargiri[[#This Row],[شماره پیش فاکتور]],invoice[],16,0)</f>
        <v>عادی</v>
      </c>
      <c r="K2065" s="252">
        <f>bargiri[[#This Row],[فی]]*bargiri[[#This Row],[میزان بارگیری شده]]</f>
        <v>533625000</v>
      </c>
      <c r="Z2065" s="1"/>
    </row>
    <row r="2066" spans="1:26" ht="18.600000000000001">
      <c r="A2066" s="360" t="s">
        <v>346</v>
      </c>
      <c r="B2066" s="360" t="s">
        <v>107</v>
      </c>
      <c r="C2066" s="355" t="s">
        <v>50</v>
      </c>
      <c r="D2066">
        <v>19045</v>
      </c>
      <c r="E2066" s="143">
        <v>70000</v>
      </c>
      <c r="F2066" s="117">
        <v>1403</v>
      </c>
      <c r="G2066" s="360" t="s">
        <v>296</v>
      </c>
      <c r="H2066" s="144">
        <f>bargiri[[#This Row],[میزان بارگیری شده]]*bargiri[[#This Row],[فی]]</f>
        <v>1333150000</v>
      </c>
      <c r="I2066" s="360">
        <f>IF(year=bargiri[[#This Row],[سال]],1,0)</f>
        <v>0</v>
      </c>
      <c r="J2066" s="360" t="str">
        <f>VLOOKUP(bargiri[[#This Row],[شماره پیش فاکتور]],invoice[],16,0)</f>
        <v>عادی</v>
      </c>
      <c r="K2066" s="252">
        <f>bargiri[[#This Row],[فی]]*bargiri[[#This Row],[میزان بارگیری شده]]</f>
        <v>1333150000</v>
      </c>
      <c r="Z2066" s="1"/>
    </row>
    <row r="2067" spans="1:26" ht="18.600000000000001">
      <c r="A2067" s="360" t="s">
        <v>346</v>
      </c>
      <c r="B2067" s="360" t="s">
        <v>122</v>
      </c>
      <c r="C2067" s="355" t="s">
        <v>91</v>
      </c>
      <c r="D2067">
        <v>20030</v>
      </c>
      <c r="E2067" s="143">
        <v>75000</v>
      </c>
      <c r="F2067" s="117">
        <v>1403</v>
      </c>
      <c r="G2067" s="360" t="s">
        <v>296</v>
      </c>
      <c r="H2067" s="144">
        <f>bargiri[[#This Row],[میزان بارگیری شده]]*bargiri[[#This Row],[فی]]</f>
        <v>1502250000</v>
      </c>
      <c r="I2067" s="360">
        <f>IF(year=bargiri[[#This Row],[سال]],1,0)</f>
        <v>0</v>
      </c>
      <c r="J2067" s="360" t="str">
        <f>VLOOKUP(bargiri[[#This Row],[شماره پیش فاکتور]],invoice[],16,0)</f>
        <v>عادی</v>
      </c>
      <c r="K2067" s="252">
        <f>bargiri[[#This Row],[فی]]*bargiri[[#This Row],[میزان بارگیری شده]]</f>
        <v>1502250000</v>
      </c>
      <c r="Z2067" s="1"/>
    </row>
    <row r="2068" spans="1:26" ht="18.600000000000001">
      <c r="A2068" s="360" t="s">
        <v>346</v>
      </c>
      <c r="B2068" s="360" t="s">
        <v>103</v>
      </c>
      <c r="C2068" s="355" t="s">
        <v>29</v>
      </c>
      <c r="D2068">
        <v>7510</v>
      </c>
      <c r="E2068" s="143">
        <v>75000</v>
      </c>
      <c r="F2068" s="117">
        <v>1403</v>
      </c>
      <c r="G2068" s="360" t="s">
        <v>296</v>
      </c>
      <c r="H2068" s="144">
        <f>bargiri[[#This Row],[میزان بارگیری شده]]*bargiri[[#This Row],[فی]]</f>
        <v>563250000</v>
      </c>
      <c r="I2068" s="360">
        <f>IF(year=bargiri[[#This Row],[سال]],1,0)</f>
        <v>0</v>
      </c>
      <c r="J2068" s="360" t="str">
        <f>VLOOKUP(bargiri[[#This Row],[شماره پیش فاکتور]],invoice[],16,0)</f>
        <v>عادی</v>
      </c>
      <c r="K2068" s="252">
        <f>bargiri[[#This Row],[فی]]*bargiri[[#This Row],[میزان بارگیری شده]]</f>
        <v>563250000</v>
      </c>
      <c r="Z2068" s="1"/>
    </row>
    <row r="2069" spans="1:26" ht="18.600000000000001">
      <c r="A2069" s="360" t="s">
        <v>345</v>
      </c>
      <c r="B2069" s="360" t="s">
        <v>110</v>
      </c>
      <c r="C2069" s="355" t="s">
        <v>57</v>
      </c>
      <c r="D2069">
        <v>12450</v>
      </c>
      <c r="E2069" s="143">
        <v>78000</v>
      </c>
      <c r="F2069" s="117">
        <v>1403</v>
      </c>
      <c r="G2069" s="360" t="s">
        <v>296</v>
      </c>
      <c r="H2069" s="144">
        <f>bargiri[[#This Row],[میزان بارگیری شده]]*bargiri[[#This Row],[فی]]</f>
        <v>971100000</v>
      </c>
      <c r="I2069" s="360">
        <f>IF(year=bargiri[[#This Row],[سال]],1,0)</f>
        <v>0</v>
      </c>
      <c r="J2069" s="360" t="str">
        <f>VLOOKUP(bargiri[[#This Row],[شماره پیش فاکتور]],invoice[],16,0)</f>
        <v>عادی</v>
      </c>
      <c r="K2069" s="252">
        <f>bargiri[[#This Row],[فی]]*bargiri[[#This Row],[میزان بارگیری شده]]</f>
        <v>971100000</v>
      </c>
      <c r="Z2069" s="1"/>
    </row>
    <row r="2070" spans="1:26" ht="18.600000000000001">
      <c r="A2070" s="360" t="s">
        <v>347</v>
      </c>
      <c r="B2070" s="360" t="s">
        <v>104</v>
      </c>
      <c r="C2070" s="355" t="s">
        <v>40</v>
      </c>
      <c r="D2070">
        <v>14020</v>
      </c>
      <c r="E2070" s="143">
        <v>92180</v>
      </c>
      <c r="F2070" s="117">
        <v>1403</v>
      </c>
      <c r="G2070" s="360" t="s">
        <v>296</v>
      </c>
      <c r="H2070" s="144">
        <f>bargiri[[#This Row],[میزان بارگیری شده]]*bargiri[[#This Row],[فی]]</f>
        <v>1292363600</v>
      </c>
      <c r="I2070" s="360">
        <f>IF(year=bargiri[[#This Row],[سال]],1,0)</f>
        <v>0</v>
      </c>
      <c r="J2070" s="360" t="str">
        <f>VLOOKUP(bargiri[[#This Row],[شماره پیش فاکتور]],invoice[],16,0)</f>
        <v>بورس</v>
      </c>
      <c r="K2070" s="252">
        <f>bargiri[[#This Row],[فی]]*bargiri[[#This Row],[میزان بارگیری شده]]</f>
        <v>1292363600</v>
      </c>
      <c r="Z2070" s="1"/>
    </row>
    <row r="2071" spans="1:26" ht="18.600000000000001">
      <c r="A2071" s="360" t="s">
        <v>348</v>
      </c>
      <c r="B2071" s="360" t="s">
        <v>107</v>
      </c>
      <c r="C2071" s="355" t="s">
        <v>50</v>
      </c>
      <c r="D2071">
        <v>17980</v>
      </c>
      <c r="E2071" s="143">
        <v>70000</v>
      </c>
      <c r="F2071" s="117">
        <v>1403</v>
      </c>
      <c r="G2071" s="360" t="s">
        <v>296</v>
      </c>
      <c r="H2071" s="144">
        <f>bargiri[[#This Row],[میزان بارگیری شده]]*bargiri[[#This Row],[فی]]</f>
        <v>1258600000</v>
      </c>
      <c r="I2071" s="360">
        <f>IF(year=bargiri[[#This Row],[سال]],1,0)</f>
        <v>0</v>
      </c>
      <c r="J2071" s="360" t="str">
        <f>VLOOKUP(bargiri[[#This Row],[شماره پیش فاکتور]],invoice[],16,0)</f>
        <v>عادی</v>
      </c>
      <c r="K2071" s="252">
        <f>bargiri[[#This Row],[فی]]*bargiri[[#This Row],[میزان بارگیری شده]]</f>
        <v>1258600000</v>
      </c>
      <c r="Z2071" s="1"/>
    </row>
    <row r="2072" spans="1:26" ht="18.600000000000001">
      <c r="A2072" s="360" t="s">
        <v>144</v>
      </c>
      <c r="B2072" s="360" t="s">
        <v>98</v>
      </c>
      <c r="C2072" s="355" t="s">
        <v>8</v>
      </c>
      <c r="D2072">
        <v>2845</v>
      </c>
      <c r="E2072" s="143">
        <v>72000</v>
      </c>
      <c r="F2072" s="117">
        <v>1403</v>
      </c>
      <c r="G2072" s="360" t="s">
        <v>296</v>
      </c>
      <c r="H2072" s="144">
        <f>bargiri[[#This Row],[میزان بارگیری شده]]*bargiri[[#This Row],[فی]]</f>
        <v>204840000</v>
      </c>
      <c r="I2072" s="360">
        <f>IF(year=bargiri[[#This Row],[سال]],1,0)</f>
        <v>0</v>
      </c>
      <c r="J2072" s="360" t="str">
        <f>VLOOKUP(bargiri[[#This Row],[شماره پیش فاکتور]],invoice[],16,0)</f>
        <v>عادی</v>
      </c>
      <c r="K2072" s="252">
        <f>bargiri[[#This Row],[فی]]*bargiri[[#This Row],[میزان بارگیری شده]]</f>
        <v>204840000</v>
      </c>
      <c r="Z2072" s="1"/>
    </row>
    <row r="2073" spans="1:26" ht="18.600000000000001">
      <c r="A2073" s="360" t="s">
        <v>144</v>
      </c>
      <c r="B2073" s="360" t="s">
        <v>98</v>
      </c>
      <c r="C2073" s="355" t="s">
        <v>7</v>
      </c>
      <c r="D2073">
        <v>19140</v>
      </c>
      <c r="E2073" s="143">
        <v>92180</v>
      </c>
      <c r="F2073" s="117">
        <v>1403</v>
      </c>
      <c r="G2073" s="360" t="s">
        <v>296</v>
      </c>
      <c r="H2073" s="144">
        <f>bargiri[[#This Row],[میزان بارگیری شده]]*bargiri[[#This Row],[فی]]</f>
        <v>1764325200</v>
      </c>
      <c r="I2073" s="360">
        <f>IF(year=bargiri[[#This Row],[سال]],1,0)</f>
        <v>0</v>
      </c>
      <c r="J2073" s="360" t="str">
        <f>VLOOKUP(bargiri[[#This Row],[شماره پیش فاکتور]],invoice[],16,0)</f>
        <v>بورس</v>
      </c>
      <c r="K2073" s="252">
        <f>bargiri[[#This Row],[فی]]*bargiri[[#This Row],[میزان بارگیری شده]]</f>
        <v>1764325200</v>
      </c>
      <c r="Z2073" s="1"/>
    </row>
    <row r="2074" spans="1:26" ht="18.600000000000001">
      <c r="A2074" s="360" t="s">
        <v>349</v>
      </c>
      <c r="B2074" s="360" t="s">
        <v>120</v>
      </c>
      <c r="C2074" s="355" t="s">
        <v>88</v>
      </c>
      <c r="D2074">
        <v>9000</v>
      </c>
      <c r="E2074" s="143">
        <v>80000</v>
      </c>
      <c r="F2074" s="117">
        <v>1403</v>
      </c>
      <c r="G2074" s="360" t="s">
        <v>296</v>
      </c>
      <c r="H2074" s="144">
        <f>bargiri[[#This Row],[میزان بارگیری شده]]*bargiri[[#This Row],[فی]]</f>
        <v>720000000</v>
      </c>
      <c r="I2074" s="360">
        <f>IF(year=bargiri[[#This Row],[سال]],1,0)</f>
        <v>0</v>
      </c>
      <c r="J2074" s="360" t="str">
        <f>VLOOKUP(bargiri[[#This Row],[شماره پیش فاکتور]],invoice[],16,0)</f>
        <v>عادی</v>
      </c>
      <c r="K2074" s="252">
        <f>bargiri[[#This Row],[فی]]*bargiri[[#This Row],[میزان بارگیری شده]]</f>
        <v>720000000</v>
      </c>
      <c r="Z2074" s="1"/>
    </row>
    <row r="2075" spans="1:26" ht="18.600000000000001">
      <c r="A2075" s="360" t="s">
        <v>349</v>
      </c>
      <c r="B2075" s="360" t="s">
        <v>111</v>
      </c>
      <c r="C2075" s="355" t="s">
        <v>59</v>
      </c>
      <c r="D2075">
        <v>10005</v>
      </c>
      <c r="E2075" s="143">
        <v>80000</v>
      </c>
      <c r="F2075" s="117">
        <v>1403</v>
      </c>
      <c r="G2075" s="360" t="s">
        <v>296</v>
      </c>
      <c r="H2075" s="144">
        <f>bargiri[[#This Row],[میزان بارگیری شده]]*bargiri[[#This Row],[فی]]</f>
        <v>800400000</v>
      </c>
      <c r="I2075" s="360">
        <f>IF(year=bargiri[[#This Row],[سال]],1,0)</f>
        <v>0</v>
      </c>
      <c r="J2075" s="360" t="str">
        <f>VLOOKUP(bargiri[[#This Row],[شماره پیش فاکتور]],invoice[],16,0)</f>
        <v>عادی</v>
      </c>
      <c r="K2075" s="252">
        <f>bargiri[[#This Row],[فی]]*bargiri[[#This Row],[میزان بارگیری شده]]</f>
        <v>800400000</v>
      </c>
      <c r="Z2075" s="1"/>
    </row>
    <row r="2076" spans="1:26" ht="18.600000000000001">
      <c r="A2076" s="360" t="s">
        <v>350</v>
      </c>
      <c r="B2076" s="360" t="s">
        <v>118</v>
      </c>
      <c r="C2076" s="355" t="s">
        <v>84</v>
      </c>
      <c r="D2076">
        <v>20400</v>
      </c>
      <c r="E2076" s="143">
        <v>57273</v>
      </c>
      <c r="F2076" s="117">
        <v>1403</v>
      </c>
      <c r="G2076" s="360" t="s">
        <v>296</v>
      </c>
      <c r="H2076" s="144">
        <f>bargiri[[#This Row],[میزان بارگیری شده]]*bargiri[[#This Row],[فی]]</f>
        <v>1168369200</v>
      </c>
      <c r="I2076" s="360">
        <f>IF(year=bargiri[[#This Row],[سال]],1,0)</f>
        <v>0</v>
      </c>
      <c r="J2076" s="360" t="str">
        <f>VLOOKUP(bargiri[[#This Row],[شماره پیش فاکتور]],invoice[],16,0)</f>
        <v>عادی</v>
      </c>
      <c r="K2076" s="252">
        <f>bargiri[[#This Row],[فی]]*bargiri[[#This Row],[میزان بارگیری شده]]</f>
        <v>1168369200</v>
      </c>
      <c r="Z2076" s="1"/>
    </row>
    <row r="2077" spans="1:26" ht="18.600000000000001">
      <c r="A2077" s="360" t="s">
        <v>350</v>
      </c>
      <c r="B2077" s="360" t="s">
        <v>118</v>
      </c>
      <c r="C2077" s="355" t="s">
        <v>84</v>
      </c>
      <c r="D2077">
        <v>21110</v>
      </c>
      <c r="E2077" s="143">
        <v>57273</v>
      </c>
      <c r="F2077" s="117">
        <v>1403</v>
      </c>
      <c r="G2077" s="360" t="s">
        <v>296</v>
      </c>
      <c r="H2077" s="144">
        <f>bargiri[[#This Row],[میزان بارگیری شده]]*bargiri[[#This Row],[فی]]</f>
        <v>1209033030</v>
      </c>
      <c r="I2077" s="360">
        <f>IF(year=bargiri[[#This Row],[سال]],1,0)</f>
        <v>0</v>
      </c>
      <c r="J2077" s="360" t="str">
        <f>VLOOKUP(bargiri[[#This Row],[شماره پیش فاکتور]],invoice[],16,0)</f>
        <v>عادی</v>
      </c>
      <c r="K2077" s="252">
        <f>bargiri[[#This Row],[فی]]*bargiri[[#This Row],[میزان بارگیری شده]]</f>
        <v>1209033030</v>
      </c>
      <c r="Z2077" s="1"/>
    </row>
    <row r="2078" spans="1:26" ht="18.600000000000001">
      <c r="A2078" s="360" t="s">
        <v>350</v>
      </c>
      <c r="B2078" s="360" t="s">
        <v>107</v>
      </c>
      <c r="C2078" s="355" t="s">
        <v>50</v>
      </c>
      <c r="D2078">
        <v>18300</v>
      </c>
      <c r="E2078" s="143">
        <v>70000</v>
      </c>
      <c r="F2078" s="117">
        <v>1403</v>
      </c>
      <c r="G2078" s="360" t="s">
        <v>296</v>
      </c>
      <c r="H2078" s="144">
        <f>bargiri[[#This Row],[میزان بارگیری شده]]*bargiri[[#This Row],[فی]]</f>
        <v>1281000000</v>
      </c>
      <c r="I2078" s="360">
        <f>IF(year=bargiri[[#This Row],[سال]],1,0)</f>
        <v>0</v>
      </c>
      <c r="J2078" s="360" t="str">
        <f>VLOOKUP(bargiri[[#This Row],[شماره پیش فاکتور]],invoice[],16,0)</f>
        <v>عادی</v>
      </c>
      <c r="K2078" s="252">
        <f>bargiri[[#This Row],[فی]]*bargiri[[#This Row],[میزان بارگیری شده]]</f>
        <v>1281000000</v>
      </c>
      <c r="Z2078" s="1"/>
    </row>
    <row r="2079" spans="1:26" ht="18.600000000000001">
      <c r="A2079" s="360" t="s">
        <v>351</v>
      </c>
      <c r="B2079" s="360" t="s">
        <v>114</v>
      </c>
      <c r="C2079" s="355" t="s">
        <v>63</v>
      </c>
      <c r="D2079">
        <v>19455</v>
      </c>
      <c r="E2079" s="143">
        <v>75000</v>
      </c>
      <c r="F2079" s="117">
        <v>1403</v>
      </c>
      <c r="G2079" s="360" t="s">
        <v>296</v>
      </c>
      <c r="H2079" s="144">
        <f>bargiri[[#This Row],[میزان بارگیری شده]]*bargiri[[#This Row],[فی]]</f>
        <v>1459125000</v>
      </c>
      <c r="I2079" s="360">
        <f>IF(year=bargiri[[#This Row],[سال]],1,0)</f>
        <v>0</v>
      </c>
      <c r="J2079" s="360" t="str">
        <f>VLOOKUP(bargiri[[#This Row],[شماره پیش فاکتور]],invoice[],16,0)</f>
        <v>عادی</v>
      </c>
      <c r="K2079" s="252">
        <f>bargiri[[#This Row],[فی]]*bargiri[[#This Row],[میزان بارگیری شده]]</f>
        <v>1459125000</v>
      </c>
      <c r="Z2079" s="1"/>
    </row>
    <row r="2080" spans="1:26" ht="18.600000000000001">
      <c r="A2080" s="360" t="s">
        <v>351</v>
      </c>
      <c r="B2080" s="360" t="s">
        <v>116</v>
      </c>
      <c r="C2080" s="355" t="s">
        <v>72</v>
      </c>
      <c r="D2080">
        <v>280</v>
      </c>
      <c r="E2080" s="143">
        <v>65000</v>
      </c>
      <c r="F2080" s="117">
        <v>1403</v>
      </c>
      <c r="G2080" s="360" t="s">
        <v>296</v>
      </c>
      <c r="H2080" s="144">
        <f>bargiri[[#This Row],[میزان بارگیری شده]]*bargiri[[#This Row],[فی]]</f>
        <v>18200000</v>
      </c>
      <c r="I2080" s="360">
        <f>IF(year=bargiri[[#This Row],[سال]],1,0)</f>
        <v>0</v>
      </c>
      <c r="J2080" s="360" t="str">
        <f>VLOOKUP(bargiri[[#This Row],[شماره پیش فاکتور]],invoice[],16,0)</f>
        <v>تعادلی</v>
      </c>
      <c r="K2080" s="252">
        <f>bargiri[[#This Row],[فی]]*bargiri[[#This Row],[میزان بارگیری شده]]</f>
        <v>18200000</v>
      </c>
      <c r="Z2080" s="1"/>
    </row>
    <row r="2081" spans="1:26" ht="18.600000000000001">
      <c r="A2081" s="360" t="s">
        <v>351</v>
      </c>
      <c r="B2081" s="360" t="s">
        <v>116</v>
      </c>
      <c r="C2081" s="355" t="s">
        <v>77</v>
      </c>
      <c r="D2081">
        <v>17735</v>
      </c>
      <c r="E2081" s="143">
        <v>68500</v>
      </c>
      <c r="F2081" s="117">
        <v>1403</v>
      </c>
      <c r="G2081" s="360" t="s">
        <v>296</v>
      </c>
      <c r="H2081" s="144">
        <f>bargiri[[#This Row],[میزان بارگیری شده]]*bargiri[[#This Row],[فی]]</f>
        <v>1214847500</v>
      </c>
      <c r="I2081" s="360">
        <f>IF(year=bargiri[[#This Row],[سال]],1,0)</f>
        <v>0</v>
      </c>
      <c r="J2081" s="360" t="str">
        <f>VLOOKUP(bargiri[[#This Row],[شماره پیش فاکتور]],invoice[],16,0)</f>
        <v>عادی</v>
      </c>
      <c r="K2081" s="252">
        <f>bargiri[[#This Row],[فی]]*bargiri[[#This Row],[میزان بارگیری شده]]</f>
        <v>1214847500</v>
      </c>
      <c r="Z2081" s="1"/>
    </row>
    <row r="2082" spans="1:26" ht="18.600000000000001">
      <c r="A2082" s="360" t="s">
        <v>351</v>
      </c>
      <c r="B2082" s="360" t="s">
        <v>101</v>
      </c>
      <c r="C2082" s="355" t="s">
        <v>19</v>
      </c>
      <c r="D2082">
        <v>20040</v>
      </c>
      <c r="E2082" s="143">
        <v>75000</v>
      </c>
      <c r="F2082" s="117">
        <v>1403</v>
      </c>
      <c r="G2082" s="360" t="s">
        <v>296</v>
      </c>
      <c r="H2082" s="144">
        <f>bargiri[[#This Row],[میزان بارگیری شده]]*bargiri[[#This Row],[فی]]</f>
        <v>1503000000</v>
      </c>
      <c r="I2082" s="360">
        <f>IF(year=bargiri[[#This Row],[سال]],1,0)</f>
        <v>0</v>
      </c>
      <c r="J2082" s="360" t="str">
        <f>VLOOKUP(bargiri[[#This Row],[شماره پیش فاکتور]],invoice[],16,0)</f>
        <v>عادی</v>
      </c>
      <c r="K2082" s="252">
        <f>bargiri[[#This Row],[فی]]*bargiri[[#This Row],[میزان بارگیری شده]]</f>
        <v>1503000000</v>
      </c>
      <c r="Z2082" s="1"/>
    </row>
    <row r="2083" spans="1:26" ht="18.600000000000001">
      <c r="A2083" s="360" t="s">
        <v>132</v>
      </c>
      <c r="B2083" s="360" t="s">
        <v>113</v>
      </c>
      <c r="C2083" s="355" t="s">
        <v>61</v>
      </c>
      <c r="D2083">
        <v>18980</v>
      </c>
      <c r="E2083" s="143">
        <v>75000</v>
      </c>
      <c r="F2083" s="117">
        <v>1403</v>
      </c>
      <c r="G2083" s="360" t="s">
        <v>296</v>
      </c>
      <c r="H2083" s="144">
        <f>bargiri[[#This Row],[میزان بارگیری شده]]*bargiri[[#This Row],[فی]]</f>
        <v>1423500000</v>
      </c>
      <c r="I2083" s="360">
        <f>IF(year=bargiri[[#This Row],[سال]],1,0)</f>
        <v>0</v>
      </c>
      <c r="J2083" s="360" t="str">
        <f>VLOOKUP(bargiri[[#This Row],[شماره پیش فاکتور]],invoice[],16,0)</f>
        <v>عادی</v>
      </c>
      <c r="K2083" s="252">
        <f>bargiri[[#This Row],[فی]]*bargiri[[#This Row],[میزان بارگیری شده]]</f>
        <v>1423500000</v>
      </c>
      <c r="Z2083" s="1"/>
    </row>
    <row r="2084" spans="1:26" ht="18.600000000000001">
      <c r="A2084" s="360" t="s">
        <v>132</v>
      </c>
      <c r="B2084" s="360" t="s">
        <v>102</v>
      </c>
      <c r="C2084" s="355" t="s">
        <v>24</v>
      </c>
      <c r="D2084">
        <v>11405</v>
      </c>
      <c r="E2084" s="143">
        <v>70000</v>
      </c>
      <c r="F2084" s="117">
        <v>1403</v>
      </c>
      <c r="G2084" s="360" t="s">
        <v>296</v>
      </c>
      <c r="H2084" s="144">
        <f>bargiri[[#This Row],[میزان بارگیری شده]]*bargiri[[#This Row],[فی]]</f>
        <v>798350000</v>
      </c>
      <c r="I2084" s="360">
        <f>IF(year=bargiri[[#This Row],[سال]],1,0)</f>
        <v>0</v>
      </c>
      <c r="J2084" s="360" t="str">
        <f>VLOOKUP(bargiri[[#This Row],[شماره پیش فاکتور]],invoice[],16,0)</f>
        <v>عادی</v>
      </c>
      <c r="K2084" s="252">
        <f>bargiri[[#This Row],[فی]]*bargiri[[#This Row],[میزان بارگیری شده]]</f>
        <v>798350000</v>
      </c>
      <c r="Z2084" s="1"/>
    </row>
    <row r="2085" spans="1:26" ht="18.600000000000001">
      <c r="A2085" s="360" t="s">
        <v>132</v>
      </c>
      <c r="B2085" s="360" t="s">
        <v>116</v>
      </c>
      <c r="C2085" s="355" t="s">
        <v>72</v>
      </c>
      <c r="D2085">
        <v>18105</v>
      </c>
      <c r="E2085" s="143">
        <v>65000</v>
      </c>
      <c r="F2085" s="117">
        <v>1403</v>
      </c>
      <c r="G2085" s="360" t="s">
        <v>296</v>
      </c>
      <c r="H2085" s="144">
        <f>bargiri[[#This Row],[میزان بارگیری شده]]*bargiri[[#This Row],[فی]]</f>
        <v>1176825000</v>
      </c>
      <c r="I2085" s="360">
        <f>IF(year=bargiri[[#This Row],[سال]],1,0)</f>
        <v>0</v>
      </c>
      <c r="J2085" s="360" t="str">
        <f>VLOOKUP(bargiri[[#This Row],[شماره پیش فاکتور]],invoice[],16,0)</f>
        <v>تعادلی</v>
      </c>
      <c r="K2085" s="252">
        <f>bargiri[[#This Row],[فی]]*bargiri[[#This Row],[میزان بارگیری شده]]</f>
        <v>1176825000</v>
      </c>
      <c r="Z2085" s="1"/>
    </row>
    <row r="2086" spans="1:26" ht="18.600000000000001">
      <c r="A2086" s="360" t="s">
        <v>132</v>
      </c>
      <c r="B2086" s="360" t="s">
        <v>118</v>
      </c>
      <c r="C2086" s="355" t="s">
        <v>84</v>
      </c>
      <c r="D2086">
        <v>20880</v>
      </c>
      <c r="E2086" s="143">
        <v>57273</v>
      </c>
      <c r="F2086" s="117">
        <v>1403</v>
      </c>
      <c r="G2086" s="360" t="s">
        <v>296</v>
      </c>
      <c r="H2086" s="144">
        <f>bargiri[[#This Row],[میزان بارگیری شده]]*bargiri[[#This Row],[فی]]</f>
        <v>1195860240</v>
      </c>
      <c r="I2086" s="360">
        <f>IF(year=bargiri[[#This Row],[سال]],1,0)</f>
        <v>0</v>
      </c>
      <c r="J2086" s="360" t="str">
        <f>VLOOKUP(bargiri[[#This Row],[شماره پیش فاکتور]],invoice[],16,0)</f>
        <v>عادی</v>
      </c>
      <c r="K2086" s="252">
        <f>bargiri[[#This Row],[فی]]*bargiri[[#This Row],[میزان بارگیری شده]]</f>
        <v>1195860240</v>
      </c>
      <c r="Z2086" s="1"/>
    </row>
    <row r="2087" spans="1:26" ht="18.600000000000001">
      <c r="A2087" s="360" t="s">
        <v>132</v>
      </c>
      <c r="B2087" s="360" t="s">
        <v>118</v>
      </c>
      <c r="C2087" s="355" t="s">
        <v>84</v>
      </c>
      <c r="D2087">
        <v>20960</v>
      </c>
      <c r="E2087" s="143">
        <v>57273</v>
      </c>
      <c r="F2087" s="117">
        <v>1403</v>
      </c>
      <c r="G2087" s="360" t="s">
        <v>296</v>
      </c>
      <c r="H2087" s="144">
        <f>bargiri[[#This Row],[میزان بارگیری شده]]*bargiri[[#This Row],[فی]]</f>
        <v>1200442080</v>
      </c>
      <c r="I2087" s="360">
        <f>IF(year=bargiri[[#This Row],[سال]],1,0)</f>
        <v>0</v>
      </c>
      <c r="J2087" s="360" t="str">
        <f>VLOOKUP(bargiri[[#This Row],[شماره پیش فاکتور]],invoice[],16,0)</f>
        <v>عادی</v>
      </c>
      <c r="K2087" s="252">
        <f>bargiri[[#This Row],[فی]]*bargiri[[#This Row],[میزان بارگیری شده]]</f>
        <v>1200442080</v>
      </c>
      <c r="Z2087" s="1"/>
    </row>
    <row r="2088" spans="1:26" ht="18.600000000000001">
      <c r="A2088" s="360" t="s">
        <v>132</v>
      </c>
      <c r="B2088" s="360" t="s">
        <v>118</v>
      </c>
      <c r="C2088" s="355" t="s">
        <v>84</v>
      </c>
      <c r="D2088">
        <v>21645</v>
      </c>
      <c r="E2088" s="143">
        <v>57273</v>
      </c>
      <c r="F2088" s="117">
        <v>1403</v>
      </c>
      <c r="G2088" s="360" t="s">
        <v>296</v>
      </c>
      <c r="H2088" s="144">
        <f>bargiri[[#This Row],[میزان بارگیری شده]]*bargiri[[#This Row],[فی]]</f>
        <v>1239674085</v>
      </c>
      <c r="I2088" s="360">
        <f>IF(year=bargiri[[#This Row],[سال]],1,0)</f>
        <v>0</v>
      </c>
      <c r="J2088" s="360" t="str">
        <f>VLOOKUP(bargiri[[#This Row],[شماره پیش فاکتور]],invoice[],16,0)</f>
        <v>عادی</v>
      </c>
      <c r="K2088" s="252">
        <f>bargiri[[#This Row],[فی]]*bargiri[[#This Row],[میزان بارگیری شده]]</f>
        <v>1239674085</v>
      </c>
      <c r="Z2088" s="1"/>
    </row>
    <row r="2089" spans="1:26" ht="18.600000000000001">
      <c r="A2089" s="360" t="s">
        <v>352</v>
      </c>
      <c r="B2089" s="360" t="s">
        <v>116</v>
      </c>
      <c r="C2089" s="355" t="s">
        <v>72</v>
      </c>
      <c r="D2089">
        <v>18985</v>
      </c>
      <c r="E2089" s="143">
        <v>65000</v>
      </c>
      <c r="F2089" s="117">
        <v>1403</v>
      </c>
      <c r="G2089" s="360" t="s">
        <v>296</v>
      </c>
      <c r="H2089" s="144">
        <f>bargiri[[#This Row],[میزان بارگیری شده]]*bargiri[[#This Row],[فی]]</f>
        <v>1234025000</v>
      </c>
      <c r="I2089" s="360">
        <f>IF(year=bargiri[[#This Row],[سال]],1,0)</f>
        <v>0</v>
      </c>
      <c r="J2089" s="360" t="str">
        <f>VLOOKUP(bargiri[[#This Row],[شماره پیش فاکتور]],invoice[],16,0)</f>
        <v>تعادلی</v>
      </c>
      <c r="K2089" s="252">
        <f>bargiri[[#This Row],[فی]]*bargiri[[#This Row],[میزان بارگیری شده]]</f>
        <v>1234025000</v>
      </c>
      <c r="Z2089" s="1"/>
    </row>
    <row r="2090" spans="1:26" ht="18.600000000000001">
      <c r="A2090" s="360" t="s">
        <v>352</v>
      </c>
      <c r="B2090" s="360" t="s">
        <v>122</v>
      </c>
      <c r="C2090" s="355" t="s">
        <v>91</v>
      </c>
      <c r="D2090">
        <v>10330</v>
      </c>
      <c r="E2090" s="143">
        <v>75000</v>
      </c>
      <c r="F2090" s="117">
        <v>1403</v>
      </c>
      <c r="G2090" s="360" t="s">
        <v>296</v>
      </c>
      <c r="H2090" s="144">
        <f>bargiri[[#This Row],[میزان بارگیری شده]]*bargiri[[#This Row],[فی]]</f>
        <v>774750000</v>
      </c>
      <c r="I2090" s="360">
        <f>IF(year=bargiri[[#This Row],[سال]],1,0)</f>
        <v>0</v>
      </c>
      <c r="J2090" s="360" t="str">
        <f>VLOOKUP(bargiri[[#This Row],[شماره پیش فاکتور]],invoice[],16,0)</f>
        <v>عادی</v>
      </c>
      <c r="K2090" s="252">
        <f>bargiri[[#This Row],[فی]]*bargiri[[#This Row],[میزان بارگیری شده]]</f>
        <v>774750000</v>
      </c>
      <c r="Z2090" s="1"/>
    </row>
    <row r="2091" spans="1:26" ht="18.600000000000001">
      <c r="A2091" s="360" t="s">
        <v>352</v>
      </c>
      <c r="B2091" s="360" t="s">
        <v>113</v>
      </c>
      <c r="C2091" s="355" t="s">
        <v>61</v>
      </c>
      <c r="D2091">
        <v>20090</v>
      </c>
      <c r="E2091" s="143">
        <v>75000</v>
      </c>
      <c r="F2091" s="117">
        <v>1403</v>
      </c>
      <c r="G2091" s="360" t="s">
        <v>296</v>
      </c>
      <c r="H2091" s="144">
        <f>bargiri[[#This Row],[میزان بارگیری شده]]*bargiri[[#This Row],[فی]]</f>
        <v>1506750000</v>
      </c>
      <c r="I2091" s="360">
        <f>IF(year=bargiri[[#This Row],[سال]],1,0)</f>
        <v>0</v>
      </c>
      <c r="J2091" s="360" t="str">
        <f>VLOOKUP(bargiri[[#This Row],[شماره پیش فاکتور]],invoice[],16,0)</f>
        <v>عادی</v>
      </c>
      <c r="K2091" s="252">
        <f>bargiri[[#This Row],[فی]]*bargiri[[#This Row],[میزان بارگیری شده]]</f>
        <v>1506750000</v>
      </c>
      <c r="Z2091" s="1"/>
    </row>
    <row r="2092" spans="1:26" ht="18.600000000000001">
      <c r="A2092" s="360" t="s">
        <v>352</v>
      </c>
      <c r="B2092" s="360" t="s">
        <v>120</v>
      </c>
      <c r="C2092" s="355" t="s">
        <v>88</v>
      </c>
      <c r="D2092">
        <v>8040</v>
      </c>
      <c r="E2092" s="143">
        <v>80000</v>
      </c>
      <c r="F2092" s="117">
        <v>1403</v>
      </c>
      <c r="G2092" s="360" t="s">
        <v>296</v>
      </c>
      <c r="H2092" s="144">
        <f>bargiri[[#This Row],[میزان بارگیری شده]]*bargiri[[#This Row],[فی]]</f>
        <v>643200000</v>
      </c>
      <c r="I2092" s="360">
        <f>IF(year=bargiri[[#This Row],[سال]],1,0)</f>
        <v>0</v>
      </c>
      <c r="J2092" s="360" t="str">
        <f>VLOOKUP(bargiri[[#This Row],[شماره پیش فاکتور]],invoice[],16,0)</f>
        <v>عادی</v>
      </c>
      <c r="K2092" s="252">
        <f>bargiri[[#This Row],[فی]]*bargiri[[#This Row],[میزان بارگیری شده]]</f>
        <v>643200000</v>
      </c>
      <c r="Z2092" s="1"/>
    </row>
    <row r="2093" spans="1:26" ht="18.600000000000001">
      <c r="A2093" s="360" t="s">
        <v>352</v>
      </c>
      <c r="B2093" s="360" t="s">
        <v>123</v>
      </c>
      <c r="C2093" s="355" t="s">
        <v>93</v>
      </c>
      <c r="D2093">
        <v>7740</v>
      </c>
      <c r="E2093" s="143">
        <v>75000</v>
      </c>
      <c r="F2093" s="117">
        <v>1403</v>
      </c>
      <c r="G2093" s="360" t="s">
        <v>296</v>
      </c>
      <c r="H2093" s="144">
        <f>bargiri[[#This Row],[میزان بارگیری شده]]*bargiri[[#This Row],[فی]]</f>
        <v>580500000</v>
      </c>
      <c r="I2093" s="360">
        <f>IF(year=bargiri[[#This Row],[سال]],1,0)</f>
        <v>0</v>
      </c>
      <c r="J2093" s="360" t="str">
        <f>VLOOKUP(bargiri[[#This Row],[شماره پیش فاکتور]],invoice[],16,0)</f>
        <v>عادی</v>
      </c>
      <c r="K2093" s="252">
        <f>bargiri[[#This Row],[فی]]*bargiri[[#This Row],[میزان بارگیری شده]]</f>
        <v>580500000</v>
      </c>
      <c r="Z2093" s="1"/>
    </row>
    <row r="2094" spans="1:26" ht="18.600000000000001">
      <c r="A2094" s="360" t="s">
        <v>352</v>
      </c>
      <c r="B2094" s="360" t="s">
        <v>122</v>
      </c>
      <c r="C2094" s="355" t="s">
        <v>91</v>
      </c>
      <c r="D2094">
        <v>10380</v>
      </c>
      <c r="E2094" s="143">
        <v>75000</v>
      </c>
      <c r="F2094" s="117">
        <v>1403</v>
      </c>
      <c r="G2094" s="360" t="s">
        <v>296</v>
      </c>
      <c r="H2094" s="144">
        <f>bargiri[[#This Row],[میزان بارگیری شده]]*bargiri[[#This Row],[فی]]</f>
        <v>778500000</v>
      </c>
      <c r="I2094" s="360">
        <f>IF(year=bargiri[[#This Row],[سال]],1,0)</f>
        <v>0</v>
      </c>
      <c r="J2094" s="360" t="str">
        <f>VLOOKUP(bargiri[[#This Row],[شماره پیش فاکتور]],invoice[],16,0)</f>
        <v>عادی</v>
      </c>
      <c r="K2094" s="252">
        <f>bargiri[[#This Row],[فی]]*bargiri[[#This Row],[میزان بارگیری شده]]</f>
        <v>778500000</v>
      </c>
      <c r="Z2094" s="1"/>
    </row>
    <row r="2095" spans="1:26" ht="18.600000000000001">
      <c r="A2095" s="360" t="s">
        <v>352</v>
      </c>
      <c r="B2095" s="360" t="s">
        <v>120</v>
      </c>
      <c r="C2095" s="355" t="s">
        <v>88</v>
      </c>
      <c r="D2095">
        <v>8940</v>
      </c>
      <c r="E2095" s="143">
        <v>80000</v>
      </c>
      <c r="F2095" s="117">
        <v>1403</v>
      </c>
      <c r="G2095" s="360" t="s">
        <v>296</v>
      </c>
      <c r="H2095" s="144">
        <f>bargiri[[#This Row],[میزان بارگیری شده]]*bargiri[[#This Row],[فی]]</f>
        <v>715200000</v>
      </c>
      <c r="I2095" s="360">
        <f>IF(year=bargiri[[#This Row],[سال]],1,0)</f>
        <v>0</v>
      </c>
      <c r="J2095" s="360" t="str">
        <f>VLOOKUP(bargiri[[#This Row],[شماره پیش فاکتور]],invoice[],16,0)</f>
        <v>عادی</v>
      </c>
      <c r="K2095" s="252">
        <f>bargiri[[#This Row],[فی]]*bargiri[[#This Row],[میزان بارگیری شده]]</f>
        <v>715200000</v>
      </c>
      <c r="Z2095" s="1"/>
    </row>
    <row r="2096" spans="1:26" ht="18.600000000000001">
      <c r="A2096" s="360" t="s">
        <v>133</v>
      </c>
      <c r="B2096" s="360" t="s">
        <v>104</v>
      </c>
      <c r="C2096" s="355" t="s">
        <v>40</v>
      </c>
      <c r="D2096">
        <v>17950</v>
      </c>
      <c r="E2096" s="143">
        <v>92180</v>
      </c>
      <c r="F2096" s="117">
        <v>1403</v>
      </c>
      <c r="G2096" s="360" t="s">
        <v>296</v>
      </c>
      <c r="H2096" s="144">
        <f>bargiri[[#This Row],[میزان بارگیری شده]]*bargiri[[#This Row],[فی]]</f>
        <v>1654631000</v>
      </c>
      <c r="I2096" s="360">
        <f>IF(year=bargiri[[#This Row],[سال]],1,0)</f>
        <v>0</v>
      </c>
      <c r="J2096" s="360" t="str">
        <f>VLOOKUP(bargiri[[#This Row],[شماره پیش فاکتور]],invoice[],16,0)</f>
        <v>بورس</v>
      </c>
      <c r="K2096" s="252">
        <f>bargiri[[#This Row],[فی]]*bargiri[[#This Row],[میزان بارگیری شده]]</f>
        <v>1654631000</v>
      </c>
      <c r="Z2096" s="1"/>
    </row>
    <row r="2097" spans="1:26" ht="18.600000000000001">
      <c r="A2097" s="360" t="s">
        <v>133</v>
      </c>
      <c r="B2097" s="360" t="s">
        <v>107</v>
      </c>
      <c r="C2097" s="355" t="s">
        <v>50</v>
      </c>
      <c r="D2097">
        <v>18950</v>
      </c>
      <c r="E2097" s="143">
        <v>70000</v>
      </c>
      <c r="F2097" s="117">
        <v>1403</v>
      </c>
      <c r="G2097" s="360" t="s">
        <v>296</v>
      </c>
      <c r="H2097" s="144">
        <f>bargiri[[#This Row],[میزان بارگیری شده]]*bargiri[[#This Row],[فی]]</f>
        <v>1326500000</v>
      </c>
      <c r="I2097" s="360">
        <f>IF(year=bargiri[[#This Row],[سال]],1,0)</f>
        <v>0</v>
      </c>
      <c r="J2097" s="360" t="str">
        <f>VLOOKUP(bargiri[[#This Row],[شماره پیش فاکتور]],invoice[],16,0)</f>
        <v>عادی</v>
      </c>
      <c r="K2097" s="252">
        <f>bargiri[[#This Row],[فی]]*bargiri[[#This Row],[میزان بارگیری شده]]</f>
        <v>1326500000</v>
      </c>
      <c r="Z2097" s="1"/>
    </row>
    <row r="2098" spans="1:26" ht="18.600000000000001">
      <c r="A2098" s="360" t="s">
        <v>133</v>
      </c>
      <c r="B2098" s="360" t="s">
        <v>101</v>
      </c>
      <c r="C2098" s="355" t="s">
        <v>19</v>
      </c>
      <c r="D2098">
        <v>20150</v>
      </c>
      <c r="E2098" s="143">
        <v>75000</v>
      </c>
      <c r="F2098" s="117">
        <v>1403</v>
      </c>
      <c r="G2098" s="360" t="s">
        <v>296</v>
      </c>
      <c r="H2098" s="144">
        <f>bargiri[[#This Row],[میزان بارگیری شده]]*bargiri[[#This Row],[فی]]</f>
        <v>1511250000</v>
      </c>
      <c r="I2098" s="360">
        <f>IF(year=bargiri[[#This Row],[سال]],1,0)</f>
        <v>0</v>
      </c>
      <c r="J2098" s="360" t="str">
        <f>VLOOKUP(bargiri[[#This Row],[شماره پیش فاکتور]],invoice[],16,0)</f>
        <v>عادی</v>
      </c>
      <c r="K2098" s="252">
        <f>bargiri[[#This Row],[فی]]*bargiri[[#This Row],[میزان بارگیری شده]]</f>
        <v>1511250000</v>
      </c>
      <c r="Z2098" s="1"/>
    </row>
    <row r="2099" spans="1:26" ht="18.600000000000001">
      <c r="A2099" s="360" t="s">
        <v>133</v>
      </c>
      <c r="B2099" s="360" t="s">
        <v>117</v>
      </c>
      <c r="C2099" s="355" t="s">
        <v>79</v>
      </c>
      <c r="D2099">
        <v>20025</v>
      </c>
      <c r="E2099" s="143">
        <v>75000</v>
      </c>
      <c r="F2099" s="117">
        <v>1403</v>
      </c>
      <c r="G2099" s="360" t="s">
        <v>296</v>
      </c>
      <c r="H2099" s="144">
        <f>bargiri[[#This Row],[میزان بارگیری شده]]*bargiri[[#This Row],[فی]]</f>
        <v>1501875000</v>
      </c>
      <c r="I2099" s="360">
        <f>IF(year=bargiri[[#This Row],[سال]],1,0)</f>
        <v>0</v>
      </c>
      <c r="J2099" s="360" t="str">
        <f>VLOOKUP(bargiri[[#This Row],[شماره پیش فاکتور]],invoice[],16,0)</f>
        <v>عادی</v>
      </c>
      <c r="K2099" s="252">
        <f>bargiri[[#This Row],[فی]]*bargiri[[#This Row],[میزان بارگیری شده]]</f>
        <v>1501875000</v>
      </c>
      <c r="Z2099" s="1"/>
    </row>
    <row r="2100" spans="1:26" ht="18.600000000000001">
      <c r="A2100" s="360" t="s">
        <v>133</v>
      </c>
      <c r="B2100" s="360" t="s">
        <v>120</v>
      </c>
      <c r="C2100" s="355" t="s">
        <v>88</v>
      </c>
      <c r="D2100">
        <v>5065</v>
      </c>
      <c r="E2100" s="143">
        <v>80000</v>
      </c>
      <c r="F2100" s="117">
        <v>1403</v>
      </c>
      <c r="G2100" s="360" t="s">
        <v>296</v>
      </c>
      <c r="H2100" s="144">
        <f>bargiri[[#This Row],[میزان بارگیری شده]]*bargiri[[#This Row],[فی]]</f>
        <v>405200000</v>
      </c>
      <c r="I2100" s="360">
        <f>IF(year=bargiri[[#This Row],[سال]],1,0)</f>
        <v>0</v>
      </c>
      <c r="J2100" s="360" t="str">
        <f>VLOOKUP(bargiri[[#This Row],[شماره پیش فاکتور]],invoice[],16,0)</f>
        <v>عادی</v>
      </c>
      <c r="K2100" s="252">
        <f>bargiri[[#This Row],[فی]]*bargiri[[#This Row],[میزان بارگیری شده]]</f>
        <v>405200000</v>
      </c>
      <c r="Z2100" s="1"/>
    </row>
    <row r="2101" spans="1:26" ht="18.600000000000001">
      <c r="A2101" s="360" t="s">
        <v>133</v>
      </c>
      <c r="B2101" s="360" t="s">
        <v>106</v>
      </c>
      <c r="C2101" s="355" t="s">
        <v>45</v>
      </c>
      <c r="D2101">
        <v>20100</v>
      </c>
      <c r="E2101" s="143">
        <v>80000</v>
      </c>
      <c r="F2101" s="117">
        <v>1403</v>
      </c>
      <c r="G2101" s="360" t="s">
        <v>296</v>
      </c>
      <c r="H2101" s="144">
        <f>bargiri[[#This Row],[میزان بارگیری شده]]*bargiri[[#This Row],[فی]]</f>
        <v>1608000000</v>
      </c>
      <c r="I2101" s="360">
        <f>IF(year=bargiri[[#This Row],[سال]],1,0)</f>
        <v>0</v>
      </c>
      <c r="J2101" s="360" t="str">
        <f>VLOOKUP(bargiri[[#This Row],[شماره پیش فاکتور]],invoice[],16,0)</f>
        <v>عادی</v>
      </c>
      <c r="K2101" s="252">
        <f>bargiri[[#This Row],[فی]]*bargiri[[#This Row],[میزان بارگیری شده]]</f>
        <v>1608000000</v>
      </c>
      <c r="Z2101" s="1"/>
    </row>
    <row r="2102" spans="1:26" ht="18.600000000000001">
      <c r="A2102" s="360" t="s">
        <v>171</v>
      </c>
      <c r="B2102" s="360" t="s">
        <v>117</v>
      </c>
      <c r="C2102" s="355" t="s">
        <v>79</v>
      </c>
      <c r="D2102">
        <v>19990</v>
      </c>
      <c r="E2102" s="143">
        <v>75000</v>
      </c>
      <c r="F2102" s="117">
        <v>1403</v>
      </c>
      <c r="G2102" s="360" t="s">
        <v>296</v>
      </c>
      <c r="H2102" s="144">
        <f>bargiri[[#This Row],[میزان بارگیری شده]]*bargiri[[#This Row],[فی]]</f>
        <v>1499250000</v>
      </c>
      <c r="I2102" s="360">
        <f>IF(year=bargiri[[#This Row],[سال]],1,0)</f>
        <v>0</v>
      </c>
      <c r="J2102" s="360" t="str">
        <f>VLOOKUP(bargiri[[#This Row],[شماره پیش فاکتور]],invoice[],16,0)</f>
        <v>عادی</v>
      </c>
      <c r="K2102" s="252">
        <f>bargiri[[#This Row],[فی]]*bargiri[[#This Row],[میزان بارگیری شده]]</f>
        <v>1499250000</v>
      </c>
      <c r="Z2102" s="1"/>
    </row>
    <row r="2103" spans="1:26" ht="18.600000000000001">
      <c r="A2103" s="360" t="s">
        <v>352</v>
      </c>
      <c r="B2103" s="360" t="s">
        <v>110</v>
      </c>
      <c r="C2103" s="355" t="s">
        <v>57</v>
      </c>
      <c r="D2103">
        <v>9910</v>
      </c>
      <c r="E2103" s="143">
        <v>78000</v>
      </c>
      <c r="F2103" s="117">
        <v>1403</v>
      </c>
      <c r="G2103" s="360" t="s">
        <v>296</v>
      </c>
      <c r="H2103" s="144">
        <f>bargiri[[#This Row],[میزان بارگیری شده]]*bargiri[[#This Row],[فی]]</f>
        <v>772980000</v>
      </c>
      <c r="I2103" s="360">
        <f>IF(year=bargiri[[#This Row],[سال]],1,0)</f>
        <v>0</v>
      </c>
      <c r="J2103" s="360" t="str">
        <f>VLOOKUP(bargiri[[#This Row],[شماره پیش فاکتور]],invoice[],16,0)</f>
        <v>عادی</v>
      </c>
      <c r="K2103" s="252">
        <f>bargiri[[#This Row],[فی]]*bargiri[[#This Row],[میزان بارگیری شده]]</f>
        <v>772980000</v>
      </c>
      <c r="Z2103" s="1"/>
    </row>
    <row r="2104" spans="1:26" ht="18.600000000000001">
      <c r="A2104" s="360" t="s">
        <v>353</v>
      </c>
      <c r="B2104" s="360" t="s">
        <v>103</v>
      </c>
      <c r="C2104" s="355" t="s">
        <v>29</v>
      </c>
      <c r="D2104">
        <v>7355</v>
      </c>
      <c r="E2104" s="143">
        <v>75000</v>
      </c>
      <c r="F2104" s="117">
        <v>1403</v>
      </c>
      <c r="G2104" s="360" t="s">
        <v>296</v>
      </c>
      <c r="H2104" s="144">
        <f>bargiri[[#This Row],[میزان بارگیری شده]]*bargiri[[#This Row],[فی]]</f>
        <v>551625000</v>
      </c>
      <c r="I2104" s="360">
        <f>IF(year=bargiri[[#This Row],[سال]],1,0)</f>
        <v>0</v>
      </c>
      <c r="J2104" s="360" t="str">
        <f>VLOOKUP(bargiri[[#This Row],[شماره پیش فاکتور]],invoice[],16,0)</f>
        <v>عادی</v>
      </c>
      <c r="K2104" s="252">
        <f>bargiri[[#This Row],[فی]]*bargiri[[#This Row],[میزان بارگیری شده]]</f>
        <v>551625000</v>
      </c>
      <c r="Z2104" s="1"/>
    </row>
    <row r="2105" spans="1:26" ht="18.600000000000001">
      <c r="A2105" s="360" t="s">
        <v>353</v>
      </c>
      <c r="B2105" s="360" t="s">
        <v>103</v>
      </c>
      <c r="C2105" s="355" t="s">
        <v>29</v>
      </c>
      <c r="D2105">
        <v>7310</v>
      </c>
      <c r="E2105" s="143">
        <v>75000</v>
      </c>
      <c r="F2105" s="117">
        <v>1403</v>
      </c>
      <c r="G2105" s="360" t="s">
        <v>296</v>
      </c>
      <c r="H2105" s="144">
        <f>bargiri[[#This Row],[میزان بارگیری شده]]*bargiri[[#This Row],[فی]]</f>
        <v>548250000</v>
      </c>
      <c r="I2105" s="360">
        <f>IF(year=bargiri[[#This Row],[سال]],1,0)</f>
        <v>0</v>
      </c>
      <c r="J2105" s="360" t="str">
        <f>VLOOKUP(bargiri[[#This Row],[شماره پیش فاکتور]],invoice[],16,0)</f>
        <v>عادی</v>
      </c>
      <c r="K2105" s="252">
        <f>bargiri[[#This Row],[فی]]*bargiri[[#This Row],[میزان بارگیری شده]]</f>
        <v>548250000</v>
      </c>
      <c r="Z2105" s="1"/>
    </row>
    <row r="2106" spans="1:26" ht="18.600000000000001">
      <c r="A2106" s="360" t="s">
        <v>353</v>
      </c>
      <c r="B2106" s="360" t="s">
        <v>98</v>
      </c>
      <c r="C2106" s="355" t="s">
        <v>8</v>
      </c>
      <c r="D2106">
        <v>22275</v>
      </c>
      <c r="E2106" s="143">
        <v>72000</v>
      </c>
      <c r="F2106" s="117">
        <v>1403</v>
      </c>
      <c r="G2106" s="360" t="s">
        <v>296</v>
      </c>
      <c r="H2106" s="144">
        <f>bargiri[[#This Row],[میزان بارگیری شده]]*bargiri[[#This Row],[فی]]</f>
        <v>1603800000</v>
      </c>
      <c r="I2106" s="360">
        <f>IF(year=bargiri[[#This Row],[سال]],1,0)</f>
        <v>0</v>
      </c>
      <c r="J2106" s="360" t="str">
        <f>VLOOKUP(bargiri[[#This Row],[شماره پیش فاکتور]],invoice[],16,0)</f>
        <v>عادی</v>
      </c>
      <c r="K2106" s="252">
        <f>bargiri[[#This Row],[فی]]*bargiri[[#This Row],[میزان بارگیری شده]]</f>
        <v>1603800000</v>
      </c>
      <c r="Z2106" s="1"/>
    </row>
    <row r="2107" spans="1:26" ht="18.600000000000001">
      <c r="A2107" s="360" t="s">
        <v>195</v>
      </c>
      <c r="B2107" s="360" t="s">
        <v>102</v>
      </c>
      <c r="C2107" s="355" t="s">
        <v>25</v>
      </c>
      <c r="D2107">
        <v>3990</v>
      </c>
      <c r="E2107" s="143">
        <v>65000</v>
      </c>
      <c r="F2107" s="117">
        <v>1403</v>
      </c>
      <c r="G2107" s="360" t="s">
        <v>296</v>
      </c>
      <c r="H2107" s="144">
        <f>bargiri[[#This Row],[میزان بارگیری شده]]*bargiri[[#This Row],[فی]]</f>
        <v>259350000</v>
      </c>
      <c r="I2107" s="360">
        <f>IF(year=bargiri[[#This Row],[سال]],1,0)</f>
        <v>0</v>
      </c>
      <c r="J2107" s="360" t="str">
        <f>VLOOKUP(bargiri[[#This Row],[شماره پیش فاکتور]],invoice[],16,0)</f>
        <v>عادی</v>
      </c>
      <c r="K2107" s="252">
        <f>bargiri[[#This Row],[فی]]*bargiri[[#This Row],[میزان بارگیری شده]]</f>
        <v>259350000</v>
      </c>
      <c r="Z2107" s="1"/>
    </row>
    <row r="2108" spans="1:26" ht="18.600000000000001">
      <c r="A2108" s="360" t="s">
        <v>195</v>
      </c>
      <c r="B2108" s="360" t="s">
        <v>102</v>
      </c>
      <c r="C2108" s="355" t="s">
        <v>24</v>
      </c>
      <c r="D2108">
        <v>8095</v>
      </c>
      <c r="E2108" s="143">
        <v>70000</v>
      </c>
      <c r="F2108" s="117">
        <v>1403</v>
      </c>
      <c r="G2108" s="360" t="s">
        <v>296</v>
      </c>
      <c r="H2108" s="144">
        <f>bargiri[[#This Row],[میزان بارگیری شده]]*bargiri[[#This Row],[فی]]</f>
        <v>566650000</v>
      </c>
      <c r="I2108" s="360">
        <f>IF(year=bargiri[[#This Row],[سال]],1,0)</f>
        <v>0</v>
      </c>
      <c r="J2108" s="360" t="str">
        <f>VLOOKUP(bargiri[[#This Row],[شماره پیش فاکتور]],invoice[],16,0)</f>
        <v>عادی</v>
      </c>
      <c r="K2108" s="252">
        <f>bargiri[[#This Row],[فی]]*bargiri[[#This Row],[میزان بارگیری شده]]</f>
        <v>566650000</v>
      </c>
      <c r="Z2108" s="1"/>
    </row>
    <row r="2109" spans="1:26" ht="18.600000000000001">
      <c r="A2109" s="360" t="s">
        <v>354</v>
      </c>
      <c r="B2109" s="360" t="s">
        <v>116</v>
      </c>
      <c r="C2109" s="355" t="s">
        <v>72</v>
      </c>
      <c r="D2109">
        <v>18450</v>
      </c>
      <c r="E2109" s="143">
        <v>65000</v>
      </c>
      <c r="F2109" s="117">
        <v>1403</v>
      </c>
      <c r="G2109" s="360" t="s">
        <v>296</v>
      </c>
      <c r="H2109" s="144">
        <f>bargiri[[#This Row],[میزان بارگیری شده]]*bargiri[[#This Row],[فی]]</f>
        <v>1199250000</v>
      </c>
      <c r="I2109" s="360">
        <f>IF(year=bargiri[[#This Row],[سال]],1,0)</f>
        <v>0</v>
      </c>
      <c r="J2109" s="360" t="str">
        <f>VLOOKUP(bargiri[[#This Row],[شماره پیش فاکتور]],invoice[],16,0)</f>
        <v>تعادلی</v>
      </c>
      <c r="K2109" s="252">
        <f>bargiri[[#This Row],[فی]]*bargiri[[#This Row],[میزان بارگیری شده]]</f>
        <v>1199250000</v>
      </c>
      <c r="Z2109" s="1"/>
    </row>
    <row r="2110" spans="1:26" ht="18.600000000000001">
      <c r="A2110" s="360" t="s">
        <v>354</v>
      </c>
      <c r="B2110" s="360" t="s">
        <v>101</v>
      </c>
      <c r="C2110" s="355" t="s">
        <v>19</v>
      </c>
      <c r="D2110">
        <v>20150</v>
      </c>
      <c r="E2110" s="143">
        <v>75000</v>
      </c>
      <c r="F2110" s="117">
        <v>1403</v>
      </c>
      <c r="G2110" s="360" t="s">
        <v>296</v>
      </c>
      <c r="H2110" s="144">
        <f>bargiri[[#This Row],[میزان بارگیری شده]]*bargiri[[#This Row],[فی]]</f>
        <v>1511250000</v>
      </c>
      <c r="I2110" s="360">
        <f>IF(year=bargiri[[#This Row],[سال]],1,0)</f>
        <v>0</v>
      </c>
      <c r="J2110" s="360" t="str">
        <f>VLOOKUP(bargiri[[#This Row],[شماره پیش فاکتور]],invoice[],16,0)</f>
        <v>عادی</v>
      </c>
      <c r="K2110" s="252">
        <f>bargiri[[#This Row],[فی]]*bargiri[[#This Row],[میزان بارگیری شده]]</f>
        <v>1511250000</v>
      </c>
      <c r="Z2110" s="1"/>
    </row>
    <row r="2111" spans="1:26" ht="18.600000000000001">
      <c r="A2111" s="360" t="s">
        <v>354</v>
      </c>
      <c r="B2111" s="360" t="s">
        <v>113</v>
      </c>
      <c r="C2111" s="355" t="s">
        <v>61</v>
      </c>
      <c r="D2111">
        <v>18790</v>
      </c>
      <c r="E2111" s="143">
        <v>75000</v>
      </c>
      <c r="F2111" s="117">
        <v>1403</v>
      </c>
      <c r="G2111" s="360" t="s">
        <v>296</v>
      </c>
      <c r="H2111" s="144">
        <f>bargiri[[#This Row],[میزان بارگیری شده]]*bargiri[[#This Row],[فی]]</f>
        <v>1409250000</v>
      </c>
      <c r="I2111" s="360">
        <f>IF(year=bargiri[[#This Row],[سال]],1,0)</f>
        <v>0</v>
      </c>
      <c r="J2111" s="360" t="str">
        <f>VLOOKUP(bargiri[[#This Row],[شماره پیش فاکتور]],invoice[],16,0)</f>
        <v>عادی</v>
      </c>
      <c r="K2111" s="252">
        <f>bargiri[[#This Row],[فی]]*bargiri[[#This Row],[میزان بارگیری شده]]</f>
        <v>1409250000</v>
      </c>
      <c r="Z2111" s="1"/>
    </row>
    <row r="2112" spans="1:26" ht="18.600000000000001">
      <c r="A2112" s="360" t="s">
        <v>354</v>
      </c>
      <c r="B2112" s="360" t="s">
        <v>107</v>
      </c>
      <c r="C2112" s="355" t="s">
        <v>50</v>
      </c>
      <c r="D2112">
        <v>19020</v>
      </c>
      <c r="E2112" s="143">
        <v>70000</v>
      </c>
      <c r="F2112" s="117">
        <v>1403</v>
      </c>
      <c r="G2112" s="360" t="s">
        <v>296</v>
      </c>
      <c r="H2112" s="144">
        <f>bargiri[[#This Row],[میزان بارگیری شده]]*bargiri[[#This Row],[فی]]</f>
        <v>1331400000</v>
      </c>
      <c r="I2112" s="360">
        <f>IF(year=bargiri[[#This Row],[سال]],1,0)</f>
        <v>0</v>
      </c>
      <c r="J2112" s="360" t="str">
        <f>VLOOKUP(bargiri[[#This Row],[شماره پیش فاکتور]],invoice[],16,0)</f>
        <v>عادی</v>
      </c>
      <c r="K2112" s="252">
        <f>bargiri[[#This Row],[فی]]*bargiri[[#This Row],[میزان بارگیری شده]]</f>
        <v>1331400000</v>
      </c>
      <c r="Z2112" s="1"/>
    </row>
    <row r="2113" spans="1:26" ht="18.600000000000001">
      <c r="A2113" s="360" t="s">
        <v>171</v>
      </c>
      <c r="B2113" s="360" t="s">
        <v>106</v>
      </c>
      <c r="C2113" s="355" t="s">
        <v>45</v>
      </c>
      <c r="D2113">
        <v>21940</v>
      </c>
      <c r="E2113" s="143">
        <v>80000</v>
      </c>
      <c r="F2113" s="117">
        <v>1403</v>
      </c>
      <c r="G2113" s="360" t="s">
        <v>296</v>
      </c>
      <c r="H2113" s="144">
        <f>bargiri[[#This Row],[میزان بارگیری شده]]*bargiri[[#This Row],[فی]]</f>
        <v>1755200000</v>
      </c>
      <c r="I2113" s="360">
        <f>IF(year=bargiri[[#This Row],[سال]],1,0)</f>
        <v>0</v>
      </c>
      <c r="J2113" s="360" t="str">
        <f>VLOOKUP(bargiri[[#This Row],[شماره پیش فاکتور]],invoice[],16,0)</f>
        <v>عادی</v>
      </c>
      <c r="K2113" s="252">
        <f>bargiri[[#This Row],[فی]]*bargiri[[#This Row],[میزان بارگیری شده]]</f>
        <v>1755200000</v>
      </c>
      <c r="Z2113" s="1"/>
    </row>
    <row r="2114" spans="1:26" ht="18.600000000000001">
      <c r="A2114" s="360" t="s">
        <v>171</v>
      </c>
      <c r="B2114" s="360" t="s">
        <v>123</v>
      </c>
      <c r="C2114" s="355" t="s">
        <v>93</v>
      </c>
      <c r="D2114">
        <v>7760</v>
      </c>
      <c r="E2114" s="143">
        <v>75000</v>
      </c>
      <c r="F2114" s="117">
        <v>1403</v>
      </c>
      <c r="G2114" s="360" t="s">
        <v>296</v>
      </c>
      <c r="H2114" s="144">
        <f>bargiri[[#This Row],[میزان بارگیری شده]]*bargiri[[#This Row],[فی]]</f>
        <v>582000000</v>
      </c>
      <c r="I2114" s="360">
        <f>IF(year=bargiri[[#This Row],[سال]],1,0)</f>
        <v>0</v>
      </c>
      <c r="J2114" s="360" t="str">
        <f>VLOOKUP(bargiri[[#This Row],[شماره پیش فاکتور]],invoice[],16,0)</f>
        <v>عادی</v>
      </c>
      <c r="K2114" s="252">
        <f>bargiri[[#This Row],[فی]]*bargiri[[#This Row],[میزان بارگیری شده]]</f>
        <v>582000000</v>
      </c>
      <c r="Z2114" s="1"/>
    </row>
    <row r="2115" spans="1:26" ht="18.600000000000001">
      <c r="A2115" s="360" t="s">
        <v>171</v>
      </c>
      <c r="B2115" s="360" t="s">
        <v>114</v>
      </c>
      <c r="C2115" s="355" t="s">
        <v>63</v>
      </c>
      <c r="D2115">
        <v>22105</v>
      </c>
      <c r="E2115" s="143">
        <v>75000</v>
      </c>
      <c r="F2115" s="117">
        <v>1403</v>
      </c>
      <c r="G2115" s="360" t="s">
        <v>296</v>
      </c>
      <c r="H2115" s="144">
        <f>bargiri[[#This Row],[میزان بارگیری شده]]*bargiri[[#This Row],[فی]]</f>
        <v>1657875000</v>
      </c>
      <c r="I2115" s="360">
        <f>IF(year=bargiri[[#This Row],[سال]],1,0)</f>
        <v>0</v>
      </c>
      <c r="J2115" s="360" t="str">
        <f>VLOOKUP(bargiri[[#This Row],[شماره پیش فاکتور]],invoice[],16,0)</f>
        <v>عادی</v>
      </c>
      <c r="K2115" s="252">
        <f>bargiri[[#This Row],[فی]]*bargiri[[#This Row],[میزان بارگیری شده]]</f>
        <v>1657875000</v>
      </c>
      <c r="Z2115" s="1"/>
    </row>
    <row r="2116" spans="1:26" ht="18.600000000000001">
      <c r="A2116" s="360" t="s">
        <v>171</v>
      </c>
      <c r="B2116" s="360" t="s">
        <v>120</v>
      </c>
      <c r="C2116" s="355" t="s">
        <v>88</v>
      </c>
      <c r="D2116">
        <v>9140</v>
      </c>
      <c r="E2116" s="143">
        <v>80000</v>
      </c>
      <c r="F2116" s="117">
        <v>1403</v>
      </c>
      <c r="G2116" s="360" t="s">
        <v>296</v>
      </c>
      <c r="H2116" s="144">
        <f>bargiri[[#This Row],[میزان بارگیری شده]]*bargiri[[#This Row],[فی]]</f>
        <v>731200000</v>
      </c>
      <c r="I2116" s="360">
        <f>IF(year=bargiri[[#This Row],[سال]],1,0)</f>
        <v>0</v>
      </c>
      <c r="J2116" s="360" t="str">
        <f>VLOOKUP(bargiri[[#This Row],[شماره پیش فاکتور]],invoice[],16,0)</f>
        <v>عادی</v>
      </c>
      <c r="K2116" s="252">
        <f>bargiri[[#This Row],[فی]]*bargiri[[#This Row],[میزان بارگیری شده]]</f>
        <v>731200000</v>
      </c>
      <c r="Z2116" s="1"/>
    </row>
    <row r="2117" spans="1:26" ht="18.600000000000001">
      <c r="A2117" s="360" t="s">
        <v>171</v>
      </c>
      <c r="B2117" s="360" t="s">
        <v>118</v>
      </c>
      <c r="C2117" s="355" t="s">
        <v>84</v>
      </c>
      <c r="D2117">
        <v>20825</v>
      </c>
      <c r="E2117" s="143">
        <v>57273</v>
      </c>
      <c r="F2117" s="117">
        <v>1403</v>
      </c>
      <c r="G2117" s="360" t="s">
        <v>296</v>
      </c>
      <c r="H2117" s="144">
        <f>bargiri[[#This Row],[میزان بارگیری شده]]*bargiri[[#This Row],[فی]]</f>
        <v>1192710225</v>
      </c>
      <c r="I2117" s="360">
        <f>IF(year=bargiri[[#This Row],[سال]],1,0)</f>
        <v>0</v>
      </c>
      <c r="J2117" s="360" t="str">
        <f>VLOOKUP(bargiri[[#This Row],[شماره پیش فاکتور]],invoice[],16,0)</f>
        <v>عادی</v>
      </c>
      <c r="K2117" s="252">
        <f>bargiri[[#This Row],[فی]]*bargiri[[#This Row],[میزان بارگیری شده]]</f>
        <v>1192710225</v>
      </c>
      <c r="Z2117" s="1"/>
    </row>
    <row r="2118" spans="1:26" ht="18.600000000000001">
      <c r="A2118" s="360" t="s">
        <v>171</v>
      </c>
      <c r="B2118" s="360" t="s">
        <v>118</v>
      </c>
      <c r="C2118" s="355" t="s">
        <v>84</v>
      </c>
      <c r="D2118">
        <v>20640</v>
      </c>
      <c r="E2118" s="143">
        <v>57273</v>
      </c>
      <c r="F2118" s="117">
        <v>1403</v>
      </c>
      <c r="G2118" s="360" t="s">
        <v>296</v>
      </c>
      <c r="H2118" s="144">
        <f>bargiri[[#This Row],[میزان بارگیری شده]]*bargiri[[#This Row],[فی]]</f>
        <v>1182114720</v>
      </c>
      <c r="I2118" s="360">
        <f>IF(year=bargiri[[#This Row],[سال]],1,0)</f>
        <v>0</v>
      </c>
      <c r="J2118" s="360" t="str">
        <f>VLOOKUP(bargiri[[#This Row],[شماره پیش فاکتور]],invoice[],16,0)</f>
        <v>عادی</v>
      </c>
      <c r="K2118" s="252">
        <f>bargiri[[#This Row],[فی]]*bargiri[[#This Row],[میزان بارگیری شده]]</f>
        <v>1182114720</v>
      </c>
      <c r="Z2118" s="1"/>
    </row>
    <row r="2119" spans="1:26" ht="18.600000000000001">
      <c r="A2119" s="360" t="s">
        <v>171</v>
      </c>
      <c r="B2119" s="360" t="s">
        <v>118</v>
      </c>
      <c r="C2119" s="355" t="s">
        <v>84</v>
      </c>
      <c r="D2119">
        <v>20930</v>
      </c>
      <c r="E2119" s="143">
        <v>57273</v>
      </c>
      <c r="F2119" s="117">
        <v>1403</v>
      </c>
      <c r="G2119" s="360" t="s">
        <v>296</v>
      </c>
      <c r="H2119" s="144">
        <f>bargiri[[#This Row],[میزان بارگیری شده]]*bargiri[[#This Row],[فی]]</f>
        <v>1198723890</v>
      </c>
      <c r="I2119" s="360">
        <f>IF(year=bargiri[[#This Row],[سال]],1,0)</f>
        <v>0</v>
      </c>
      <c r="J2119" s="360" t="str">
        <f>VLOOKUP(bargiri[[#This Row],[شماره پیش فاکتور]],invoice[],16,0)</f>
        <v>عادی</v>
      </c>
      <c r="K2119" s="252">
        <f>bargiri[[#This Row],[فی]]*bargiri[[#This Row],[میزان بارگیری شده]]</f>
        <v>1198723890</v>
      </c>
      <c r="Z2119" s="1"/>
    </row>
    <row r="2120" spans="1:26" ht="18.600000000000001">
      <c r="A2120" s="360" t="s">
        <v>354</v>
      </c>
      <c r="B2120" s="360" t="s">
        <v>110</v>
      </c>
      <c r="C2120" s="355" t="s">
        <v>57</v>
      </c>
      <c r="D2120">
        <v>10010</v>
      </c>
      <c r="E2120" s="143">
        <v>78000</v>
      </c>
      <c r="F2120" s="117">
        <v>1403</v>
      </c>
      <c r="G2120" s="360" t="s">
        <v>296</v>
      </c>
      <c r="H2120" s="144">
        <f>bargiri[[#This Row],[میزان بارگیری شده]]*bargiri[[#This Row],[فی]]</f>
        <v>780780000</v>
      </c>
      <c r="I2120" s="360">
        <f>IF(year=bargiri[[#This Row],[سال]],1,0)</f>
        <v>0</v>
      </c>
      <c r="J2120" s="360" t="str">
        <f>VLOOKUP(bargiri[[#This Row],[شماره پیش فاکتور]],invoice[],16,0)</f>
        <v>عادی</v>
      </c>
      <c r="K2120" s="252">
        <f>bargiri[[#This Row],[فی]]*bargiri[[#This Row],[میزان بارگیری شده]]</f>
        <v>780780000</v>
      </c>
      <c r="Z2120" s="1"/>
    </row>
    <row r="2121" spans="1:26" ht="18.600000000000001">
      <c r="A2121" s="360" t="s">
        <v>217</v>
      </c>
      <c r="B2121" s="360" t="s">
        <v>101</v>
      </c>
      <c r="C2121" s="355" t="s">
        <v>19</v>
      </c>
      <c r="D2121">
        <v>20015</v>
      </c>
      <c r="E2121" s="143">
        <v>75000</v>
      </c>
      <c r="F2121" s="117">
        <v>1403</v>
      </c>
      <c r="G2121" s="360" t="s">
        <v>297</v>
      </c>
      <c r="H2121" s="144">
        <f>bargiri[[#This Row],[میزان بارگیری شده]]*bargiri[[#This Row],[فی]]</f>
        <v>1501125000</v>
      </c>
      <c r="I2121" s="360">
        <f>IF(year=bargiri[[#This Row],[سال]],1,0)</f>
        <v>0</v>
      </c>
      <c r="J2121" s="360" t="str">
        <f>VLOOKUP(bargiri[[#This Row],[شماره پیش فاکتور]],invoice[],16,0)</f>
        <v>عادی</v>
      </c>
      <c r="K2121" s="252">
        <f>bargiri[[#This Row],[فی]]*bargiri[[#This Row],[میزان بارگیری شده]]</f>
        <v>1501125000</v>
      </c>
      <c r="Z2121" s="1"/>
    </row>
    <row r="2122" spans="1:26" ht="18.600000000000001">
      <c r="A2122" s="360" t="s">
        <v>355</v>
      </c>
      <c r="B2122" s="360" t="s">
        <v>101</v>
      </c>
      <c r="C2122" s="355" t="s">
        <v>17</v>
      </c>
      <c r="D2122">
        <v>14030</v>
      </c>
      <c r="E2122" s="143">
        <v>65000</v>
      </c>
      <c r="F2122" s="117">
        <v>1403</v>
      </c>
      <c r="G2122" s="360" t="s">
        <v>297</v>
      </c>
      <c r="H2122" s="144">
        <f>bargiri[[#This Row],[میزان بارگیری شده]]*bargiri[[#This Row],[فی]]</f>
        <v>911950000</v>
      </c>
      <c r="I2122" s="360">
        <f>IF(year=bargiri[[#This Row],[سال]],1,0)</f>
        <v>0</v>
      </c>
      <c r="J2122" s="360" t="str">
        <f>VLOOKUP(bargiri[[#This Row],[شماره پیش فاکتور]],invoice[],16,0)</f>
        <v>تعادلی</v>
      </c>
      <c r="K2122" s="252">
        <f>bargiri[[#This Row],[فی]]*bargiri[[#This Row],[میزان بارگیری شده]]</f>
        <v>911950000</v>
      </c>
      <c r="Z2122" s="1"/>
    </row>
    <row r="2123" spans="1:26" ht="18.600000000000001">
      <c r="A2123" s="360" t="s">
        <v>355</v>
      </c>
      <c r="B2123" s="360" t="s">
        <v>101</v>
      </c>
      <c r="C2123" s="355" t="s">
        <v>19</v>
      </c>
      <c r="D2123">
        <v>5060</v>
      </c>
      <c r="E2123" s="143">
        <v>75000</v>
      </c>
      <c r="F2123" s="117">
        <v>1403</v>
      </c>
      <c r="G2123" s="360" t="s">
        <v>297</v>
      </c>
      <c r="H2123" s="144">
        <f>bargiri[[#This Row],[میزان بارگیری شده]]*bargiri[[#This Row],[فی]]</f>
        <v>379500000</v>
      </c>
      <c r="I2123" s="360">
        <f>IF(year=bargiri[[#This Row],[سال]],1,0)</f>
        <v>0</v>
      </c>
      <c r="J2123" s="360" t="str">
        <f>VLOOKUP(bargiri[[#This Row],[شماره پیش فاکتور]],invoice[],16,0)</f>
        <v>عادی</v>
      </c>
      <c r="K2123" s="252">
        <f>bargiri[[#This Row],[فی]]*bargiri[[#This Row],[میزان بارگیری شده]]</f>
        <v>379500000</v>
      </c>
      <c r="Z2123" s="1"/>
    </row>
    <row r="2124" spans="1:26" ht="18.600000000000001">
      <c r="A2124" s="360" t="s">
        <v>191</v>
      </c>
      <c r="B2124" s="360" t="s">
        <v>101</v>
      </c>
      <c r="C2124" s="355" t="s">
        <v>17</v>
      </c>
      <c r="D2124">
        <v>10095</v>
      </c>
      <c r="E2124" s="143">
        <v>65000</v>
      </c>
      <c r="F2124" s="117">
        <v>1403</v>
      </c>
      <c r="G2124" s="360" t="s">
        <v>297</v>
      </c>
      <c r="H2124" s="144">
        <f>bargiri[[#This Row],[میزان بارگیری شده]]*bargiri[[#This Row],[فی]]</f>
        <v>656175000</v>
      </c>
      <c r="I2124" s="360">
        <f>IF(year=bargiri[[#This Row],[سال]],1,0)</f>
        <v>0</v>
      </c>
      <c r="J2124" s="360" t="str">
        <f>VLOOKUP(bargiri[[#This Row],[شماره پیش فاکتور]],invoice[],16,0)</f>
        <v>تعادلی</v>
      </c>
      <c r="K2124" s="252">
        <f>bargiri[[#This Row],[فی]]*bargiri[[#This Row],[میزان بارگیری شده]]</f>
        <v>656175000</v>
      </c>
      <c r="Z2124" s="1"/>
    </row>
    <row r="2125" spans="1:26" ht="18.600000000000001">
      <c r="A2125" s="360" t="s">
        <v>356</v>
      </c>
      <c r="B2125" s="360" t="s">
        <v>118</v>
      </c>
      <c r="C2125" s="355" t="s">
        <v>84</v>
      </c>
      <c r="D2125">
        <v>20550</v>
      </c>
      <c r="E2125" s="143">
        <v>57273</v>
      </c>
      <c r="F2125" s="117">
        <v>1403</v>
      </c>
      <c r="G2125" s="360" t="s">
        <v>297</v>
      </c>
      <c r="H2125" s="144">
        <f>bargiri[[#This Row],[میزان بارگیری شده]]*bargiri[[#This Row],[فی]]</f>
        <v>1176960150</v>
      </c>
      <c r="I2125" s="360">
        <f>IF(year=bargiri[[#This Row],[سال]],1,0)</f>
        <v>0</v>
      </c>
      <c r="J2125" s="360" t="str">
        <f>VLOOKUP(bargiri[[#This Row],[شماره پیش فاکتور]],invoice[],16,0)</f>
        <v>عادی</v>
      </c>
      <c r="K2125" s="252">
        <f>bargiri[[#This Row],[فی]]*bargiri[[#This Row],[میزان بارگیری شده]]</f>
        <v>1176960150</v>
      </c>
      <c r="Z2125" s="1"/>
    </row>
    <row r="2126" spans="1:26" ht="18.600000000000001">
      <c r="A2126" s="360" t="s">
        <v>356</v>
      </c>
      <c r="B2126" s="360" t="s">
        <v>118</v>
      </c>
      <c r="C2126" s="355" t="s">
        <v>84</v>
      </c>
      <c r="D2126">
        <v>20525</v>
      </c>
      <c r="E2126" s="143">
        <v>57273</v>
      </c>
      <c r="F2126" s="117">
        <v>1403</v>
      </c>
      <c r="G2126" s="360" t="s">
        <v>297</v>
      </c>
      <c r="H2126" s="144">
        <f>bargiri[[#This Row],[میزان بارگیری شده]]*bargiri[[#This Row],[فی]]</f>
        <v>1175528325</v>
      </c>
      <c r="I2126" s="360">
        <f>IF(year=bargiri[[#This Row],[سال]],1,0)</f>
        <v>0</v>
      </c>
      <c r="J2126" s="360" t="str">
        <f>VLOOKUP(bargiri[[#This Row],[شماره پیش فاکتور]],invoice[],16,0)</f>
        <v>عادی</v>
      </c>
      <c r="K2126" s="252">
        <f>bargiri[[#This Row],[فی]]*bargiri[[#This Row],[میزان بارگیری شده]]</f>
        <v>1175528325</v>
      </c>
      <c r="Z2126" s="1"/>
    </row>
    <row r="2127" spans="1:26" ht="18.600000000000001">
      <c r="A2127" s="360" t="s">
        <v>356</v>
      </c>
      <c r="B2127" s="360" t="s">
        <v>116</v>
      </c>
      <c r="C2127" s="355" t="s">
        <v>72</v>
      </c>
      <c r="D2127">
        <v>20020</v>
      </c>
      <c r="E2127" s="143">
        <v>65000</v>
      </c>
      <c r="F2127" s="117">
        <v>1403</v>
      </c>
      <c r="G2127" s="360" t="s">
        <v>297</v>
      </c>
      <c r="H2127" s="144">
        <f>bargiri[[#This Row],[میزان بارگیری شده]]*bargiri[[#This Row],[فی]]</f>
        <v>1301300000</v>
      </c>
      <c r="I2127" s="360">
        <f>IF(year=bargiri[[#This Row],[سال]],1,0)</f>
        <v>0</v>
      </c>
      <c r="J2127" s="360" t="str">
        <f>VLOOKUP(bargiri[[#This Row],[شماره پیش فاکتور]],invoice[],16,0)</f>
        <v>تعادلی</v>
      </c>
      <c r="K2127" s="252">
        <f>bargiri[[#This Row],[فی]]*bargiri[[#This Row],[میزان بارگیری شده]]</f>
        <v>1301300000</v>
      </c>
      <c r="Z2127" s="1"/>
    </row>
    <row r="2128" spans="1:26" ht="18.600000000000001">
      <c r="A2128" s="360" t="s">
        <v>356</v>
      </c>
      <c r="B2128" s="360" t="s">
        <v>107</v>
      </c>
      <c r="C2128" s="355" t="s">
        <v>50</v>
      </c>
      <c r="D2128">
        <v>19050</v>
      </c>
      <c r="E2128" s="143">
        <v>70000</v>
      </c>
      <c r="F2128" s="117">
        <v>1403</v>
      </c>
      <c r="G2128" s="360" t="s">
        <v>297</v>
      </c>
      <c r="H2128" s="144">
        <f>bargiri[[#This Row],[میزان بارگیری شده]]*bargiri[[#This Row],[فی]]</f>
        <v>1333500000</v>
      </c>
      <c r="I2128" s="360">
        <f>IF(year=bargiri[[#This Row],[سال]],1,0)</f>
        <v>0</v>
      </c>
      <c r="J2128" s="360" t="str">
        <f>VLOOKUP(bargiri[[#This Row],[شماره پیش فاکتور]],invoice[],16,0)</f>
        <v>عادی</v>
      </c>
      <c r="K2128" s="252">
        <f>bargiri[[#This Row],[فی]]*bargiri[[#This Row],[میزان بارگیری شده]]</f>
        <v>1333500000</v>
      </c>
      <c r="Z2128" s="1"/>
    </row>
    <row r="2129" spans="1:26" ht="18.600000000000001">
      <c r="A2129" s="360" t="s">
        <v>356</v>
      </c>
      <c r="B2129" s="360" t="s">
        <v>113</v>
      </c>
      <c r="C2129" s="355" t="s">
        <v>61</v>
      </c>
      <c r="D2129">
        <v>18720</v>
      </c>
      <c r="E2129" s="143">
        <v>75000</v>
      </c>
      <c r="F2129" s="117">
        <v>1403</v>
      </c>
      <c r="G2129" s="360" t="s">
        <v>297</v>
      </c>
      <c r="H2129" s="144">
        <f>bargiri[[#This Row],[میزان بارگیری شده]]*bargiri[[#This Row],[فی]]</f>
        <v>1404000000</v>
      </c>
      <c r="I2129" s="360">
        <f>IF(year=bargiri[[#This Row],[سال]],1,0)</f>
        <v>0</v>
      </c>
      <c r="J2129" s="360" t="str">
        <f>VLOOKUP(bargiri[[#This Row],[شماره پیش فاکتور]],invoice[],16,0)</f>
        <v>عادی</v>
      </c>
      <c r="K2129" s="252">
        <f>bargiri[[#This Row],[فی]]*bargiri[[#This Row],[میزان بارگیری شده]]</f>
        <v>1404000000</v>
      </c>
      <c r="Z2129" s="1"/>
    </row>
    <row r="2130" spans="1:26" ht="18.600000000000001">
      <c r="A2130" s="360" t="s">
        <v>207</v>
      </c>
      <c r="B2130" s="360" t="s">
        <v>108</v>
      </c>
      <c r="C2130" s="355" t="s">
        <v>53</v>
      </c>
      <c r="D2130">
        <v>14125</v>
      </c>
      <c r="E2130" s="143">
        <v>70000</v>
      </c>
      <c r="F2130" s="117">
        <v>1403</v>
      </c>
      <c r="G2130" s="360" t="s">
        <v>297</v>
      </c>
      <c r="H2130" s="144">
        <f>bargiri[[#This Row],[میزان بارگیری شده]]*bargiri[[#This Row],[فی]]</f>
        <v>988750000</v>
      </c>
      <c r="I2130" s="360">
        <f>IF(year=bargiri[[#This Row],[سال]],1,0)</f>
        <v>0</v>
      </c>
      <c r="J2130" s="360" t="str">
        <f>VLOOKUP(bargiri[[#This Row],[شماره پیش فاکتور]],invoice[],16,0)</f>
        <v>عادی</v>
      </c>
      <c r="K2130" s="252">
        <f>bargiri[[#This Row],[فی]]*bargiri[[#This Row],[میزان بارگیری شده]]</f>
        <v>988750000</v>
      </c>
      <c r="Z2130" s="1"/>
    </row>
    <row r="2131" spans="1:26" ht="18.600000000000001">
      <c r="A2131" s="360" t="s">
        <v>207</v>
      </c>
      <c r="B2131" s="360" t="s">
        <v>108</v>
      </c>
      <c r="C2131" s="355" t="s">
        <v>52</v>
      </c>
      <c r="D2131">
        <v>6220</v>
      </c>
      <c r="E2131" s="143">
        <v>90000</v>
      </c>
      <c r="F2131" s="117">
        <v>1403</v>
      </c>
      <c r="G2131" s="360" t="s">
        <v>297</v>
      </c>
      <c r="H2131" s="144">
        <f>bargiri[[#This Row],[میزان بارگیری شده]]*bargiri[[#This Row],[فی]]</f>
        <v>559800000</v>
      </c>
      <c r="I2131" s="360">
        <f>IF(year=bargiri[[#This Row],[سال]],1,0)</f>
        <v>0</v>
      </c>
      <c r="J2131" s="360" t="str">
        <f>VLOOKUP(bargiri[[#This Row],[شماره پیش فاکتور]],invoice[],16,0)</f>
        <v>عادی</v>
      </c>
      <c r="K2131" s="252">
        <f>bargiri[[#This Row],[فی]]*bargiri[[#This Row],[میزان بارگیری شده]]</f>
        <v>559800000</v>
      </c>
      <c r="Z2131" s="1"/>
    </row>
    <row r="2132" spans="1:26" ht="18.600000000000001">
      <c r="A2132" s="360" t="s">
        <v>207</v>
      </c>
      <c r="B2132" s="360" t="s">
        <v>120</v>
      </c>
      <c r="C2132" s="355" t="s">
        <v>88</v>
      </c>
      <c r="D2132">
        <v>9125</v>
      </c>
      <c r="E2132" s="143">
        <v>80000</v>
      </c>
      <c r="F2132" s="117">
        <v>1403</v>
      </c>
      <c r="G2132" s="360" t="s">
        <v>297</v>
      </c>
      <c r="H2132" s="144">
        <f>bargiri[[#This Row],[میزان بارگیری شده]]*bargiri[[#This Row],[فی]]</f>
        <v>730000000</v>
      </c>
      <c r="I2132" s="360">
        <f>IF(year=bargiri[[#This Row],[سال]],1,0)</f>
        <v>0</v>
      </c>
      <c r="J2132" s="360" t="str">
        <f>VLOOKUP(bargiri[[#This Row],[شماره پیش فاکتور]],invoice[],16,0)</f>
        <v>عادی</v>
      </c>
      <c r="K2132" s="252">
        <f>bargiri[[#This Row],[فی]]*bargiri[[#This Row],[میزان بارگیری شده]]</f>
        <v>730000000</v>
      </c>
      <c r="Z2132" s="1"/>
    </row>
    <row r="2133" spans="1:26" ht="18.600000000000001">
      <c r="A2133" s="360" t="s">
        <v>207</v>
      </c>
      <c r="B2133" s="360" t="s">
        <v>102</v>
      </c>
      <c r="C2133" s="355" t="s">
        <v>25</v>
      </c>
      <c r="D2133">
        <v>11945</v>
      </c>
      <c r="E2133" s="143">
        <v>65000</v>
      </c>
      <c r="F2133" s="117">
        <v>1403</v>
      </c>
      <c r="G2133" s="360" t="s">
        <v>297</v>
      </c>
      <c r="H2133" s="144">
        <f>bargiri[[#This Row],[میزان بارگیری شده]]*bargiri[[#This Row],[فی]]</f>
        <v>776425000</v>
      </c>
      <c r="I2133" s="360">
        <f>IF(year=bargiri[[#This Row],[سال]],1,0)</f>
        <v>0</v>
      </c>
      <c r="J2133" s="360" t="str">
        <f>VLOOKUP(bargiri[[#This Row],[شماره پیش فاکتور]],invoice[],16,0)</f>
        <v>عادی</v>
      </c>
      <c r="K2133" s="252">
        <f>bargiri[[#This Row],[فی]]*bargiri[[#This Row],[میزان بارگیری شده]]</f>
        <v>776425000</v>
      </c>
      <c r="Z2133" s="1"/>
    </row>
    <row r="2134" spans="1:26" ht="18.600000000000001">
      <c r="A2134" s="360" t="s">
        <v>207</v>
      </c>
      <c r="B2134" s="360" t="s">
        <v>122</v>
      </c>
      <c r="C2134" s="355" t="s">
        <v>91</v>
      </c>
      <c r="D2134">
        <v>18050</v>
      </c>
      <c r="E2134" s="143">
        <v>75000</v>
      </c>
      <c r="F2134" s="117">
        <v>1403</v>
      </c>
      <c r="G2134" s="360" t="s">
        <v>297</v>
      </c>
      <c r="H2134" s="144">
        <f>bargiri[[#This Row],[میزان بارگیری شده]]*bargiri[[#This Row],[فی]]</f>
        <v>1353750000</v>
      </c>
      <c r="I2134" s="360">
        <f>IF(year=bargiri[[#This Row],[سال]],1,0)</f>
        <v>0</v>
      </c>
      <c r="J2134" s="360" t="str">
        <f>VLOOKUP(bargiri[[#This Row],[شماره پیش فاکتور]],invoice[],16,0)</f>
        <v>عادی</v>
      </c>
      <c r="K2134" s="252">
        <f>bargiri[[#This Row],[فی]]*bargiri[[#This Row],[میزان بارگیری شده]]</f>
        <v>1353750000</v>
      </c>
      <c r="Z2134" s="1"/>
    </row>
    <row r="2135" spans="1:26" ht="18.600000000000001">
      <c r="A2135" s="360" t="s">
        <v>207</v>
      </c>
      <c r="B2135" s="360" t="s">
        <v>103</v>
      </c>
      <c r="C2135" s="355" t="s">
        <v>29</v>
      </c>
      <c r="D2135">
        <v>7530</v>
      </c>
      <c r="E2135" s="143">
        <v>75000</v>
      </c>
      <c r="F2135" s="117">
        <v>1403</v>
      </c>
      <c r="G2135" s="360" t="s">
        <v>297</v>
      </c>
      <c r="H2135" s="144">
        <f>bargiri[[#This Row],[میزان بارگیری شده]]*bargiri[[#This Row],[فی]]</f>
        <v>564750000</v>
      </c>
      <c r="I2135" s="360">
        <f>IF(year=bargiri[[#This Row],[سال]],1,0)</f>
        <v>0</v>
      </c>
      <c r="J2135" s="360" t="str">
        <f>VLOOKUP(bargiri[[#This Row],[شماره پیش فاکتور]],invoice[],16,0)</f>
        <v>عادی</v>
      </c>
      <c r="K2135" s="252">
        <f>bargiri[[#This Row],[فی]]*bargiri[[#This Row],[میزان بارگیری شده]]</f>
        <v>564750000</v>
      </c>
      <c r="Z2135" s="1"/>
    </row>
    <row r="2136" spans="1:26" ht="18.600000000000001">
      <c r="A2136" s="360" t="s">
        <v>217</v>
      </c>
      <c r="B2136" s="360" t="s">
        <v>103</v>
      </c>
      <c r="C2136" s="355" t="s">
        <v>29</v>
      </c>
      <c r="D2136">
        <v>7190</v>
      </c>
      <c r="E2136" s="143">
        <v>75000</v>
      </c>
      <c r="F2136" s="117">
        <v>1403</v>
      </c>
      <c r="G2136" s="360" t="s">
        <v>297</v>
      </c>
      <c r="H2136" s="144">
        <f>bargiri[[#This Row],[میزان بارگیری شده]]*bargiri[[#This Row],[فی]]</f>
        <v>539250000</v>
      </c>
      <c r="I2136" s="360">
        <f>IF(year=bargiri[[#This Row],[سال]],1,0)</f>
        <v>0</v>
      </c>
      <c r="J2136" s="360" t="str">
        <f>VLOOKUP(bargiri[[#This Row],[شماره پیش فاکتور]],invoice[],16,0)</f>
        <v>عادی</v>
      </c>
      <c r="K2136" s="252">
        <f>bargiri[[#This Row],[فی]]*bargiri[[#This Row],[میزان بارگیری شده]]</f>
        <v>539250000</v>
      </c>
      <c r="Z2136" s="1"/>
    </row>
    <row r="2137" spans="1:26" ht="18.600000000000001">
      <c r="A2137" s="360" t="s">
        <v>217</v>
      </c>
      <c r="B2137" s="360" t="s">
        <v>116</v>
      </c>
      <c r="C2137" s="355" t="s">
        <v>73</v>
      </c>
      <c r="D2137">
        <v>9950</v>
      </c>
      <c r="E2137" s="143">
        <v>92180</v>
      </c>
      <c r="F2137" s="117">
        <v>1403</v>
      </c>
      <c r="G2137" s="360" t="s">
        <v>297</v>
      </c>
      <c r="H2137" s="144">
        <f>bargiri[[#This Row],[میزان بارگیری شده]]*bargiri[[#This Row],[فی]]</f>
        <v>917191000</v>
      </c>
      <c r="I2137" s="360">
        <f>IF(year=bargiri[[#This Row],[سال]],1,0)</f>
        <v>0</v>
      </c>
      <c r="J2137" s="360" t="str">
        <f>VLOOKUP(bargiri[[#This Row],[شماره پیش فاکتور]],invoice[],16,0)</f>
        <v>بورس</v>
      </c>
      <c r="K2137" s="252">
        <f>bargiri[[#This Row],[فی]]*bargiri[[#This Row],[میزان بارگیری شده]]</f>
        <v>917191000</v>
      </c>
      <c r="Z2137" s="1"/>
    </row>
    <row r="2138" spans="1:26" ht="18.600000000000001">
      <c r="A2138" s="360" t="s">
        <v>217</v>
      </c>
      <c r="B2138" s="360" t="s">
        <v>116</v>
      </c>
      <c r="C2138" s="355" t="s">
        <v>72</v>
      </c>
      <c r="D2138">
        <v>10060</v>
      </c>
      <c r="E2138" s="143">
        <v>65000</v>
      </c>
      <c r="F2138" s="117">
        <v>1403</v>
      </c>
      <c r="G2138" s="360" t="s">
        <v>297</v>
      </c>
      <c r="H2138" s="144">
        <f>bargiri[[#This Row],[میزان بارگیری شده]]*bargiri[[#This Row],[فی]]</f>
        <v>653900000</v>
      </c>
      <c r="I2138" s="360">
        <f>IF(year=bargiri[[#This Row],[سال]],1,0)</f>
        <v>0</v>
      </c>
      <c r="J2138" s="360" t="str">
        <f>VLOOKUP(bargiri[[#This Row],[شماره پیش فاکتور]],invoice[],16,0)</f>
        <v>تعادلی</v>
      </c>
      <c r="K2138" s="252">
        <f>bargiri[[#This Row],[فی]]*bargiri[[#This Row],[میزان بارگیری شده]]</f>
        <v>653900000</v>
      </c>
      <c r="Z2138" s="1"/>
    </row>
    <row r="2139" spans="1:26" ht="18.600000000000001">
      <c r="A2139" s="360" t="s">
        <v>217</v>
      </c>
      <c r="B2139" s="360" t="s">
        <v>106</v>
      </c>
      <c r="C2139" s="355" t="s">
        <v>45</v>
      </c>
      <c r="D2139">
        <v>20050</v>
      </c>
      <c r="E2139" s="143">
        <v>80000</v>
      </c>
      <c r="F2139" s="117">
        <v>1403</v>
      </c>
      <c r="G2139" s="360" t="s">
        <v>297</v>
      </c>
      <c r="H2139" s="144">
        <f>bargiri[[#This Row],[میزان بارگیری شده]]*bargiri[[#This Row],[فی]]</f>
        <v>1604000000</v>
      </c>
      <c r="I2139" s="360">
        <f>IF(year=bargiri[[#This Row],[سال]],1,0)</f>
        <v>0</v>
      </c>
      <c r="J2139" s="360" t="str">
        <f>VLOOKUP(bargiri[[#This Row],[شماره پیش فاکتور]],invoice[],16,0)</f>
        <v>عادی</v>
      </c>
      <c r="K2139" s="252">
        <f>bargiri[[#This Row],[فی]]*bargiri[[#This Row],[میزان بارگیری شده]]</f>
        <v>1604000000</v>
      </c>
      <c r="Z2139" s="1"/>
    </row>
    <row r="2140" spans="1:26" ht="18.600000000000001">
      <c r="A2140" s="360" t="s">
        <v>217</v>
      </c>
      <c r="B2140" s="360" t="s">
        <v>117</v>
      </c>
      <c r="C2140" s="355" t="s">
        <v>79</v>
      </c>
      <c r="D2140">
        <v>19955</v>
      </c>
      <c r="E2140" s="143">
        <v>75000</v>
      </c>
      <c r="F2140" s="117">
        <v>1403</v>
      </c>
      <c r="G2140" s="360" t="s">
        <v>297</v>
      </c>
      <c r="H2140" s="144">
        <f>bargiri[[#This Row],[میزان بارگیری شده]]*bargiri[[#This Row],[فی]]</f>
        <v>1496625000</v>
      </c>
      <c r="I2140" s="360">
        <f>IF(year=bargiri[[#This Row],[سال]],1,0)</f>
        <v>0</v>
      </c>
      <c r="J2140" s="360" t="str">
        <f>VLOOKUP(bargiri[[#This Row],[شماره پیش فاکتور]],invoice[],16,0)</f>
        <v>عادی</v>
      </c>
      <c r="K2140" s="252">
        <f>bargiri[[#This Row],[فی]]*bargiri[[#This Row],[میزان بارگیری شده]]</f>
        <v>1496625000</v>
      </c>
      <c r="Z2140" s="1"/>
    </row>
    <row r="2141" spans="1:26" ht="18.600000000000001">
      <c r="A2141" s="360" t="s">
        <v>217</v>
      </c>
      <c r="B2141" s="360" t="s">
        <v>103</v>
      </c>
      <c r="C2141" s="355" t="s">
        <v>29</v>
      </c>
      <c r="D2141">
        <v>7525</v>
      </c>
      <c r="E2141" s="143">
        <v>75000</v>
      </c>
      <c r="F2141" s="117">
        <v>1403</v>
      </c>
      <c r="G2141" s="360" t="s">
        <v>297</v>
      </c>
      <c r="H2141" s="144">
        <f>bargiri[[#This Row],[میزان بارگیری شده]]*bargiri[[#This Row],[فی]]</f>
        <v>564375000</v>
      </c>
      <c r="I2141" s="360">
        <f>IF(year=bargiri[[#This Row],[سال]],1,0)</f>
        <v>0</v>
      </c>
      <c r="J2141" s="360" t="str">
        <f>VLOOKUP(bargiri[[#This Row],[شماره پیش فاکتور]],invoice[],16,0)</f>
        <v>عادی</v>
      </c>
      <c r="K2141" s="252">
        <f>bargiri[[#This Row],[فی]]*bargiri[[#This Row],[میزان بارگیری شده]]</f>
        <v>564375000</v>
      </c>
      <c r="Z2141" s="1"/>
    </row>
    <row r="2142" spans="1:26" ht="18.600000000000001">
      <c r="A2142" s="360" t="s">
        <v>217</v>
      </c>
      <c r="B2142" s="360" t="s">
        <v>107</v>
      </c>
      <c r="C2142" s="355" t="s">
        <v>50</v>
      </c>
      <c r="D2142">
        <v>18960</v>
      </c>
      <c r="E2142" s="143">
        <v>70000</v>
      </c>
      <c r="F2142" s="117">
        <v>1403</v>
      </c>
      <c r="G2142" s="360" t="s">
        <v>297</v>
      </c>
      <c r="H2142" s="144">
        <f>bargiri[[#This Row],[میزان بارگیری شده]]*bargiri[[#This Row],[فی]]</f>
        <v>1327200000</v>
      </c>
      <c r="I2142" s="360">
        <f>IF(year=bargiri[[#This Row],[سال]],1,0)</f>
        <v>0</v>
      </c>
      <c r="J2142" s="360" t="str">
        <f>VLOOKUP(bargiri[[#This Row],[شماره پیش فاکتور]],invoice[],16,0)</f>
        <v>عادی</v>
      </c>
      <c r="K2142" s="252">
        <f>bargiri[[#This Row],[فی]]*bargiri[[#This Row],[میزان بارگیری شده]]</f>
        <v>1327200000</v>
      </c>
      <c r="Z2142" s="1"/>
    </row>
    <row r="2143" spans="1:26" ht="18.600000000000001">
      <c r="A2143" s="360" t="s">
        <v>217</v>
      </c>
      <c r="B2143" s="360" t="s">
        <v>114</v>
      </c>
      <c r="C2143" s="355" t="s">
        <v>63</v>
      </c>
      <c r="D2143">
        <v>22200</v>
      </c>
      <c r="E2143" s="143">
        <v>75000</v>
      </c>
      <c r="F2143" s="117">
        <v>1403</v>
      </c>
      <c r="G2143" s="360" t="s">
        <v>297</v>
      </c>
      <c r="H2143" s="144">
        <f>bargiri[[#This Row],[میزان بارگیری شده]]*bargiri[[#This Row],[فی]]</f>
        <v>1665000000</v>
      </c>
      <c r="I2143" s="360">
        <f>IF(year=bargiri[[#This Row],[سال]],1,0)</f>
        <v>0</v>
      </c>
      <c r="J2143" s="360" t="str">
        <f>VLOOKUP(bargiri[[#This Row],[شماره پیش فاکتور]],invoice[],16,0)</f>
        <v>عادی</v>
      </c>
      <c r="K2143" s="252">
        <f>bargiri[[#This Row],[فی]]*bargiri[[#This Row],[میزان بارگیری شده]]</f>
        <v>1665000000</v>
      </c>
      <c r="Z2143" s="1"/>
    </row>
    <row r="2144" spans="1:26" ht="18.600000000000001">
      <c r="A2144" s="360" t="s">
        <v>217</v>
      </c>
      <c r="B2144" s="360" t="s">
        <v>111</v>
      </c>
      <c r="C2144" s="355" t="s">
        <v>59</v>
      </c>
      <c r="D2144">
        <v>10060</v>
      </c>
      <c r="E2144" s="143">
        <v>80000</v>
      </c>
      <c r="F2144" s="117">
        <v>1403</v>
      </c>
      <c r="G2144" s="360" t="s">
        <v>297</v>
      </c>
      <c r="H2144" s="144">
        <f>bargiri[[#This Row],[میزان بارگیری شده]]*bargiri[[#This Row],[فی]]</f>
        <v>804800000</v>
      </c>
      <c r="I2144" s="360">
        <f>IF(year=bargiri[[#This Row],[سال]],1,0)</f>
        <v>0</v>
      </c>
      <c r="J2144" s="360" t="str">
        <f>VLOOKUP(bargiri[[#This Row],[شماره پیش فاکتور]],invoice[],16,0)</f>
        <v>عادی</v>
      </c>
      <c r="K2144" s="252">
        <f>bargiri[[#This Row],[فی]]*bargiri[[#This Row],[میزان بارگیری شده]]</f>
        <v>804800000</v>
      </c>
      <c r="Z2144" s="1"/>
    </row>
    <row r="2145" spans="1:26" ht="18.600000000000001">
      <c r="A2145" s="360" t="s">
        <v>357</v>
      </c>
      <c r="B2145" s="360" t="s">
        <v>110</v>
      </c>
      <c r="C2145" s="355" t="s">
        <v>57</v>
      </c>
      <c r="D2145">
        <v>17935</v>
      </c>
      <c r="E2145" s="143">
        <v>78000</v>
      </c>
      <c r="F2145" s="117">
        <v>1403</v>
      </c>
      <c r="G2145" s="360" t="s">
        <v>297</v>
      </c>
      <c r="H2145" s="144">
        <f>bargiri[[#This Row],[میزان بارگیری شده]]*bargiri[[#This Row],[فی]]</f>
        <v>1398930000</v>
      </c>
      <c r="I2145" s="360">
        <f>IF(year=bargiri[[#This Row],[سال]],1,0)</f>
        <v>0</v>
      </c>
      <c r="J2145" s="360" t="str">
        <f>VLOOKUP(bargiri[[#This Row],[شماره پیش فاکتور]],invoice[],16,0)</f>
        <v>عادی</v>
      </c>
      <c r="K2145" s="252">
        <f>bargiri[[#This Row],[فی]]*bargiri[[#This Row],[میزان بارگیری شده]]</f>
        <v>1398930000</v>
      </c>
      <c r="Z2145" s="1"/>
    </row>
    <row r="2146" spans="1:26" ht="18.600000000000001">
      <c r="A2146" s="360" t="s">
        <v>357</v>
      </c>
      <c r="B2146" s="360" t="s">
        <v>122</v>
      </c>
      <c r="C2146" s="355" t="s">
        <v>91</v>
      </c>
      <c r="D2146">
        <v>22095</v>
      </c>
      <c r="E2146" s="143">
        <v>75000</v>
      </c>
      <c r="F2146" s="117">
        <v>1403</v>
      </c>
      <c r="G2146" s="360" t="s">
        <v>297</v>
      </c>
      <c r="H2146" s="144">
        <f>bargiri[[#This Row],[میزان بارگیری شده]]*bargiri[[#This Row],[فی]]</f>
        <v>1657125000</v>
      </c>
      <c r="I2146" s="360">
        <f>IF(year=bargiri[[#This Row],[سال]],1,0)</f>
        <v>0</v>
      </c>
      <c r="J2146" s="360" t="str">
        <f>VLOOKUP(bargiri[[#This Row],[شماره پیش فاکتور]],invoice[],16,0)</f>
        <v>عادی</v>
      </c>
      <c r="K2146" s="252">
        <f>bargiri[[#This Row],[فی]]*bargiri[[#This Row],[میزان بارگیری شده]]</f>
        <v>1657125000</v>
      </c>
      <c r="Z2146" s="1"/>
    </row>
    <row r="2147" spans="1:26" ht="18.600000000000001">
      <c r="A2147" s="360" t="s">
        <v>355</v>
      </c>
      <c r="B2147" s="360" t="s">
        <v>118</v>
      </c>
      <c r="C2147" s="355" t="s">
        <v>84</v>
      </c>
      <c r="D2147">
        <v>20865</v>
      </c>
      <c r="E2147" s="143">
        <v>57273</v>
      </c>
      <c r="F2147" s="117">
        <v>1403</v>
      </c>
      <c r="G2147" s="360" t="s">
        <v>297</v>
      </c>
      <c r="H2147" s="144">
        <f>bargiri[[#This Row],[میزان بارگیری شده]]*bargiri[[#This Row],[فی]]</f>
        <v>1195001145</v>
      </c>
      <c r="I2147" s="360">
        <f>IF(year=bargiri[[#This Row],[سال]],1,0)</f>
        <v>0</v>
      </c>
      <c r="J2147" s="360" t="str">
        <f>VLOOKUP(bargiri[[#This Row],[شماره پیش فاکتور]],invoice[],16,0)</f>
        <v>عادی</v>
      </c>
      <c r="K2147" s="252">
        <f>bargiri[[#This Row],[فی]]*bargiri[[#This Row],[میزان بارگیری شده]]</f>
        <v>1195001145</v>
      </c>
      <c r="Z2147" s="1"/>
    </row>
    <row r="2148" spans="1:26" ht="18.600000000000001">
      <c r="A2148" s="360" t="s">
        <v>355</v>
      </c>
      <c r="B2148" s="360" t="s">
        <v>118</v>
      </c>
      <c r="C2148" s="355" t="s">
        <v>84</v>
      </c>
      <c r="D2148">
        <v>20735</v>
      </c>
      <c r="E2148" s="143">
        <v>57273</v>
      </c>
      <c r="F2148" s="117">
        <v>1403</v>
      </c>
      <c r="G2148" s="360" t="s">
        <v>297</v>
      </c>
      <c r="H2148" s="144">
        <f>bargiri[[#This Row],[میزان بارگیری شده]]*bargiri[[#This Row],[فی]]</f>
        <v>1187555655</v>
      </c>
      <c r="I2148" s="360">
        <f>IF(year=bargiri[[#This Row],[سال]],1,0)</f>
        <v>0</v>
      </c>
      <c r="J2148" s="360" t="str">
        <f>VLOOKUP(bargiri[[#This Row],[شماره پیش فاکتور]],invoice[],16,0)</f>
        <v>عادی</v>
      </c>
      <c r="K2148" s="252">
        <f>bargiri[[#This Row],[فی]]*bargiri[[#This Row],[میزان بارگیری شده]]</f>
        <v>1187555655</v>
      </c>
      <c r="Z2148" s="1"/>
    </row>
    <row r="2149" spans="1:26" ht="18.600000000000001">
      <c r="A2149" s="360" t="s">
        <v>355</v>
      </c>
      <c r="B2149" s="360" t="s">
        <v>120</v>
      </c>
      <c r="C2149" s="355" t="s">
        <v>88</v>
      </c>
      <c r="D2149">
        <v>9045</v>
      </c>
      <c r="E2149" s="143">
        <v>80000</v>
      </c>
      <c r="F2149" s="117">
        <v>1403</v>
      </c>
      <c r="G2149" s="360" t="s">
        <v>297</v>
      </c>
      <c r="H2149" s="144">
        <f>bargiri[[#This Row],[میزان بارگیری شده]]*bargiri[[#This Row],[فی]]</f>
        <v>723600000</v>
      </c>
      <c r="I2149" s="360">
        <f>IF(year=bargiri[[#This Row],[سال]],1,0)</f>
        <v>0</v>
      </c>
      <c r="J2149" s="360" t="str">
        <f>VLOOKUP(bargiri[[#This Row],[شماره پیش فاکتور]],invoice[],16,0)</f>
        <v>عادی</v>
      </c>
      <c r="K2149" s="252">
        <f>bargiri[[#This Row],[فی]]*bargiri[[#This Row],[میزان بارگیری شده]]</f>
        <v>723600000</v>
      </c>
      <c r="Z2149" s="1"/>
    </row>
    <row r="2150" spans="1:26" ht="18.600000000000001">
      <c r="A2150" s="360" t="s">
        <v>355</v>
      </c>
      <c r="B2150" s="360" t="s">
        <v>118</v>
      </c>
      <c r="C2150" s="355" t="s">
        <v>84</v>
      </c>
      <c r="D2150">
        <v>20490</v>
      </c>
      <c r="E2150" s="143">
        <v>57273</v>
      </c>
      <c r="F2150" s="117">
        <v>1403</v>
      </c>
      <c r="G2150" s="360" t="s">
        <v>297</v>
      </c>
      <c r="H2150" s="144">
        <f>bargiri[[#This Row],[میزان بارگیری شده]]*bargiri[[#This Row],[فی]]</f>
        <v>1173523770</v>
      </c>
      <c r="I2150" s="360">
        <f>IF(year=bargiri[[#This Row],[سال]],1,0)</f>
        <v>0</v>
      </c>
      <c r="J2150" s="360" t="str">
        <f>VLOOKUP(bargiri[[#This Row],[شماره پیش فاکتور]],invoice[],16,0)</f>
        <v>عادی</v>
      </c>
      <c r="K2150" s="252">
        <f>bargiri[[#This Row],[فی]]*bargiri[[#This Row],[میزان بارگیری شده]]</f>
        <v>1173523770</v>
      </c>
      <c r="Z2150" s="1"/>
    </row>
    <row r="2151" spans="1:26" ht="18.600000000000001">
      <c r="A2151" s="360" t="s">
        <v>355</v>
      </c>
      <c r="B2151" s="360" t="s">
        <v>106</v>
      </c>
      <c r="C2151" s="355" t="s">
        <v>45</v>
      </c>
      <c r="D2151">
        <v>20310</v>
      </c>
      <c r="E2151" s="143">
        <v>80000</v>
      </c>
      <c r="F2151" s="117">
        <v>1403</v>
      </c>
      <c r="G2151" s="360" t="s">
        <v>297</v>
      </c>
      <c r="H2151" s="144">
        <f>bargiri[[#This Row],[میزان بارگیری شده]]*bargiri[[#This Row],[فی]]</f>
        <v>1624800000</v>
      </c>
      <c r="I2151" s="360">
        <f>IF(year=bargiri[[#This Row],[سال]],1,0)</f>
        <v>0</v>
      </c>
      <c r="J2151" s="360" t="str">
        <f>VLOOKUP(bargiri[[#This Row],[شماره پیش فاکتور]],invoice[],16,0)</f>
        <v>عادی</v>
      </c>
      <c r="K2151" s="252">
        <f>bargiri[[#This Row],[فی]]*bargiri[[#This Row],[میزان بارگیری شده]]</f>
        <v>1624800000</v>
      </c>
      <c r="Z2151" s="1"/>
    </row>
    <row r="2152" spans="1:26" ht="18.600000000000001">
      <c r="A2152" s="360" t="s">
        <v>355</v>
      </c>
      <c r="B2152" s="360" t="s">
        <v>120</v>
      </c>
      <c r="C2152" s="355" t="s">
        <v>88</v>
      </c>
      <c r="D2152">
        <v>9115</v>
      </c>
      <c r="E2152" s="143">
        <v>80000</v>
      </c>
      <c r="F2152" s="117">
        <v>1403</v>
      </c>
      <c r="G2152" s="360" t="s">
        <v>297</v>
      </c>
      <c r="H2152" s="144">
        <f>bargiri[[#This Row],[میزان بارگیری شده]]*bargiri[[#This Row],[فی]]</f>
        <v>729200000</v>
      </c>
      <c r="I2152" s="360">
        <f>IF(year=bargiri[[#This Row],[سال]],1,0)</f>
        <v>0</v>
      </c>
      <c r="J2152" s="360" t="str">
        <f>VLOOKUP(bargiri[[#This Row],[شماره پیش فاکتور]],invoice[],16,0)</f>
        <v>عادی</v>
      </c>
      <c r="K2152" s="252">
        <f>bargiri[[#This Row],[فی]]*bargiri[[#This Row],[میزان بارگیری شده]]</f>
        <v>729200000</v>
      </c>
      <c r="Z2152" s="1"/>
    </row>
    <row r="2153" spans="1:26" ht="18.600000000000001">
      <c r="A2153" s="360" t="s">
        <v>358</v>
      </c>
      <c r="B2153" s="360" t="s">
        <v>107</v>
      </c>
      <c r="C2153" s="355" t="s">
        <v>50</v>
      </c>
      <c r="D2153">
        <v>19095</v>
      </c>
      <c r="E2153" s="143">
        <v>70000</v>
      </c>
      <c r="F2153" s="117">
        <v>1403</v>
      </c>
      <c r="G2153" s="360" t="s">
        <v>297</v>
      </c>
      <c r="H2153" s="144">
        <f>bargiri[[#This Row],[میزان بارگیری شده]]*bargiri[[#This Row],[فی]]</f>
        <v>1336650000</v>
      </c>
      <c r="I2153" s="360">
        <f>IF(year=bargiri[[#This Row],[سال]],1,0)</f>
        <v>0</v>
      </c>
      <c r="J2153" s="360" t="str">
        <f>VLOOKUP(bargiri[[#This Row],[شماره پیش فاکتور]],invoice[],16,0)</f>
        <v>عادی</v>
      </c>
      <c r="K2153" s="252">
        <f>bargiri[[#This Row],[فی]]*bargiri[[#This Row],[میزان بارگیری شده]]</f>
        <v>1336650000</v>
      </c>
      <c r="Z2153" s="1"/>
    </row>
    <row r="2154" spans="1:26" ht="18.600000000000001">
      <c r="A2154" s="360" t="s">
        <v>358</v>
      </c>
      <c r="B2154" s="360" t="s">
        <v>116</v>
      </c>
      <c r="C2154" s="355" t="s">
        <v>73</v>
      </c>
      <c r="D2154">
        <v>20065</v>
      </c>
      <c r="E2154" s="143">
        <v>92180</v>
      </c>
      <c r="F2154" s="117">
        <v>1403</v>
      </c>
      <c r="G2154" s="360" t="s">
        <v>297</v>
      </c>
      <c r="H2154" s="144">
        <f>bargiri[[#This Row],[میزان بارگیری شده]]*bargiri[[#This Row],[فی]]</f>
        <v>1849591700</v>
      </c>
      <c r="I2154" s="360">
        <f>IF(year=bargiri[[#This Row],[سال]],1,0)</f>
        <v>0</v>
      </c>
      <c r="J2154" s="360" t="str">
        <f>VLOOKUP(bargiri[[#This Row],[شماره پیش فاکتور]],invoice[],16,0)</f>
        <v>بورس</v>
      </c>
      <c r="K2154" s="252">
        <f>bargiri[[#This Row],[فی]]*bargiri[[#This Row],[میزان بارگیری شده]]</f>
        <v>1849591700</v>
      </c>
      <c r="Z2154" s="1"/>
    </row>
    <row r="2155" spans="1:26" ht="18.600000000000001">
      <c r="A2155" s="360" t="s">
        <v>358</v>
      </c>
      <c r="B2155" s="360" t="s">
        <v>102</v>
      </c>
      <c r="C2155" s="355" t="s">
        <v>25</v>
      </c>
      <c r="D2155">
        <v>10125</v>
      </c>
      <c r="E2155" s="143">
        <v>65000</v>
      </c>
      <c r="F2155" s="117">
        <v>1403</v>
      </c>
      <c r="G2155" s="360" t="s">
        <v>297</v>
      </c>
      <c r="H2155" s="144">
        <f>bargiri[[#This Row],[میزان بارگیری شده]]*bargiri[[#This Row],[فی]]</f>
        <v>658125000</v>
      </c>
      <c r="I2155" s="360">
        <f>IF(year=bargiri[[#This Row],[سال]],1,0)</f>
        <v>0</v>
      </c>
      <c r="J2155" s="360" t="str">
        <f>VLOOKUP(bargiri[[#This Row],[شماره پیش فاکتور]],invoice[],16,0)</f>
        <v>عادی</v>
      </c>
      <c r="K2155" s="252">
        <f>bargiri[[#This Row],[فی]]*bargiri[[#This Row],[میزان بارگیری شده]]</f>
        <v>658125000</v>
      </c>
      <c r="Z2155" s="1"/>
    </row>
    <row r="2156" spans="1:26" ht="18.600000000000001">
      <c r="A2156" s="360" t="s">
        <v>358</v>
      </c>
      <c r="B2156" s="360" t="s">
        <v>104</v>
      </c>
      <c r="C2156" s="355" t="s">
        <v>41</v>
      </c>
      <c r="D2156">
        <v>18125</v>
      </c>
      <c r="E2156" s="143">
        <v>85000</v>
      </c>
      <c r="F2156" s="117">
        <v>1403</v>
      </c>
      <c r="G2156" s="360" t="s">
        <v>297</v>
      </c>
      <c r="H2156" s="144">
        <f>bargiri[[#This Row],[میزان بارگیری شده]]*bargiri[[#This Row],[فی]]</f>
        <v>1540625000</v>
      </c>
      <c r="I2156" s="360">
        <f>IF(year=bargiri[[#This Row],[سال]],1,0)</f>
        <v>0</v>
      </c>
      <c r="J2156" s="360" t="str">
        <f>VLOOKUP(bargiri[[#This Row],[شماره پیش فاکتور]],invoice[],16,0)</f>
        <v>عادی</v>
      </c>
      <c r="K2156" s="252">
        <f>bargiri[[#This Row],[فی]]*bargiri[[#This Row],[میزان بارگیری شده]]</f>
        <v>1540625000</v>
      </c>
      <c r="Z2156" s="1"/>
    </row>
    <row r="2157" spans="1:26" ht="18.600000000000001">
      <c r="A2157" s="360" t="s">
        <v>358</v>
      </c>
      <c r="B2157" s="360" t="s">
        <v>107</v>
      </c>
      <c r="C2157" s="355" t="s">
        <v>50</v>
      </c>
      <c r="D2157">
        <v>9935</v>
      </c>
      <c r="E2157" s="143">
        <v>70000</v>
      </c>
      <c r="F2157" s="117">
        <v>1403</v>
      </c>
      <c r="G2157" s="360" t="s">
        <v>297</v>
      </c>
      <c r="H2157" s="144">
        <f>bargiri[[#This Row],[میزان بارگیری شده]]*bargiri[[#This Row],[فی]]</f>
        <v>695450000</v>
      </c>
      <c r="I2157" s="360">
        <f>IF(year=bargiri[[#This Row],[سال]],1,0)</f>
        <v>0</v>
      </c>
      <c r="J2157" s="360" t="str">
        <f>VLOOKUP(bargiri[[#This Row],[شماره پیش فاکتور]],invoice[],16,0)</f>
        <v>عادی</v>
      </c>
      <c r="K2157" s="252">
        <f>bargiri[[#This Row],[فی]]*bargiri[[#This Row],[میزان بارگیری شده]]</f>
        <v>695450000</v>
      </c>
      <c r="Z2157" s="1"/>
    </row>
    <row r="2158" spans="1:26" ht="18.600000000000001">
      <c r="A2158" s="360" t="s">
        <v>358</v>
      </c>
      <c r="B2158" s="360" t="s">
        <v>111</v>
      </c>
      <c r="C2158" s="355" t="s">
        <v>59</v>
      </c>
      <c r="D2158">
        <v>9750</v>
      </c>
      <c r="E2158" s="143">
        <v>80000</v>
      </c>
      <c r="F2158" s="117">
        <v>1403</v>
      </c>
      <c r="G2158" s="360" t="s">
        <v>297</v>
      </c>
      <c r="H2158" s="144">
        <f>bargiri[[#This Row],[میزان بارگیری شده]]*bargiri[[#This Row],[فی]]</f>
        <v>780000000</v>
      </c>
      <c r="I2158" s="360">
        <f>IF(year=bargiri[[#This Row],[سال]],1,0)</f>
        <v>0</v>
      </c>
      <c r="J2158" s="360" t="str">
        <f>VLOOKUP(bargiri[[#This Row],[شماره پیش فاکتور]],invoice[],16,0)</f>
        <v>عادی</v>
      </c>
      <c r="K2158" s="252">
        <f>bargiri[[#This Row],[فی]]*bargiri[[#This Row],[میزان بارگیری شده]]</f>
        <v>780000000</v>
      </c>
      <c r="Z2158" s="1"/>
    </row>
    <row r="2159" spans="1:26" ht="18.600000000000001">
      <c r="A2159" s="360" t="s">
        <v>358</v>
      </c>
      <c r="B2159" s="360" t="s">
        <v>118</v>
      </c>
      <c r="C2159" s="355" t="s">
        <v>84</v>
      </c>
      <c r="D2159">
        <v>21055</v>
      </c>
      <c r="E2159" s="143">
        <v>57273</v>
      </c>
      <c r="F2159" s="117">
        <v>1403</v>
      </c>
      <c r="G2159" s="360" t="s">
        <v>297</v>
      </c>
      <c r="H2159" s="144">
        <f>bargiri[[#This Row],[میزان بارگیری شده]]*bargiri[[#This Row],[فی]]</f>
        <v>1205883015</v>
      </c>
      <c r="I2159" s="360">
        <f>IF(year=bargiri[[#This Row],[سال]],1,0)</f>
        <v>0</v>
      </c>
      <c r="J2159" s="360" t="str">
        <f>VLOOKUP(bargiri[[#This Row],[شماره پیش فاکتور]],invoice[],16,0)</f>
        <v>عادی</v>
      </c>
      <c r="K2159" s="252">
        <f>bargiri[[#This Row],[فی]]*bargiri[[#This Row],[میزان بارگیری شده]]</f>
        <v>1205883015</v>
      </c>
      <c r="Z2159" s="1"/>
    </row>
    <row r="2160" spans="1:26" ht="18.600000000000001">
      <c r="A2160" s="360" t="s">
        <v>358</v>
      </c>
      <c r="B2160" s="360" t="s">
        <v>118</v>
      </c>
      <c r="C2160" s="355" t="s">
        <v>84</v>
      </c>
      <c r="D2160">
        <v>20765</v>
      </c>
      <c r="E2160" s="143">
        <v>57273</v>
      </c>
      <c r="F2160" s="117">
        <v>1403</v>
      </c>
      <c r="G2160" s="360" t="s">
        <v>297</v>
      </c>
      <c r="H2160" s="144">
        <f>bargiri[[#This Row],[میزان بارگیری شده]]*bargiri[[#This Row],[فی]]</f>
        <v>1189273845</v>
      </c>
      <c r="I2160" s="360">
        <f>IF(year=bargiri[[#This Row],[سال]],1,0)</f>
        <v>0</v>
      </c>
      <c r="J2160" s="360" t="str">
        <f>VLOOKUP(bargiri[[#This Row],[شماره پیش فاکتور]],invoice[],16,0)</f>
        <v>عادی</v>
      </c>
      <c r="K2160" s="252">
        <f>bargiri[[#This Row],[فی]]*bargiri[[#This Row],[میزان بارگیری شده]]</f>
        <v>1189273845</v>
      </c>
      <c r="Z2160" s="1"/>
    </row>
    <row r="2161" spans="1:26" ht="18.600000000000001">
      <c r="A2161" s="360" t="s">
        <v>218</v>
      </c>
      <c r="B2161" s="360" t="s">
        <v>116</v>
      </c>
      <c r="C2161" s="355" t="s">
        <v>73</v>
      </c>
      <c r="D2161">
        <v>19985</v>
      </c>
      <c r="E2161" s="143">
        <v>92180</v>
      </c>
      <c r="F2161" s="117">
        <v>1403</v>
      </c>
      <c r="G2161" s="360" t="s">
        <v>297</v>
      </c>
      <c r="H2161" s="144">
        <f>bargiri[[#This Row],[میزان بارگیری شده]]*bargiri[[#This Row],[فی]]</f>
        <v>1842217300</v>
      </c>
      <c r="I2161" s="360">
        <f>IF(year=bargiri[[#This Row],[سال]],1,0)</f>
        <v>0</v>
      </c>
      <c r="J2161" s="360" t="str">
        <f>VLOOKUP(bargiri[[#This Row],[شماره پیش فاکتور]],invoice[],16,0)</f>
        <v>بورس</v>
      </c>
      <c r="K2161" s="252">
        <f>bargiri[[#This Row],[فی]]*bargiri[[#This Row],[میزان بارگیری شده]]</f>
        <v>1842217300</v>
      </c>
      <c r="Z2161" s="1"/>
    </row>
    <row r="2162" spans="1:26" ht="18.600000000000001">
      <c r="A2162" s="360" t="s">
        <v>218</v>
      </c>
      <c r="B2162" s="360" t="s">
        <v>114</v>
      </c>
      <c r="C2162" s="355" t="s">
        <v>63</v>
      </c>
      <c r="D2162">
        <v>21175</v>
      </c>
      <c r="E2162" s="143">
        <v>75000</v>
      </c>
      <c r="F2162" s="117">
        <v>1403</v>
      </c>
      <c r="G2162" s="360" t="s">
        <v>297</v>
      </c>
      <c r="H2162" s="144">
        <f>bargiri[[#This Row],[میزان بارگیری شده]]*bargiri[[#This Row],[فی]]</f>
        <v>1588125000</v>
      </c>
      <c r="I2162" s="360">
        <f>IF(year=bargiri[[#This Row],[سال]],1,0)</f>
        <v>0</v>
      </c>
      <c r="J2162" s="360" t="str">
        <f>VLOOKUP(bargiri[[#This Row],[شماره پیش فاکتور]],invoice[],16,0)</f>
        <v>عادی</v>
      </c>
      <c r="K2162" s="252">
        <f>bargiri[[#This Row],[فی]]*bargiri[[#This Row],[میزان بارگیری شده]]</f>
        <v>1588125000</v>
      </c>
      <c r="Z2162" s="1"/>
    </row>
    <row r="2163" spans="1:26" ht="18.600000000000001">
      <c r="A2163" s="360" t="s">
        <v>218</v>
      </c>
      <c r="B2163" s="360" t="s">
        <v>106</v>
      </c>
      <c r="C2163" s="355" t="s">
        <v>45</v>
      </c>
      <c r="D2163">
        <v>18020</v>
      </c>
      <c r="E2163" s="143">
        <v>80000</v>
      </c>
      <c r="F2163" s="117">
        <v>1403</v>
      </c>
      <c r="G2163" s="360" t="s">
        <v>297</v>
      </c>
      <c r="H2163" s="144">
        <f>bargiri[[#This Row],[میزان بارگیری شده]]*bargiri[[#This Row],[فی]]</f>
        <v>1441600000</v>
      </c>
      <c r="I2163" s="360">
        <f>IF(year=bargiri[[#This Row],[سال]],1,0)</f>
        <v>0</v>
      </c>
      <c r="J2163" s="360" t="str">
        <f>VLOOKUP(bargiri[[#This Row],[شماره پیش فاکتور]],invoice[],16,0)</f>
        <v>عادی</v>
      </c>
      <c r="K2163" s="252">
        <f>bargiri[[#This Row],[فی]]*bargiri[[#This Row],[میزان بارگیری شده]]</f>
        <v>1441600000</v>
      </c>
      <c r="Z2163" s="1"/>
    </row>
    <row r="2164" spans="1:26" ht="18.600000000000001">
      <c r="A2164" s="360" t="s">
        <v>218</v>
      </c>
      <c r="B2164" s="360" t="s">
        <v>103</v>
      </c>
      <c r="C2164" s="355" t="s">
        <v>29</v>
      </c>
      <c r="D2164">
        <v>7605</v>
      </c>
      <c r="E2164" s="143">
        <v>75000</v>
      </c>
      <c r="F2164" s="117">
        <v>1403</v>
      </c>
      <c r="G2164" s="360" t="s">
        <v>297</v>
      </c>
      <c r="H2164" s="144">
        <f>bargiri[[#This Row],[میزان بارگیری شده]]*bargiri[[#This Row],[فی]]</f>
        <v>570375000</v>
      </c>
      <c r="I2164" s="360">
        <f>IF(year=bargiri[[#This Row],[سال]],1,0)</f>
        <v>0</v>
      </c>
      <c r="J2164" s="360" t="str">
        <f>VLOOKUP(bargiri[[#This Row],[شماره پیش فاکتور]],invoice[],16,0)</f>
        <v>عادی</v>
      </c>
      <c r="K2164" s="252">
        <f>bargiri[[#This Row],[فی]]*bargiri[[#This Row],[میزان بارگیری شده]]</f>
        <v>570375000</v>
      </c>
      <c r="Z2164" s="1"/>
    </row>
    <row r="2165" spans="1:26" ht="18.600000000000001">
      <c r="A2165" s="360" t="s">
        <v>218</v>
      </c>
      <c r="B2165" s="360" t="s">
        <v>120</v>
      </c>
      <c r="C2165" s="355" t="s">
        <v>88</v>
      </c>
      <c r="D2165">
        <v>9055</v>
      </c>
      <c r="E2165" s="143">
        <v>80000</v>
      </c>
      <c r="F2165" s="117">
        <v>1403</v>
      </c>
      <c r="G2165" s="360" t="s">
        <v>297</v>
      </c>
      <c r="H2165" s="144">
        <f>bargiri[[#This Row],[میزان بارگیری شده]]*bargiri[[#This Row],[فی]]</f>
        <v>724400000</v>
      </c>
      <c r="I2165" s="360">
        <f>IF(year=bargiri[[#This Row],[سال]],1,0)</f>
        <v>0</v>
      </c>
      <c r="J2165" s="360" t="str">
        <f>VLOOKUP(bargiri[[#This Row],[شماره پیش فاکتور]],invoice[],16,0)</f>
        <v>عادی</v>
      </c>
      <c r="K2165" s="252">
        <f>bargiri[[#This Row],[فی]]*bargiri[[#This Row],[میزان بارگیری شده]]</f>
        <v>724400000</v>
      </c>
      <c r="Z2165" s="1"/>
    </row>
    <row r="2166" spans="1:26" ht="18.600000000000001">
      <c r="A2166" s="360" t="s">
        <v>218</v>
      </c>
      <c r="B2166" s="360" t="s">
        <v>113</v>
      </c>
      <c r="C2166" s="355" t="s">
        <v>61</v>
      </c>
      <c r="D2166">
        <v>10025</v>
      </c>
      <c r="E2166" s="143">
        <v>75000</v>
      </c>
      <c r="F2166" s="117">
        <v>1403</v>
      </c>
      <c r="G2166" s="360" t="s">
        <v>297</v>
      </c>
      <c r="H2166" s="144">
        <f>bargiri[[#This Row],[میزان بارگیری شده]]*bargiri[[#This Row],[فی]]</f>
        <v>751875000</v>
      </c>
      <c r="I2166" s="360">
        <f>IF(year=bargiri[[#This Row],[سال]],1,0)</f>
        <v>0</v>
      </c>
      <c r="J2166" s="360" t="str">
        <f>VLOOKUP(bargiri[[#This Row],[شماره پیش فاکتور]],invoice[],16,0)</f>
        <v>عادی</v>
      </c>
      <c r="K2166" s="252">
        <f>bargiri[[#This Row],[فی]]*bargiri[[#This Row],[میزان بارگیری شده]]</f>
        <v>751875000</v>
      </c>
      <c r="Z2166" s="1"/>
    </row>
    <row r="2167" spans="1:26" ht="18.600000000000001">
      <c r="A2167" s="360" t="s">
        <v>359</v>
      </c>
      <c r="B2167" s="360" t="s">
        <v>102</v>
      </c>
      <c r="C2167" s="355" t="s">
        <v>25</v>
      </c>
      <c r="D2167">
        <v>11695</v>
      </c>
      <c r="E2167" s="143">
        <v>65000</v>
      </c>
      <c r="F2167" s="117">
        <v>1403</v>
      </c>
      <c r="G2167" s="360" t="s">
        <v>297</v>
      </c>
      <c r="H2167" s="144">
        <f>bargiri[[#This Row],[میزان بارگیری شده]]*bargiri[[#This Row],[فی]]</f>
        <v>760175000</v>
      </c>
      <c r="I2167" s="360">
        <f>IF(year=bargiri[[#This Row],[سال]],1,0)</f>
        <v>0</v>
      </c>
      <c r="J2167" s="360" t="str">
        <f>VLOOKUP(bargiri[[#This Row],[شماره پیش فاکتور]],invoice[],16,0)</f>
        <v>عادی</v>
      </c>
      <c r="K2167" s="252">
        <f>bargiri[[#This Row],[فی]]*bargiri[[#This Row],[میزان بارگیری شده]]</f>
        <v>760175000</v>
      </c>
      <c r="Z2167" s="1"/>
    </row>
    <row r="2168" spans="1:26" ht="18.600000000000001">
      <c r="A2168" s="360" t="s">
        <v>359</v>
      </c>
      <c r="B2168" s="360" t="s">
        <v>107</v>
      </c>
      <c r="C2168" s="355" t="s">
        <v>50</v>
      </c>
      <c r="D2168">
        <v>18940</v>
      </c>
      <c r="E2168" s="143">
        <v>70000</v>
      </c>
      <c r="F2168" s="117">
        <v>1403</v>
      </c>
      <c r="G2168" s="360" t="s">
        <v>297</v>
      </c>
      <c r="H2168" s="144">
        <f>bargiri[[#This Row],[میزان بارگیری شده]]*bargiri[[#This Row],[فی]]</f>
        <v>1325800000</v>
      </c>
      <c r="I2168" s="360">
        <f>IF(year=bargiri[[#This Row],[سال]],1,0)</f>
        <v>0</v>
      </c>
      <c r="J2168" s="360" t="str">
        <f>VLOOKUP(bargiri[[#This Row],[شماره پیش فاکتور]],invoice[],16,0)</f>
        <v>عادی</v>
      </c>
      <c r="K2168" s="252">
        <f>bargiri[[#This Row],[فی]]*bargiri[[#This Row],[میزان بارگیری شده]]</f>
        <v>1325800000</v>
      </c>
      <c r="Z2168" s="1"/>
    </row>
    <row r="2169" spans="1:26" ht="18.600000000000001">
      <c r="A2169" s="360" t="s">
        <v>359</v>
      </c>
      <c r="B2169" s="360" t="s">
        <v>101</v>
      </c>
      <c r="C2169" s="355" t="s">
        <v>17</v>
      </c>
      <c r="D2169">
        <v>20045</v>
      </c>
      <c r="E2169" s="143">
        <v>65000</v>
      </c>
      <c r="F2169" s="117">
        <v>1403</v>
      </c>
      <c r="G2169" s="360" t="s">
        <v>297</v>
      </c>
      <c r="H2169" s="144">
        <f>bargiri[[#This Row],[میزان بارگیری شده]]*bargiri[[#This Row],[فی]]</f>
        <v>1302925000</v>
      </c>
      <c r="I2169" s="360">
        <f>IF(year=bargiri[[#This Row],[سال]],1,0)</f>
        <v>0</v>
      </c>
      <c r="J2169" s="360" t="str">
        <f>VLOOKUP(bargiri[[#This Row],[شماره پیش فاکتور]],invoice[],16,0)</f>
        <v>تعادلی</v>
      </c>
      <c r="K2169" s="252">
        <f>bargiri[[#This Row],[فی]]*bargiri[[#This Row],[میزان بارگیری شده]]</f>
        <v>1302925000</v>
      </c>
      <c r="Z2169" s="1"/>
    </row>
    <row r="2170" spans="1:26" ht="18.600000000000001">
      <c r="A2170" s="360" t="s">
        <v>359</v>
      </c>
      <c r="B2170" s="360" t="s">
        <v>98</v>
      </c>
      <c r="C2170" s="355" t="s">
        <v>8</v>
      </c>
      <c r="D2170">
        <v>20015</v>
      </c>
      <c r="E2170" s="143">
        <v>72000</v>
      </c>
      <c r="F2170" s="117">
        <v>1403</v>
      </c>
      <c r="G2170" s="360" t="s">
        <v>297</v>
      </c>
      <c r="H2170" s="144">
        <f>bargiri[[#This Row],[میزان بارگیری شده]]*bargiri[[#This Row],[فی]]</f>
        <v>1441080000</v>
      </c>
      <c r="I2170" s="360">
        <f>IF(year=bargiri[[#This Row],[سال]],1,0)</f>
        <v>0</v>
      </c>
      <c r="J2170" s="360" t="str">
        <f>VLOOKUP(bargiri[[#This Row],[شماره پیش فاکتور]],invoice[],16,0)</f>
        <v>عادی</v>
      </c>
      <c r="K2170" s="252">
        <f>bargiri[[#This Row],[فی]]*bargiri[[#This Row],[میزان بارگیری شده]]</f>
        <v>1441080000</v>
      </c>
      <c r="Z2170" s="1"/>
    </row>
    <row r="2171" spans="1:26" ht="18.600000000000001">
      <c r="A2171" s="360" t="s">
        <v>359</v>
      </c>
      <c r="B2171" s="360" t="s">
        <v>113</v>
      </c>
      <c r="C2171" s="355" t="s">
        <v>61</v>
      </c>
      <c r="D2171">
        <v>18855</v>
      </c>
      <c r="E2171" s="143">
        <v>75000</v>
      </c>
      <c r="F2171" s="117">
        <v>1403</v>
      </c>
      <c r="G2171" s="360" t="s">
        <v>297</v>
      </c>
      <c r="H2171" s="144">
        <f>bargiri[[#This Row],[میزان بارگیری شده]]*bargiri[[#This Row],[فی]]</f>
        <v>1414125000</v>
      </c>
      <c r="I2171" s="360">
        <f>IF(year=bargiri[[#This Row],[سال]],1,0)</f>
        <v>0</v>
      </c>
      <c r="J2171" s="360" t="str">
        <f>VLOOKUP(bargiri[[#This Row],[شماره پیش فاکتور]],invoice[],16,0)</f>
        <v>عادی</v>
      </c>
      <c r="K2171" s="252">
        <f>bargiri[[#This Row],[فی]]*bargiri[[#This Row],[میزان بارگیری شده]]</f>
        <v>1414125000</v>
      </c>
      <c r="Z2171" s="1"/>
    </row>
    <row r="2172" spans="1:26" ht="18.600000000000001">
      <c r="A2172" s="360" t="s">
        <v>140</v>
      </c>
      <c r="B2172" s="360" t="s">
        <v>106</v>
      </c>
      <c r="C2172" s="355" t="s">
        <v>45</v>
      </c>
      <c r="D2172">
        <v>20015</v>
      </c>
      <c r="E2172" s="143">
        <v>80000</v>
      </c>
      <c r="F2172" s="117">
        <v>1403</v>
      </c>
      <c r="G2172" s="360" t="s">
        <v>297</v>
      </c>
      <c r="H2172" s="144">
        <f>bargiri[[#This Row],[میزان بارگیری شده]]*bargiri[[#This Row],[فی]]</f>
        <v>1601200000</v>
      </c>
      <c r="I2172" s="360">
        <f>IF(year=bargiri[[#This Row],[سال]],1,0)</f>
        <v>0</v>
      </c>
      <c r="J2172" s="360" t="str">
        <f>VLOOKUP(bargiri[[#This Row],[شماره پیش فاکتور]],invoice[],16,0)</f>
        <v>عادی</v>
      </c>
      <c r="K2172" s="252">
        <f>bargiri[[#This Row],[فی]]*bargiri[[#This Row],[میزان بارگیری شده]]</f>
        <v>1601200000</v>
      </c>
      <c r="Z2172" s="1"/>
    </row>
    <row r="2173" spans="1:26" ht="18.600000000000001">
      <c r="A2173" s="360" t="s">
        <v>140</v>
      </c>
      <c r="B2173" s="360" t="s">
        <v>117</v>
      </c>
      <c r="C2173" s="355" t="s">
        <v>79</v>
      </c>
      <c r="D2173">
        <v>19870</v>
      </c>
      <c r="E2173" s="143">
        <v>75000</v>
      </c>
      <c r="F2173" s="117">
        <v>1403</v>
      </c>
      <c r="G2173" s="360" t="s">
        <v>297</v>
      </c>
      <c r="H2173" s="144">
        <f>bargiri[[#This Row],[میزان بارگیری شده]]*bargiri[[#This Row],[فی]]</f>
        <v>1490250000</v>
      </c>
      <c r="I2173" s="360">
        <f>IF(year=bargiri[[#This Row],[سال]],1,0)</f>
        <v>0</v>
      </c>
      <c r="J2173" s="360" t="str">
        <f>VLOOKUP(bargiri[[#This Row],[شماره پیش فاکتور]],invoice[],16,0)</f>
        <v>عادی</v>
      </c>
      <c r="K2173" s="252">
        <f>bargiri[[#This Row],[فی]]*bargiri[[#This Row],[میزان بارگیری شده]]</f>
        <v>1490250000</v>
      </c>
      <c r="Z2173" s="1"/>
    </row>
    <row r="2174" spans="1:26" ht="18.600000000000001">
      <c r="A2174" s="360" t="s">
        <v>140</v>
      </c>
      <c r="B2174" s="360" t="s">
        <v>103</v>
      </c>
      <c r="C2174" s="355" t="s">
        <v>29</v>
      </c>
      <c r="D2174">
        <v>6860</v>
      </c>
      <c r="E2174" s="143">
        <v>75000</v>
      </c>
      <c r="F2174" s="117">
        <v>1403</v>
      </c>
      <c r="G2174" s="360" t="s">
        <v>297</v>
      </c>
      <c r="H2174" s="144">
        <f>bargiri[[#This Row],[میزان بارگیری شده]]*bargiri[[#This Row],[فی]]</f>
        <v>514500000</v>
      </c>
      <c r="I2174" s="360">
        <f>IF(year=bargiri[[#This Row],[سال]],1,0)</f>
        <v>0</v>
      </c>
      <c r="J2174" s="360" t="str">
        <f>VLOOKUP(bargiri[[#This Row],[شماره پیش فاکتور]],invoice[],16,0)</f>
        <v>عادی</v>
      </c>
      <c r="K2174" s="252">
        <f>bargiri[[#This Row],[فی]]*bargiri[[#This Row],[میزان بارگیری شده]]</f>
        <v>514500000</v>
      </c>
      <c r="Z2174" s="1"/>
    </row>
    <row r="2175" spans="1:26" ht="18.600000000000001">
      <c r="A2175" s="360" t="s">
        <v>140</v>
      </c>
      <c r="B2175" s="360" t="s">
        <v>122</v>
      </c>
      <c r="C2175" s="355" t="s">
        <v>91</v>
      </c>
      <c r="D2175">
        <v>19995</v>
      </c>
      <c r="E2175" s="143">
        <v>75000</v>
      </c>
      <c r="F2175" s="117">
        <v>1403</v>
      </c>
      <c r="G2175" s="360" t="s">
        <v>297</v>
      </c>
      <c r="H2175" s="144">
        <f>bargiri[[#This Row],[میزان بارگیری شده]]*bargiri[[#This Row],[فی]]</f>
        <v>1499625000</v>
      </c>
      <c r="I2175" s="360">
        <f>IF(year=bargiri[[#This Row],[سال]],1,0)</f>
        <v>0</v>
      </c>
      <c r="J2175" s="360" t="str">
        <f>VLOOKUP(bargiri[[#This Row],[شماره پیش فاکتور]],invoice[],16,0)</f>
        <v>عادی</v>
      </c>
      <c r="K2175" s="252">
        <f>bargiri[[#This Row],[فی]]*bargiri[[#This Row],[میزان بارگیری شده]]</f>
        <v>1499625000</v>
      </c>
      <c r="Z2175" s="1"/>
    </row>
    <row r="2176" spans="1:26" ht="18.600000000000001">
      <c r="A2176" s="360" t="s">
        <v>140</v>
      </c>
      <c r="B2176" s="360" t="s">
        <v>110</v>
      </c>
      <c r="C2176" s="355" t="s">
        <v>57</v>
      </c>
      <c r="D2176">
        <v>21020</v>
      </c>
      <c r="E2176" s="143">
        <v>78000</v>
      </c>
      <c r="F2176" s="117">
        <v>1403</v>
      </c>
      <c r="G2176" s="360" t="s">
        <v>297</v>
      </c>
      <c r="H2176" s="144">
        <f>bargiri[[#This Row],[میزان بارگیری شده]]*bargiri[[#This Row],[فی]]</f>
        <v>1639560000</v>
      </c>
      <c r="I2176" s="360">
        <f>IF(year=bargiri[[#This Row],[سال]],1,0)</f>
        <v>0</v>
      </c>
      <c r="J2176" s="360" t="str">
        <f>VLOOKUP(bargiri[[#This Row],[شماره پیش فاکتور]],invoice[],16,0)</f>
        <v>عادی</v>
      </c>
      <c r="K2176" s="252">
        <f>bargiri[[#This Row],[فی]]*bargiri[[#This Row],[میزان بارگیری شده]]</f>
        <v>1639560000</v>
      </c>
      <c r="Z2176" s="1"/>
    </row>
    <row r="2177" spans="1:26" ht="18.600000000000001">
      <c r="A2177" s="360" t="s">
        <v>198</v>
      </c>
      <c r="B2177" s="360" t="s">
        <v>103</v>
      </c>
      <c r="C2177" s="355" t="s">
        <v>29</v>
      </c>
      <c r="D2177">
        <v>7070</v>
      </c>
      <c r="E2177" s="143">
        <v>75000</v>
      </c>
      <c r="F2177" s="117">
        <v>1403</v>
      </c>
      <c r="G2177" s="360" t="s">
        <v>297</v>
      </c>
      <c r="H2177" s="144">
        <f>bargiri[[#This Row],[میزان بارگیری شده]]*bargiri[[#This Row],[فی]]</f>
        <v>530250000</v>
      </c>
      <c r="I2177" s="360">
        <f>IF(year=bargiri[[#This Row],[سال]],1,0)</f>
        <v>0</v>
      </c>
      <c r="J2177" s="360" t="str">
        <f>VLOOKUP(bargiri[[#This Row],[شماره پیش فاکتور]],invoice[],16,0)</f>
        <v>عادی</v>
      </c>
      <c r="K2177" s="252">
        <f>bargiri[[#This Row],[فی]]*bargiri[[#This Row],[میزان بارگیری شده]]</f>
        <v>530250000</v>
      </c>
      <c r="Z2177" s="1"/>
    </row>
    <row r="2178" spans="1:26" ht="18.600000000000001">
      <c r="A2178" s="360" t="s">
        <v>198</v>
      </c>
      <c r="B2178" s="360" t="s">
        <v>103</v>
      </c>
      <c r="C2178" s="355" t="s">
        <v>30</v>
      </c>
      <c r="D2178">
        <v>5150</v>
      </c>
      <c r="E2178" s="143">
        <v>70000</v>
      </c>
      <c r="F2178" s="117">
        <v>1403</v>
      </c>
      <c r="G2178" s="360" t="s">
        <v>297</v>
      </c>
      <c r="H2178" s="144">
        <f>bargiri[[#This Row],[میزان بارگیری شده]]*bargiri[[#This Row],[فی]]</f>
        <v>360500000</v>
      </c>
      <c r="I2178" s="360">
        <f>IF(year=bargiri[[#This Row],[سال]],1,0)</f>
        <v>0</v>
      </c>
      <c r="J2178" s="360" t="str">
        <f>VLOOKUP(bargiri[[#This Row],[شماره پیش فاکتور]],invoice[],16,0)</f>
        <v>عادی</v>
      </c>
      <c r="K2178" s="252">
        <f>bargiri[[#This Row],[فی]]*bargiri[[#This Row],[میزان بارگیری شده]]</f>
        <v>360500000</v>
      </c>
      <c r="Z2178" s="1"/>
    </row>
    <row r="2179" spans="1:26" ht="18.600000000000001">
      <c r="A2179" s="360" t="s">
        <v>198</v>
      </c>
      <c r="B2179" s="360" t="s">
        <v>103</v>
      </c>
      <c r="C2179" s="355" t="s">
        <v>29</v>
      </c>
      <c r="D2179">
        <v>1840</v>
      </c>
      <c r="E2179" s="143">
        <v>75000</v>
      </c>
      <c r="F2179" s="117">
        <v>1403</v>
      </c>
      <c r="G2179" s="360" t="s">
        <v>297</v>
      </c>
      <c r="H2179" s="144">
        <f>bargiri[[#This Row],[میزان بارگیری شده]]*bargiri[[#This Row],[فی]]</f>
        <v>138000000</v>
      </c>
      <c r="I2179" s="360">
        <f>IF(year=bargiri[[#This Row],[سال]],1,0)</f>
        <v>0</v>
      </c>
      <c r="J2179" s="360" t="str">
        <f>VLOOKUP(bargiri[[#This Row],[شماره پیش فاکتور]],invoice[],16,0)</f>
        <v>عادی</v>
      </c>
      <c r="K2179" s="252">
        <f>bargiri[[#This Row],[فی]]*bargiri[[#This Row],[میزان بارگیری شده]]</f>
        <v>138000000</v>
      </c>
      <c r="Z2179" s="1"/>
    </row>
    <row r="2180" spans="1:26" ht="18.600000000000001">
      <c r="A2180" s="360" t="s">
        <v>360</v>
      </c>
      <c r="B2180" s="360" t="s">
        <v>117</v>
      </c>
      <c r="C2180" s="355" t="s">
        <v>79</v>
      </c>
      <c r="D2180">
        <v>16170</v>
      </c>
      <c r="E2180" s="143">
        <v>75000</v>
      </c>
      <c r="F2180" s="117">
        <v>1403</v>
      </c>
      <c r="G2180" s="360" t="s">
        <v>297</v>
      </c>
      <c r="H2180" s="144">
        <f>bargiri[[#This Row],[میزان بارگیری شده]]*bargiri[[#This Row],[فی]]</f>
        <v>1212750000</v>
      </c>
      <c r="I2180" s="360">
        <f>IF(year=bargiri[[#This Row],[سال]],1,0)</f>
        <v>0</v>
      </c>
      <c r="J2180" s="360" t="str">
        <f>VLOOKUP(bargiri[[#This Row],[شماره پیش فاکتور]],invoice[],16,0)</f>
        <v>عادی</v>
      </c>
      <c r="K2180" s="252">
        <f>bargiri[[#This Row],[فی]]*bargiri[[#This Row],[میزان بارگیری شده]]</f>
        <v>1212750000</v>
      </c>
      <c r="Z2180" s="1"/>
    </row>
    <row r="2181" spans="1:26" ht="18.600000000000001">
      <c r="A2181" s="360" t="s">
        <v>360</v>
      </c>
      <c r="B2181" s="360" t="s">
        <v>102</v>
      </c>
      <c r="C2181" s="355" t="s">
        <v>25</v>
      </c>
      <c r="D2181">
        <v>11900</v>
      </c>
      <c r="E2181" s="143">
        <v>65000</v>
      </c>
      <c r="F2181" s="117">
        <v>1403</v>
      </c>
      <c r="G2181" s="360" t="s">
        <v>297</v>
      </c>
      <c r="H2181" s="144">
        <f>bargiri[[#This Row],[میزان بارگیری شده]]*bargiri[[#This Row],[فی]]</f>
        <v>773500000</v>
      </c>
      <c r="I2181" s="360">
        <f>IF(year=bargiri[[#This Row],[سال]],1,0)</f>
        <v>0</v>
      </c>
      <c r="J2181" s="360" t="str">
        <f>VLOOKUP(bargiri[[#This Row],[شماره پیش فاکتور]],invoice[],16,0)</f>
        <v>عادی</v>
      </c>
      <c r="K2181" s="252">
        <f>bargiri[[#This Row],[فی]]*bargiri[[#This Row],[میزان بارگیری شده]]</f>
        <v>773500000</v>
      </c>
      <c r="Z2181" s="1"/>
    </row>
    <row r="2182" spans="1:26" ht="18.600000000000001">
      <c r="A2182" s="360" t="s">
        <v>360</v>
      </c>
      <c r="B2182" s="360" t="s">
        <v>117</v>
      </c>
      <c r="C2182" s="355" t="s">
        <v>79</v>
      </c>
      <c r="D2182">
        <v>5765</v>
      </c>
      <c r="E2182" s="143">
        <v>75000</v>
      </c>
      <c r="F2182" s="117">
        <v>1403</v>
      </c>
      <c r="G2182" s="360" t="s">
        <v>297</v>
      </c>
      <c r="H2182" s="144">
        <f>bargiri[[#This Row],[میزان بارگیری شده]]*bargiri[[#This Row],[فی]]</f>
        <v>432375000</v>
      </c>
      <c r="I2182" s="360">
        <f>IF(year=bargiri[[#This Row],[سال]],1,0)</f>
        <v>0</v>
      </c>
      <c r="J2182" s="360" t="str">
        <f>VLOOKUP(bargiri[[#This Row],[شماره پیش فاکتور]],invoice[],16,0)</f>
        <v>عادی</v>
      </c>
      <c r="K2182" s="252">
        <f>bargiri[[#This Row],[فی]]*bargiri[[#This Row],[میزان بارگیری شده]]</f>
        <v>432375000</v>
      </c>
      <c r="Z2182" s="1"/>
    </row>
    <row r="2183" spans="1:26" ht="18.600000000000001">
      <c r="A2183" s="360" t="s">
        <v>360</v>
      </c>
      <c r="B2183" s="360" t="s">
        <v>101</v>
      </c>
      <c r="C2183" s="355" t="s">
        <v>17</v>
      </c>
      <c r="D2183">
        <v>21755</v>
      </c>
      <c r="E2183" s="143">
        <v>65000</v>
      </c>
      <c r="F2183" s="117">
        <v>1403</v>
      </c>
      <c r="G2183" s="360" t="s">
        <v>297</v>
      </c>
      <c r="H2183" s="144">
        <f>bargiri[[#This Row],[میزان بارگیری شده]]*bargiri[[#This Row],[فی]]</f>
        <v>1414075000</v>
      </c>
      <c r="I2183" s="360">
        <f>IF(year=bargiri[[#This Row],[سال]],1,0)</f>
        <v>0</v>
      </c>
      <c r="J2183" s="360" t="str">
        <f>VLOOKUP(bargiri[[#This Row],[شماره پیش فاکتور]],invoice[],16,0)</f>
        <v>تعادلی</v>
      </c>
      <c r="K2183" s="252">
        <f>bargiri[[#This Row],[فی]]*bargiri[[#This Row],[میزان بارگیری شده]]</f>
        <v>1414075000</v>
      </c>
      <c r="Z2183" s="1"/>
    </row>
    <row r="2184" spans="1:26" ht="18.600000000000001">
      <c r="A2184" s="360" t="s">
        <v>153</v>
      </c>
      <c r="B2184" s="360" t="s">
        <v>118</v>
      </c>
      <c r="C2184" s="355" t="s">
        <v>84</v>
      </c>
      <c r="D2184">
        <v>21080</v>
      </c>
      <c r="E2184" s="143">
        <v>57273</v>
      </c>
      <c r="F2184" s="117">
        <v>1403</v>
      </c>
      <c r="G2184" s="360" t="s">
        <v>297</v>
      </c>
      <c r="H2184" s="144">
        <f>bargiri[[#This Row],[میزان بارگیری شده]]*bargiri[[#This Row],[فی]]</f>
        <v>1207314840</v>
      </c>
      <c r="I2184" s="360">
        <f>IF(year=bargiri[[#This Row],[سال]],1,0)</f>
        <v>0</v>
      </c>
      <c r="J2184" s="360" t="str">
        <f>VLOOKUP(bargiri[[#This Row],[شماره پیش فاکتور]],invoice[],16,0)</f>
        <v>عادی</v>
      </c>
      <c r="K2184" s="252">
        <f>bargiri[[#This Row],[فی]]*bargiri[[#This Row],[میزان بارگیری شده]]</f>
        <v>1207314840</v>
      </c>
      <c r="Z2184" s="1"/>
    </row>
    <row r="2185" spans="1:26" ht="18.600000000000001">
      <c r="A2185" s="360" t="s">
        <v>153</v>
      </c>
      <c r="B2185" s="360" t="s">
        <v>118</v>
      </c>
      <c r="C2185" s="355" t="s">
        <v>84</v>
      </c>
      <c r="D2185">
        <v>20600</v>
      </c>
      <c r="E2185" s="143">
        <v>57273</v>
      </c>
      <c r="F2185" s="117">
        <v>1403</v>
      </c>
      <c r="G2185" s="360" t="s">
        <v>297</v>
      </c>
      <c r="H2185" s="144">
        <f>bargiri[[#This Row],[میزان بارگیری شده]]*bargiri[[#This Row],[فی]]</f>
        <v>1179823800</v>
      </c>
      <c r="I2185" s="360">
        <f>IF(year=bargiri[[#This Row],[سال]],1,0)</f>
        <v>0</v>
      </c>
      <c r="J2185" s="360" t="str">
        <f>VLOOKUP(bargiri[[#This Row],[شماره پیش فاکتور]],invoice[],16,0)</f>
        <v>عادی</v>
      </c>
      <c r="K2185" s="252">
        <f>bargiri[[#This Row],[فی]]*bargiri[[#This Row],[میزان بارگیری شده]]</f>
        <v>1179823800</v>
      </c>
      <c r="Z2185" s="1"/>
    </row>
    <row r="2186" spans="1:26" ht="18.600000000000001">
      <c r="A2186" s="360" t="s">
        <v>153</v>
      </c>
      <c r="B2186" s="360" t="s">
        <v>118</v>
      </c>
      <c r="C2186" s="355" t="s">
        <v>84</v>
      </c>
      <c r="D2186">
        <v>21020</v>
      </c>
      <c r="E2186" s="143">
        <v>57273</v>
      </c>
      <c r="F2186" s="117">
        <v>1403</v>
      </c>
      <c r="G2186" s="360" t="s">
        <v>297</v>
      </c>
      <c r="H2186" s="144">
        <f>bargiri[[#This Row],[میزان بارگیری شده]]*bargiri[[#This Row],[فی]]</f>
        <v>1203878460</v>
      </c>
      <c r="I2186" s="360">
        <f>IF(year=bargiri[[#This Row],[سال]],1,0)</f>
        <v>0</v>
      </c>
      <c r="J2186" s="360" t="str">
        <f>VLOOKUP(bargiri[[#This Row],[شماره پیش فاکتور]],invoice[],16,0)</f>
        <v>عادی</v>
      </c>
      <c r="K2186" s="252">
        <f>bargiri[[#This Row],[فی]]*bargiri[[#This Row],[میزان بارگیری شده]]</f>
        <v>1203878460</v>
      </c>
      <c r="Z2186" s="1"/>
    </row>
    <row r="2187" spans="1:26" ht="18.600000000000001">
      <c r="A2187" s="360" t="s">
        <v>153</v>
      </c>
      <c r="B2187" s="360" t="s">
        <v>118</v>
      </c>
      <c r="C2187" s="355" t="s">
        <v>84</v>
      </c>
      <c r="D2187">
        <v>20840</v>
      </c>
      <c r="E2187" s="143">
        <v>57273</v>
      </c>
      <c r="F2187" s="117">
        <v>1403</v>
      </c>
      <c r="G2187" s="360" t="s">
        <v>297</v>
      </c>
      <c r="H2187" s="144">
        <f>bargiri[[#This Row],[میزان بارگیری شده]]*bargiri[[#This Row],[فی]]</f>
        <v>1193569320</v>
      </c>
      <c r="I2187" s="360">
        <f>IF(year=bargiri[[#This Row],[سال]],1,0)</f>
        <v>0</v>
      </c>
      <c r="J2187" s="360" t="str">
        <f>VLOOKUP(bargiri[[#This Row],[شماره پیش فاکتور]],invoice[],16,0)</f>
        <v>عادی</v>
      </c>
      <c r="K2187" s="252">
        <f>bargiri[[#This Row],[فی]]*bargiri[[#This Row],[میزان بارگیری شده]]</f>
        <v>1193569320</v>
      </c>
      <c r="Z2187" s="1"/>
    </row>
    <row r="2188" spans="1:26" ht="18.600000000000001">
      <c r="A2188" s="360" t="s">
        <v>198</v>
      </c>
      <c r="B2188" s="360" t="s">
        <v>120</v>
      </c>
      <c r="C2188" s="355" t="s">
        <v>88</v>
      </c>
      <c r="D2188">
        <v>9040</v>
      </c>
      <c r="E2188" s="143">
        <v>80000</v>
      </c>
      <c r="F2188" s="117">
        <v>1403</v>
      </c>
      <c r="G2188" s="360" t="s">
        <v>297</v>
      </c>
      <c r="H2188" s="144">
        <f>bargiri[[#This Row],[میزان بارگیری شده]]*bargiri[[#This Row],[فی]]</f>
        <v>723200000</v>
      </c>
      <c r="I2188" s="360">
        <f>IF(year=bargiri[[#This Row],[سال]],1,0)</f>
        <v>0</v>
      </c>
      <c r="J2188" s="360" t="str">
        <f>VLOOKUP(bargiri[[#This Row],[شماره پیش فاکتور]],invoice[],16,0)</f>
        <v>عادی</v>
      </c>
      <c r="K2188" s="252">
        <f>bargiri[[#This Row],[فی]]*bargiri[[#This Row],[میزان بارگیری شده]]</f>
        <v>723200000</v>
      </c>
      <c r="Z2188" s="1"/>
    </row>
    <row r="2189" spans="1:26" ht="18.600000000000001">
      <c r="A2189" s="360" t="s">
        <v>198</v>
      </c>
      <c r="B2189" s="360" t="s">
        <v>114</v>
      </c>
      <c r="C2189" s="355" t="s">
        <v>63</v>
      </c>
      <c r="D2189">
        <v>20045</v>
      </c>
      <c r="E2189" s="143">
        <v>75000</v>
      </c>
      <c r="F2189" s="117">
        <v>1403</v>
      </c>
      <c r="G2189" s="360" t="s">
        <v>297</v>
      </c>
      <c r="H2189" s="144">
        <f>bargiri[[#This Row],[میزان بارگیری شده]]*bargiri[[#This Row],[فی]]</f>
        <v>1503375000</v>
      </c>
      <c r="I2189" s="360">
        <f>IF(year=bargiri[[#This Row],[سال]],1,0)</f>
        <v>0</v>
      </c>
      <c r="J2189" s="360" t="str">
        <f>VLOOKUP(bargiri[[#This Row],[شماره پیش فاکتور]],invoice[],16,0)</f>
        <v>عادی</v>
      </c>
      <c r="K2189" s="252">
        <f>bargiri[[#This Row],[فی]]*bargiri[[#This Row],[میزان بارگیری شده]]</f>
        <v>1503375000</v>
      </c>
      <c r="Z2189" s="1"/>
    </row>
    <row r="2190" spans="1:26" ht="18.600000000000001">
      <c r="A2190" s="360" t="s">
        <v>198</v>
      </c>
      <c r="B2190" s="360" t="s">
        <v>120</v>
      </c>
      <c r="C2190" s="355" t="s">
        <v>88</v>
      </c>
      <c r="D2190">
        <v>9015</v>
      </c>
      <c r="E2190" s="143">
        <v>80000</v>
      </c>
      <c r="F2190" s="117">
        <v>1403</v>
      </c>
      <c r="G2190" s="360" t="s">
        <v>297</v>
      </c>
      <c r="H2190" s="144">
        <f>bargiri[[#This Row],[میزان بارگیری شده]]*bargiri[[#This Row],[فی]]</f>
        <v>721200000</v>
      </c>
      <c r="I2190" s="360">
        <f>IF(year=bargiri[[#This Row],[سال]],1,0)</f>
        <v>0</v>
      </c>
      <c r="J2190" s="360" t="str">
        <f>VLOOKUP(bargiri[[#This Row],[شماره پیش فاکتور]],invoice[],16,0)</f>
        <v>عادی</v>
      </c>
      <c r="K2190" s="252">
        <f>bargiri[[#This Row],[فی]]*bargiri[[#This Row],[میزان بارگیری شده]]</f>
        <v>721200000</v>
      </c>
      <c r="Z2190" s="1"/>
    </row>
    <row r="2191" spans="1:26" ht="18.600000000000001">
      <c r="A2191" s="360" t="s">
        <v>198</v>
      </c>
      <c r="B2191" s="360" t="s">
        <v>107</v>
      </c>
      <c r="C2191" s="355" t="s">
        <v>50</v>
      </c>
      <c r="D2191">
        <v>17970</v>
      </c>
      <c r="E2191" s="143">
        <v>70000</v>
      </c>
      <c r="F2191" s="117">
        <v>1403</v>
      </c>
      <c r="G2191" s="360" t="s">
        <v>297</v>
      </c>
      <c r="H2191" s="144">
        <f>bargiri[[#This Row],[میزان بارگیری شده]]*bargiri[[#This Row],[فی]]</f>
        <v>1257900000</v>
      </c>
      <c r="I2191" s="360">
        <f>IF(year=bargiri[[#This Row],[سال]],1,0)</f>
        <v>0</v>
      </c>
      <c r="J2191" s="360" t="str">
        <f>VLOOKUP(bargiri[[#This Row],[شماره پیش فاکتور]],invoice[],16,0)</f>
        <v>عادی</v>
      </c>
      <c r="K2191" s="252">
        <f>bargiri[[#This Row],[فی]]*bargiri[[#This Row],[میزان بارگیری شده]]</f>
        <v>1257900000</v>
      </c>
      <c r="Z2191" s="1"/>
    </row>
    <row r="2192" spans="1:26" ht="18.600000000000001">
      <c r="A2192" s="360" t="s">
        <v>198</v>
      </c>
      <c r="B2192" s="360" t="s">
        <v>116</v>
      </c>
      <c r="C2192" s="355" t="s">
        <v>77</v>
      </c>
      <c r="D2192">
        <v>18100</v>
      </c>
      <c r="E2192" s="143">
        <v>68500</v>
      </c>
      <c r="F2192" s="117">
        <v>1403</v>
      </c>
      <c r="G2192" s="360" t="s">
        <v>297</v>
      </c>
      <c r="H2192" s="144">
        <f>bargiri[[#This Row],[میزان بارگیری شده]]*bargiri[[#This Row],[فی]]</f>
        <v>1239850000</v>
      </c>
      <c r="I2192" s="360">
        <f>IF(year=bargiri[[#This Row],[سال]],1,0)</f>
        <v>0</v>
      </c>
      <c r="J2192" s="360" t="str">
        <f>VLOOKUP(bargiri[[#This Row],[شماره پیش فاکتور]],invoice[],16,0)</f>
        <v>عادی</v>
      </c>
      <c r="K2192" s="252">
        <f>bargiri[[#This Row],[فی]]*bargiri[[#This Row],[میزان بارگیری شده]]</f>
        <v>1239850000</v>
      </c>
      <c r="Z2192" s="1"/>
    </row>
    <row r="2193" spans="1:26" ht="18.600000000000001">
      <c r="A2193" s="360" t="s">
        <v>198</v>
      </c>
      <c r="B2193" s="360" t="s">
        <v>118</v>
      </c>
      <c r="C2193" s="355" t="s">
        <v>84</v>
      </c>
      <c r="D2193">
        <v>20445</v>
      </c>
      <c r="E2193" s="143">
        <v>57273</v>
      </c>
      <c r="F2193" s="117">
        <v>1403</v>
      </c>
      <c r="G2193" s="360" t="s">
        <v>297</v>
      </c>
      <c r="H2193" s="144">
        <f>bargiri[[#This Row],[میزان بارگیری شده]]*bargiri[[#This Row],[فی]]</f>
        <v>1170946485</v>
      </c>
      <c r="I2193" s="360">
        <f>IF(year=bargiri[[#This Row],[سال]],1,0)</f>
        <v>0</v>
      </c>
      <c r="J2193" s="360" t="str">
        <f>VLOOKUP(bargiri[[#This Row],[شماره پیش فاکتور]],invoice[],16,0)</f>
        <v>عادی</v>
      </c>
      <c r="K2193" s="252">
        <f>bargiri[[#This Row],[فی]]*bargiri[[#This Row],[میزان بارگیری شده]]</f>
        <v>1170946485</v>
      </c>
      <c r="Z2193" s="1"/>
    </row>
    <row r="2194" spans="1:26" ht="18.600000000000001">
      <c r="A2194" s="360" t="s">
        <v>203</v>
      </c>
      <c r="B2194" s="360" t="s">
        <v>106</v>
      </c>
      <c r="C2194" s="355" t="s">
        <v>45</v>
      </c>
      <c r="D2194">
        <v>14090</v>
      </c>
      <c r="E2194" s="143">
        <v>80000</v>
      </c>
      <c r="F2194" s="117">
        <v>1403</v>
      </c>
      <c r="G2194" s="360" t="s">
        <v>297</v>
      </c>
      <c r="H2194" s="144">
        <f>bargiri[[#This Row],[میزان بارگیری شده]]*bargiri[[#This Row],[فی]]</f>
        <v>1127200000</v>
      </c>
      <c r="I2194" s="360">
        <f>IF(year=bargiri[[#This Row],[سال]],1,0)</f>
        <v>0</v>
      </c>
      <c r="J2194" s="360" t="str">
        <f>VLOOKUP(bargiri[[#This Row],[شماره پیش فاکتور]],invoice[],16,0)</f>
        <v>عادی</v>
      </c>
      <c r="K2194" s="252">
        <f>bargiri[[#This Row],[فی]]*bargiri[[#This Row],[میزان بارگیری شده]]</f>
        <v>1127200000</v>
      </c>
      <c r="Z2194" s="1"/>
    </row>
    <row r="2195" spans="1:26" ht="18.600000000000001">
      <c r="A2195" s="360" t="s">
        <v>203</v>
      </c>
      <c r="B2195" s="360" t="s">
        <v>103</v>
      </c>
      <c r="C2195" s="355" t="s">
        <v>30</v>
      </c>
      <c r="D2195">
        <v>7430</v>
      </c>
      <c r="E2195" s="143">
        <v>70000</v>
      </c>
      <c r="F2195" s="117">
        <v>1403</v>
      </c>
      <c r="G2195" s="360" t="s">
        <v>297</v>
      </c>
      <c r="H2195" s="144">
        <f>bargiri[[#This Row],[میزان بارگیری شده]]*bargiri[[#This Row],[فی]]</f>
        <v>520100000</v>
      </c>
      <c r="I2195" s="360">
        <f>IF(year=bargiri[[#This Row],[سال]],1,0)</f>
        <v>0</v>
      </c>
      <c r="J2195" s="360" t="str">
        <f>VLOOKUP(bargiri[[#This Row],[شماره پیش فاکتور]],invoice[],16,0)</f>
        <v>عادی</v>
      </c>
      <c r="K2195" s="252">
        <f>bargiri[[#This Row],[فی]]*bargiri[[#This Row],[میزان بارگیری شده]]</f>
        <v>520100000</v>
      </c>
      <c r="Z2195" s="1"/>
    </row>
    <row r="2196" spans="1:26" ht="18.600000000000001">
      <c r="A2196" s="360" t="s">
        <v>203</v>
      </c>
      <c r="B2196" s="360" t="s">
        <v>101</v>
      </c>
      <c r="C2196" s="355" t="s">
        <v>17</v>
      </c>
      <c r="D2196">
        <v>19975</v>
      </c>
      <c r="E2196" s="143">
        <v>65000</v>
      </c>
      <c r="F2196" s="117">
        <v>1403</v>
      </c>
      <c r="G2196" s="360" t="s">
        <v>297</v>
      </c>
      <c r="H2196" s="144">
        <f>bargiri[[#This Row],[میزان بارگیری شده]]*bargiri[[#This Row],[فی]]</f>
        <v>1298375000</v>
      </c>
      <c r="I2196" s="360">
        <f>IF(year=bargiri[[#This Row],[سال]],1,0)</f>
        <v>0</v>
      </c>
      <c r="J2196" s="360" t="str">
        <f>VLOOKUP(bargiri[[#This Row],[شماره پیش فاکتور]],invoice[],16,0)</f>
        <v>تعادلی</v>
      </c>
      <c r="K2196" s="252">
        <f>bargiri[[#This Row],[فی]]*bargiri[[#This Row],[میزان بارگیری شده]]</f>
        <v>1298375000</v>
      </c>
      <c r="Z2196" s="1"/>
    </row>
    <row r="2197" spans="1:26" ht="18.600000000000001">
      <c r="A2197" s="360" t="s">
        <v>203</v>
      </c>
      <c r="B2197" s="360" t="s">
        <v>106</v>
      </c>
      <c r="C2197" s="355" t="s">
        <v>46</v>
      </c>
      <c r="D2197">
        <v>19960</v>
      </c>
      <c r="E2197" s="143">
        <v>70000</v>
      </c>
      <c r="F2197" s="117">
        <v>1403</v>
      </c>
      <c r="G2197" s="360" t="s">
        <v>297</v>
      </c>
      <c r="H2197" s="144">
        <f>bargiri[[#This Row],[میزان بارگیری شده]]*bargiri[[#This Row],[فی]]</f>
        <v>1397200000</v>
      </c>
      <c r="I2197" s="360">
        <f>IF(year=bargiri[[#This Row],[سال]],1,0)</f>
        <v>0</v>
      </c>
      <c r="J2197" s="360" t="str">
        <f>VLOOKUP(bargiri[[#This Row],[شماره پیش فاکتور]],invoice[],16,0)</f>
        <v>عادی</v>
      </c>
      <c r="K2197" s="252">
        <f>bargiri[[#This Row],[فی]]*bargiri[[#This Row],[میزان بارگیری شده]]</f>
        <v>1397200000</v>
      </c>
      <c r="Z2197" s="1"/>
    </row>
    <row r="2198" spans="1:26" ht="18.600000000000001">
      <c r="A2198" s="360" t="s">
        <v>203</v>
      </c>
      <c r="B2198" s="360" t="s">
        <v>106</v>
      </c>
      <c r="C2198" s="355" t="s">
        <v>45</v>
      </c>
      <c r="D2198">
        <v>130</v>
      </c>
      <c r="E2198" s="143">
        <v>80000</v>
      </c>
      <c r="F2198" s="117">
        <v>1403</v>
      </c>
      <c r="G2198" s="360" t="s">
        <v>297</v>
      </c>
      <c r="H2198" s="144">
        <f>bargiri[[#This Row],[میزان بارگیری شده]]*bargiri[[#This Row],[فی]]</f>
        <v>10400000</v>
      </c>
      <c r="I2198" s="360">
        <f>IF(year=bargiri[[#This Row],[سال]],1,0)</f>
        <v>0</v>
      </c>
      <c r="J2198" s="360" t="str">
        <f>VLOOKUP(bargiri[[#This Row],[شماره پیش فاکتور]],invoice[],16,0)</f>
        <v>عادی</v>
      </c>
      <c r="K2198" s="252">
        <f>bargiri[[#This Row],[فی]]*bargiri[[#This Row],[میزان بارگیری شده]]</f>
        <v>10400000</v>
      </c>
      <c r="Z2198" s="1"/>
    </row>
    <row r="2199" spans="1:26" ht="18.600000000000001">
      <c r="A2199" s="360" t="s">
        <v>198</v>
      </c>
      <c r="B2199" s="360" t="s">
        <v>110</v>
      </c>
      <c r="C2199" s="355" t="s">
        <v>57</v>
      </c>
      <c r="D2199">
        <v>9840</v>
      </c>
      <c r="E2199" s="143">
        <v>78000</v>
      </c>
      <c r="F2199" s="117">
        <v>1403</v>
      </c>
      <c r="G2199" s="360" t="s">
        <v>297</v>
      </c>
      <c r="H2199" s="144">
        <f>bargiri[[#This Row],[میزان بارگیری شده]]*bargiri[[#This Row],[فی]]</f>
        <v>767520000</v>
      </c>
      <c r="I2199" s="360">
        <f>IF(year=bargiri[[#This Row],[سال]],1,0)</f>
        <v>0</v>
      </c>
      <c r="J2199" s="360" t="str">
        <f>VLOOKUP(bargiri[[#This Row],[شماره پیش فاکتور]],invoice[],16,0)</f>
        <v>عادی</v>
      </c>
      <c r="K2199" s="252">
        <f>bargiri[[#This Row],[فی]]*bargiri[[#This Row],[میزان بارگیری شده]]</f>
        <v>767520000</v>
      </c>
      <c r="Z2199" s="1"/>
    </row>
    <row r="2200" spans="1:26" ht="18.600000000000001">
      <c r="A2200" s="360" t="s">
        <v>361</v>
      </c>
      <c r="B2200" s="360" t="s">
        <v>116</v>
      </c>
      <c r="C2200" s="355" t="s">
        <v>77</v>
      </c>
      <c r="D2200">
        <v>20105</v>
      </c>
      <c r="E2200" s="143">
        <v>68500</v>
      </c>
      <c r="F2200" s="117">
        <v>1403</v>
      </c>
      <c r="G2200" s="360" t="s">
        <v>297</v>
      </c>
      <c r="H2200" s="144">
        <f>bargiri[[#This Row],[میزان بارگیری شده]]*bargiri[[#This Row],[فی]]</f>
        <v>1377192500</v>
      </c>
      <c r="I2200" s="360">
        <f>IF(year=bargiri[[#This Row],[سال]],1,0)</f>
        <v>0</v>
      </c>
      <c r="J2200" s="360" t="str">
        <f>VLOOKUP(bargiri[[#This Row],[شماره پیش فاکتور]],invoice[],16,0)</f>
        <v>عادی</v>
      </c>
      <c r="K2200" s="252">
        <f>bargiri[[#This Row],[فی]]*bargiri[[#This Row],[میزان بارگیری شده]]</f>
        <v>1377192500</v>
      </c>
      <c r="Z2200" s="1"/>
    </row>
    <row r="2201" spans="1:26" ht="18.600000000000001">
      <c r="A2201" s="360" t="s">
        <v>362</v>
      </c>
      <c r="B2201" s="360" t="s">
        <v>116</v>
      </c>
      <c r="C2201" s="355" t="s">
        <v>77</v>
      </c>
      <c r="D2201">
        <v>20020</v>
      </c>
      <c r="E2201" s="143">
        <v>68500</v>
      </c>
      <c r="F2201" s="117">
        <v>1403</v>
      </c>
      <c r="G2201" s="360" t="s">
        <v>297</v>
      </c>
      <c r="H2201" s="144">
        <f>bargiri[[#This Row],[میزان بارگیری شده]]*bargiri[[#This Row],[فی]]</f>
        <v>1371370000</v>
      </c>
      <c r="I2201" s="360">
        <f>IF(year=bargiri[[#This Row],[سال]],1,0)</f>
        <v>0</v>
      </c>
      <c r="J2201" s="360" t="str">
        <f>VLOOKUP(bargiri[[#This Row],[شماره پیش فاکتور]],invoice[],16,0)</f>
        <v>عادی</v>
      </c>
      <c r="K2201" s="252">
        <f>bargiri[[#This Row],[فی]]*bargiri[[#This Row],[میزان بارگیری شده]]</f>
        <v>1371370000</v>
      </c>
      <c r="Z2201" s="1"/>
    </row>
    <row r="2202" spans="1:26" ht="18.600000000000001">
      <c r="A2202" s="360" t="s">
        <v>191</v>
      </c>
      <c r="B2202" s="360" t="s">
        <v>101</v>
      </c>
      <c r="C2202" s="355" t="s">
        <v>19</v>
      </c>
      <c r="E2202" s="143">
        <v>0</v>
      </c>
      <c r="F2202" s="117">
        <v>1403</v>
      </c>
      <c r="G2202" s="360" t="s">
        <v>297</v>
      </c>
      <c r="H2202" s="144">
        <f>bargiri[[#This Row],[میزان بارگیری شده]]*bargiri[[#This Row],[فی]]</f>
        <v>0</v>
      </c>
      <c r="I2202" s="360">
        <f>IF(year=bargiri[[#This Row],[سال]],1,0)</f>
        <v>0</v>
      </c>
      <c r="J2202" s="360" t="str">
        <f>VLOOKUP(bargiri[[#This Row],[شماره پیش فاکتور]],invoice[],16,0)</f>
        <v>عادی</v>
      </c>
      <c r="K2202" s="252">
        <f>bargiri[[#This Row],[فی]]*bargiri[[#This Row],[میزان بارگیری شده]]</f>
        <v>0</v>
      </c>
      <c r="Z2202" s="1"/>
    </row>
    <row r="2203" spans="1:26" ht="18.600000000000001">
      <c r="A2203" s="360" t="s">
        <v>361</v>
      </c>
      <c r="B2203" s="360" t="s">
        <v>118</v>
      </c>
      <c r="C2203" s="355" t="s">
        <v>84</v>
      </c>
      <c r="D2203">
        <v>20885</v>
      </c>
      <c r="E2203" s="143">
        <v>57273</v>
      </c>
      <c r="F2203" s="117">
        <v>1403</v>
      </c>
      <c r="G2203" s="360" t="s">
        <v>297</v>
      </c>
      <c r="H2203" s="144">
        <f>bargiri[[#This Row],[میزان بارگیری شده]]*bargiri[[#This Row],[فی]]</f>
        <v>1196146605</v>
      </c>
      <c r="I2203" s="360">
        <f>IF(year=bargiri[[#This Row],[سال]],1,0)</f>
        <v>0</v>
      </c>
      <c r="J2203" s="360" t="str">
        <f>VLOOKUP(bargiri[[#This Row],[شماره پیش فاکتور]],invoice[],16,0)</f>
        <v>عادی</v>
      </c>
      <c r="K2203" s="252">
        <f>bargiri[[#This Row],[فی]]*bargiri[[#This Row],[میزان بارگیری شده]]</f>
        <v>1196146605</v>
      </c>
      <c r="Z2203" s="1"/>
    </row>
    <row r="2204" spans="1:26" ht="18.600000000000001">
      <c r="A2204" s="360" t="s">
        <v>361</v>
      </c>
      <c r="B2204" s="360" t="s">
        <v>118</v>
      </c>
      <c r="C2204" s="355" t="s">
        <v>84</v>
      </c>
      <c r="D2204">
        <v>20740</v>
      </c>
      <c r="E2204" s="143">
        <v>57273</v>
      </c>
      <c r="F2204" s="117">
        <v>1403</v>
      </c>
      <c r="G2204" s="360" t="s">
        <v>297</v>
      </c>
      <c r="H2204" s="144">
        <f>bargiri[[#This Row],[میزان بارگیری شده]]*bargiri[[#This Row],[فی]]</f>
        <v>1187842020</v>
      </c>
      <c r="I2204" s="360">
        <f>IF(year=bargiri[[#This Row],[سال]],1,0)</f>
        <v>0</v>
      </c>
      <c r="J2204" s="360" t="str">
        <f>VLOOKUP(bargiri[[#This Row],[شماره پیش فاکتور]],invoice[],16,0)</f>
        <v>عادی</v>
      </c>
      <c r="K2204" s="252">
        <f>bargiri[[#This Row],[فی]]*bargiri[[#This Row],[میزان بارگیری شده]]</f>
        <v>1187842020</v>
      </c>
      <c r="Z2204" s="1"/>
    </row>
    <row r="2205" spans="1:26" ht="18.600000000000001">
      <c r="A2205" s="360" t="s">
        <v>361</v>
      </c>
      <c r="B2205" s="360" t="s">
        <v>120</v>
      </c>
      <c r="C2205" s="355" t="s">
        <v>88</v>
      </c>
      <c r="D2205">
        <v>9070</v>
      </c>
      <c r="E2205" s="143">
        <v>80000</v>
      </c>
      <c r="F2205" s="117">
        <v>1403</v>
      </c>
      <c r="G2205" s="360" t="s">
        <v>297</v>
      </c>
      <c r="H2205" s="144">
        <f>bargiri[[#This Row],[میزان بارگیری شده]]*bargiri[[#This Row],[فی]]</f>
        <v>725600000</v>
      </c>
      <c r="I2205" s="360">
        <f>IF(year=bargiri[[#This Row],[سال]],1,0)</f>
        <v>0</v>
      </c>
      <c r="J2205" s="360" t="str">
        <f>VLOOKUP(bargiri[[#This Row],[شماره پیش فاکتور]],invoice[],16,0)</f>
        <v>عادی</v>
      </c>
      <c r="K2205" s="252">
        <f>bargiri[[#This Row],[فی]]*bargiri[[#This Row],[میزان بارگیری شده]]</f>
        <v>725600000</v>
      </c>
      <c r="Z2205" s="1"/>
    </row>
    <row r="2206" spans="1:26" ht="18.600000000000001">
      <c r="A2206" s="360" t="s">
        <v>166</v>
      </c>
      <c r="B2206" s="360" t="s">
        <v>102</v>
      </c>
      <c r="C2206" s="355" t="s">
        <v>25</v>
      </c>
      <c r="D2206">
        <v>11590</v>
      </c>
      <c r="E2206" s="143">
        <v>65000</v>
      </c>
      <c r="F2206" s="117">
        <v>1403</v>
      </c>
      <c r="G2206" s="360" t="s">
        <v>297</v>
      </c>
      <c r="H2206" s="144">
        <f>bargiri[[#This Row],[میزان بارگیری شده]]*bargiri[[#This Row],[فی]]</f>
        <v>753350000</v>
      </c>
      <c r="I2206" s="360">
        <f>IF(year=bargiri[[#This Row],[سال]],1,0)</f>
        <v>0</v>
      </c>
      <c r="J2206" s="360" t="str">
        <f>VLOOKUP(bargiri[[#This Row],[شماره پیش فاکتور]],invoice[],16,0)</f>
        <v>عادی</v>
      </c>
      <c r="K2206" s="252">
        <f>bargiri[[#This Row],[فی]]*bargiri[[#This Row],[میزان بارگیری شده]]</f>
        <v>753350000</v>
      </c>
      <c r="Z2206" s="1"/>
    </row>
    <row r="2207" spans="1:26" ht="18.600000000000001">
      <c r="A2207" s="360" t="s">
        <v>166</v>
      </c>
      <c r="B2207" s="360" t="s">
        <v>106</v>
      </c>
      <c r="C2207" s="355" t="s">
        <v>46</v>
      </c>
      <c r="D2207">
        <v>22010</v>
      </c>
      <c r="E2207" s="143">
        <v>70000</v>
      </c>
      <c r="F2207" s="117">
        <v>1403</v>
      </c>
      <c r="G2207" s="360" t="s">
        <v>297</v>
      </c>
      <c r="H2207" s="144">
        <f>bargiri[[#This Row],[میزان بارگیری شده]]*bargiri[[#This Row],[فی]]</f>
        <v>1540700000</v>
      </c>
      <c r="I2207" s="360">
        <f>IF(year=bargiri[[#This Row],[سال]],1,0)</f>
        <v>0</v>
      </c>
      <c r="J2207" s="360" t="str">
        <f>VLOOKUP(bargiri[[#This Row],[شماره پیش فاکتور]],invoice[],16,0)</f>
        <v>عادی</v>
      </c>
      <c r="K2207" s="252">
        <f>bargiri[[#This Row],[فی]]*bargiri[[#This Row],[میزان بارگیری شده]]</f>
        <v>1540700000</v>
      </c>
      <c r="Z2207" s="1"/>
    </row>
    <row r="2208" spans="1:26" ht="18.600000000000001">
      <c r="A2208" s="360" t="s">
        <v>166</v>
      </c>
      <c r="B2208" s="360" t="s">
        <v>122</v>
      </c>
      <c r="C2208" s="355" t="s">
        <v>91</v>
      </c>
      <c r="D2208">
        <v>20270</v>
      </c>
      <c r="E2208" s="143">
        <v>75000</v>
      </c>
      <c r="F2208" s="117">
        <v>1403</v>
      </c>
      <c r="G2208" s="360" t="s">
        <v>297</v>
      </c>
      <c r="H2208" s="144">
        <f>bargiri[[#This Row],[میزان بارگیری شده]]*bargiri[[#This Row],[فی]]</f>
        <v>1520250000</v>
      </c>
      <c r="I2208" s="360">
        <f>IF(year=bargiri[[#This Row],[سال]],1,0)</f>
        <v>0</v>
      </c>
      <c r="J2208" s="360" t="str">
        <f>VLOOKUP(bargiri[[#This Row],[شماره پیش فاکتور]],invoice[],16,0)</f>
        <v>عادی</v>
      </c>
      <c r="K2208" s="252">
        <f>bargiri[[#This Row],[فی]]*bargiri[[#This Row],[میزان بارگیری شده]]</f>
        <v>1520250000</v>
      </c>
      <c r="Z2208" s="1"/>
    </row>
    <row r="2209" spans="1:26" ht="18.600000000000001">
      <c r="A2209" s="360" t="s">
        <v>363</v>
      </c>
      <c r="B2209" s="360" t="s">
        <v>110</v>
      </c>
      <c r="C2209" s="355" t="s">
        <v>57</v>
      </c>
      <c r="D2209">
        <v>21115</v>
      </c>
      <c r="E2209" s="143">
        <v>78000</v>
      </c>
      <c r="F2209" s="117">
        <v>1403</v>
      </c>
      <c r="G2209" s="360" t="s">
        <v>297</v>
      </c>
      <c r="H2209" s="144">
        <f>bargiri[[#This Row],[میزان بارگیری شده]]*bargiri[[#This Row],[فی]]</f>
        <v>1646970000</v>
      </c>
      <c r="I2209" s="360">
        <f>IF(year=bargiri[[#This Row],[سال]],1,0)</f>
        <v>0</v>
      </c>
      <c r="J2209" s="360" t="str">
        <f>VLOOKUP(bargiri[[#This Row],[شماره پیش فاکتور]],invoice[],16,0)</f>
        <v>عادی</v>
      </c>
      <c r="K2209" s="252">
        <f>bargiri[[#This Row],[فی]]*bargiri[[#This Row],[میزان بارگیری شده]]</f>
        <v>1646970000</v>
      </c>
      <c r="Z2209" s="1"/>
    </row>
    <row r="2210" spans="1:26" ht="18.600000000000001">
      <c r="A2210" s="360" t="s">
        <v>363</v>
      </c>
      <c r="B2210" s="360" t="s">
        <v>113</v>
      </c>
      <c r="C2210" s="355" t="s">
        <v>61</v>
      </c>
      <c r="D2210">
        <v>18895</v>
      </c>
      <c r="E2210" s="143">
        <v>75000</v>
      </c>
      <c r="F2210" s="117">
        <v>1403</v>
      </c>
      <c r="G2210" s="360" t="s">
        <v>297</v>
      </c>
      <c r="H2210" s="144">
        <f>bargiri[[#This Row],[میزان بارگیری شده]]*bargiri[[#This Row],[فی]]</f>
        <v>1417125000</v>
      </c>
      <c r="I2210" s="360">
        <f>IF(year=bargiri[[#This Row],[سال]],1,0)</f>
        <v>0</v>
      </c>
      <c r="J2210" s="360" t="str">
        <f>VLOOKUP(bargiri[[#This Row],[شماره پیش فاکتور]],invoice[],16,0)</f>
        <v>عادی</v>
      </c>
      <c r="K2210" s="252">
        <f>bargiri[[#This Row],[فی]]*bargiri[[#This Row],[میزان بارگیری شده]]</f>
        <v>1417125000</v>
      </c>
      <c r="Z2210" s="1"/>
    </row>
    <row r="2211" spans="1:26" ht="18.600000000000001">
      <c r="A2211" s="360" t="s">
        <v>362</v>
      </c>
      <c r="B2211" s="360" t="s">
        <v>106</v>
      </c>
      <c r="C2211" s="355" t="s">
        <v>46</v>
      </c>
      <c r="D2211">
        <v>18000</v>
      </c>
      <c r="E2211" s="143">
        <v>70000</v>
      </c>
      <c r="F2211" s="117">
        <v>1403</v>
      </c>
      <c r="G2211" s="360" t="s">
        <v>297</v>
      </c>
      <c r="H2211" s="144">
        <f>bargiri[[#This Row],[میزان بارگیری شده]]*bargiri[[#This Row],[فی]]</f>
        <v>1260000000</v>
      </c>
      <c r="I2211" s="360">
        <f>IF(year=bargiri[[#This Row],[سال]],1,0)</f>
        <v>0</v>
      </c>
      <c r="J2211" s="360" t="str">
        <f>VLOOKUP(bargiri[[#This Row],[شماره پیش فاکتور]],invoice[],16,0)</f>
        <v>عادی</v>
      </c>
      <c r="K2211" s="252">
        <f>bargiri[[#This Row],[فی]]*bargiri[[#This Row],[میزان بارگیری شده]]</f>
        <v>1260000000</v>
      </c>
      <c r="Z2211" s="1"/>
    </row>
    <row r="2212" spans="1:26" ht="18.600000000000001">
      <c r="A2212" s="360" t="s">
        <v>362</v>
      </c>
      <c r="B2212" s="360" t="s">
        <v>107</v>
      </c>
      <c r="C2212" s="355" t="s">
        <v>50</v>
      </c>
      <c r="D2212">
        <v>18980</v>
      </c>
      <c r="E2212" s="143">
        <v>70000</v>
      </c>
      <c r="F2212" s="117">
        <v>1403</v>
      </c>
      <c r="G2212" s="360" t="s">
        <v>297</v>
      </c>
      <c r="H2212" s="144">
        <f>bargiri[[#This Row],[میزان بارگیری شده]]*bargiri[[#This Row],[فی]]</f>
        <v>1328600000</v>
      </c>
      <c r="I2212" s="360">
        <f>IF(year=bargiri[[#This Row],[سال]],1,0)</f>
        <v>0</v>
      </c>
      <c r="J2212" s="360" t="str">
        <f>VLOOKUP(bargiri[[#This Row],[شماره پیش فاکتور]],invoice[],16,0)</f>
        <v>عادی</v>
      </c>
      <c r="K2212" s="252">
        <f>bargiri[[#This Row],[فی]]*bargiri[[#This Row],[میزان بارگیری شده]]</f>
        <v>1328600000</v>
      </c>
      <c r="Z2212" s="1"/>
    </row>
    <row r="2213" spans="1:26" ht="18.600000000000001">
      <c r="A2213" s="360" t="s">
        <v>362</v>
      </c>
      <c r="B2213" s="360" t="s">
        <v>120</v>
      </c>
      <c r="C2213" s="355" t="s">
        <v>88</v>
      </c>
      <c r="D2213">
        <v>9075</v>
      </c>
      <c r="E2213" s="143">
        <v>80000</v>
      </c>
      <c r="F2213" s="117">
        <v>1403</v>
      </c>
      <c r="G2213" s="360" t="s">
        <v>297</v>
      </c>
      <c r="H2213" s="144">
        <f>bargiri[[#This Row],[میزان بارگیری شده]]*bargiri[[#This Row],[فی]]</f>
        <v>726000000</v>
      </c>
      <c r="I2213" s="360">
        <f>IF(year=bargiri[[#This Row],[سال]],1,0)</f>
        <v>0</v>
      </c>
      <c r="J2213" s="360" t="str">
        <f>VLOOKUP(bargiri[[#This Row],[شماره پیش فاکتور]],invoice[],16,0)</f>
        <v>عادی</v>
      </c>
      <c r="K2213" s="252">
        <f>bargiri[[#This Row],[فی]]*bargiri[[#This Row],[میزان بارگیری شده]]</f>
        <v>726000000</v>
      </c>
      <c r="Z2213" s="1"/>
    </row>
    <row r="2214" spans="1:26" ht="18.600000000000001">
      <c r="A2214" s="360" t="s">
        <v>362</v>
      </c>
      <c r="B2214" s="360" t="s">
        <v>118</v>
      </c>
      <c r="C2214" s="355" t="s">
        <v>84</v>
      </c>
      <c r="D2214">
        <v>21020</v>
      </c>
      <c r="E2214" s="143">
        <v>57273</v>
      </c>
      <c r="F2214" s="117">
        <v>1403</v>
      </c>
      <c r="G2214" s="360" t="s">
        <v>297</v>
      </c>
      <c r="H2214" s="144">
        <f>bargiri[[#This Row],[میزان بارگیری شده]]*bargiri[[#This Row],[فی]]</f>
        <v>1203878460</v>
      </c>
      <c r="I2214" s="360">
        <f>IF(year=bargiri[[#This Row],[سال]],1,0)</f>
        <v>0</v>
      </c>
      <c r="J2214" s="360" t="str">
        <f>VLOOKUP(bargiri[[#This Row],[شماره پیش فاکتور]],invoice[],16,0)</f>
        <v>عادی</v>
      </c>
      <c r="K2214" s="252">
        <f>bargiri[[#This Row],[فی]]*bargiri[[#This Row],[میزان بارگیری شده]]</f>
        <v>1203878460</v>
      </c>
      <c r="Z2214" s="1"/>
    </row>
    <row r="2215" spans="1:26" ht="18.600000000000001">
      <c r="A2215" s="360" t="s">
        <v>362</v>
      </c>
      <c r="B2215" s="360" t="s">
        <v>118</v>
      </c>
      <c r="C2215" s="355" t="s">
        <v>84</v>
      </c>
      <c r="D2215">
        <v>20910</v>
      </c>
      <c r="E2215" s="143">
        <v>57273</v>
      </c>
      <c r="F2215" s="117">
        <v>1403</v>
      </c>
      <c r="G2215" s="360" t="s">
        <v>297</v>
      </c>
      <c r="H2215" s="144">
        <f>bargiri[[#This Row],[میزان بارگیری شده]]*bargiri[[#This Row],[فی]]</f>
        <v>1197578430</v>
      </c>
      <c r="I2215" s="360">
        <f>IF(year=bargiri[[#This Row],[سال]],1,0)</f>
        <v>0</v>
      </c>
      <c r="J2215" s="360" t="str">
        <f>VLOOKUP(bargiri[[#This Row],[شماره پیش فاکتور]],invoice[],16,0)</f>
        <v>عادی</v>
      </c>
      <c r="K2215" s="252">
        <f>bargiri[[#This Row],[فی]]*bargiri[[#This Row],[میزان بارگیری شده]]</f>
        <v>1197578430</v>
      </c>
      <c r="Z2215" s="1"/>
    </row>
    <row r="2216" spans="1:26" ht="18.600000000000001">
      <c r="A2216" s="360" t="s">
        <v>191</v>
      </c>
      <c r="B2216" s="360" t="s">
        <v>106</v>
      </c>
      <c r="C2216" s="355" t="s">
        <v>46</v>
      </c>
      <c r="D2216">
        <v>18125</v>
      </c>
      <c r="E2216" s="143">
        <v>70000</v>
      </c>
      <c r="F2216" s="117">
        <v>1403</v>
      </c>
      <c r="G2216" s="360" t="s">
        <v>297</v>
      </c>
      <c r="H2216" s="144">
        <f>bargiri[[#This Row],[میزان بارگیری شده]]*bargiri[[#This Row],[فی]]</f>
        <v>1268750000</v>
      </c>
      <c r="I2216" s="360">
        <f>IF(year=bargiri[[#This Row],[سال]],1,0)</f>
        <v>0</v>
      </c>
      <c r="J2216" s="360" t="str">
        <f>VLOOKUP(bargiri[[#This Row],[شماره پیش فاکتور]],invoice[],16,0)</f>
        <v>عادی</v>
      </c>
      <c r="K2216" s="252">
        <f>bargiri[[#This Row],[فی]]*bargiri[[#This Row],[میزان بارگیری شده]]</f>
        <v>1268750000</v>
      </c>
      <c r="Z2216" s="1"/>
    </row>
    <row r="2217" spans="1:26" ht="18.600000000000001">
      <c r="A2217" s="360" t="s">
        <v>191</v>
      </c>
      <c r="B2217" s="360" t="s">
        <v>114</v>
      </c>
      <c r="C2217" s="355" t="s">
        <v>63</v>
      </c>
      <c r="D2217">
        <v>22100</v>
      </c>
      <c r="E2217" s="143">
        <v>75000</v>
      </c>
      <c r="F2217" s="117">
        <v>1403</v>
      </c>
      <c r="G2217" s="360" t="s">
        <v>297</v>
      </c>
      <c r="H2217" s="144">
        <f>bargiri[[#This Row],[میزان بارگیری شده]]*bargiri[[#This Row],[فی]]</f>
        <v>1657500000</v>
      </c>
      <c r="I2217" s="360">
        <f>IF(year=bargiri[[#This Row],[سال]],1,0)</f>
        <v>0</v>
      </c>
      <c r="J2217" s="360" t="str">
        <f>VLOOKUP(bargiri[[#This Row],[شماره پیش فاکتور]],invoice[],16,0)</f>
        <v>عادی</v>
      </c>
      <c r="K2217" s="252">
        <f>bargiri[[#This Row],[فی]]*bargiri[[#This Row],[میزان بارگیری شده]]</f>
        <v>1657500000</v>
      </c>
      <c r="Z2217" s="1"/>
    </row>
    <row r="2218" spans="1:26" ht="18.600000000000001">
      <c r="A2218" s="360" t="s">
        <v>364</v>
      </c>
      <c r="B2218" s="360" t="s">
        <v>107</v>
      </c>
      <c r="C2218" s="355" t="s">
        <v>50</v>
      </c>
      <c r="D2218">
        <v>19045</v>
      </c>
      <c r="E2218" s="143">
        <v>70000</v>
      </c>
      <c r="F2218" s="117">
        <v>1403</v>
      </c>
      <c r="G2218" s="360" t="s">
        <v>297</v>
      </c>
      <c r="H2218" s="144">
        <f>bargiri[[#This Row],[میزان بارگیری شده]]*bargiri[[#This Row],[فی]]</f>
        <v>1333150000</v>
      </c>
      <c r="I2218" s="360">
        <f>IF(year=bargiri[[#This Row],[سال]],1,0)</f>
        <v>0</v>
      </c>
      <c r="J2218" s="360" t="str">
        <f>VLOOKUP(bargiri[[#This Row],[شماره پیش فاکتور]],invoice[],16,0)</f>
        <v>عادی</v>
      </c>
      <c r="K2218" s="252">
        <f>bargiri[[#This Row],[فی]]*bargiri[[#This Row],[میزان بارگیری شده]]</f>
        <v>1333150000</v>
      </c>
      <c r="Z2218" s="1"/>
    </row>
    <row r="2219" spans="1:26" ht="18.600000000000001">
      <c r="A2219" s="360" t="s">
        <v>364</v>
      </c>
      <c r="B2219" s="360" t="s">
        <v>120</v>
      </c>
      <c r="C2219" s="355" t="s">
        <v>88</v>
      </c>
      <c r="D2219">
        <v>8985</v>
      </c>
      <c r="E2219" s="143">
        <v>80000</v>
      </c>
      <c r="F2219" s="117">
        <v>1403</v>
      </c>
      <c r="G2219" s="360" t="s">
        <v>297</v>
      </c>
      <c r="H2219" s="144">
        <f>bargiri[[#This Row],[میزان بارگیری شده]]*bargiri[[#This Row],[فی]]</f>
        <v>718800000</v>
      </c>
      <c r="I2219" s="360">
        <f>IF(year=bargiri[[#This Row],[سال]],1,0)</f>
        <v>0</v>
      </c>
      <c r="J2219" s="360" t="str">
        <f>VLOOKUP(bargiri[[#This Row],[شماره پیش فاکتور]],invoice[],16,0)</f>
        <v>عادی</v>
      </c>
      <c r="K2219" s="252">
        <f>bargiri[[#This Row],[فی]]*bargiri[[#This Row],[میزان بارگیری شده]]</f>
        <v>718800000</v>
      </c>
      <c r="Z2219" s="1"/>
    </row>
    <row r="2220" spans="1:26" ht="18.600000000000001">
      <c r="A2220" s="360" t="s">
        <v>364</v>
      </c>
      <c r="B2220" s="360" t="s">
        <v>111</v>
      </c>
      <c r="C2220" s="355" t="s">
        <v>59</v>
      </c>
      <c r="D2220">
        <v>9950</v>
      </c>
      <c r="E2220" s="143">
        <v>80000</v>
      </c>
      <c r="F2220" s="117">
        <v>1403</v>
      </c>
      <c r="G2220" s="360" t="s">
        <v>297</v>
      </c>
      <c r="H2220" s="144">
        <f>bargiri[[#This Row],[میزان بارگیری شده]]*bargiri[[#This Row],[فی]]</f>
        <v>796000000</v>
      </c>
      <c r="I2220" s="360">
        <f>IF(year=bargiri[[#This Row],[سال]],1,0)</f>
        <v>0</v>
      </c>
      <c r="J2220" s="360" t="str">
        <f>VLOOKUP(bargiri[[#This Row],[شماره پیش فاکتور]],invoice[],16,0)</f>
        <v>عادی</v>
      </c>
      <c r="K2220" s="252">
        <f>bargiri[[#This Row],[فی]]*bargiri[[#This Row],[میزان بارگیری شده]]</f>
        <v>796000000</v>
      </c>
      <c r="Z2220" s="1"/>
    </row>
    <row r="2221" spans="1:26" ht="18.600000000000001">
      <c r="A2221" s="360" t="s">
        <v>364</v>
      </c>
      <c r="B2221" s="360" t="s">
        <v>122</v>
      </c>
      <c r="C2221" s="355" t="s">
        <v>91</v>
      </c>
      <c r="D2221">
        <v>10065</v>
      </c>
      <c r="E2221" s="143">
        <v>75000</v>
      </c>
      <c r="F2221" s="117">
        <v>1403</v>
      </c>
      <c r="G2221" s="360" t="s">
        <v>297</v>
      </c>
      <c r="H2221" s="144">
        <f>bargiri[[#This Row],[میزان بارگیری شده]]*bargiri[[#This Row],[فی]]</f>
        <v>754875000</v>
      </c>
      <c r="I2221" s="360">
        <f>IF(year=bargiri[[#This Row],[سال]],1,0)</f>
        <v>0</v>
      </c>
      <c r="J2221" s="360" t="str">
        <f>VLOOKUP(bargiri[[#This Row],[شماره پیش فاکتور]],invoice[],16,0)</f>
        <v>عادی</v>
      </c>
      <c r="K2221" s="252">
        <f>bargiri[[#This Row],[فی]]*bargiri[[#This Row],[میزان بارگیری شده]]</f>
        <v>754875000</v>
      </c>
      <c r="Z2221" s="1"/>
    </row>
    <row r="2222" spans="1:26" ht="18.600000000000001">
      <c r="A2222" s="360" t="s">
        <v>364</v>
      </c>
      <c r="B2222" s="360" t="s">
        <v>106</v>
      </c>
      <c r="C2222" s="355" t="s">
        <v>46</v>
      </c>
      <c r="D2222">
        <v>18115</v>
      </c>
      <c r="E2222" s="143">
        <v>70000</v>
      </c>
      <c r="F2222" s="117">
        <v>1403</v>
      </c>
      <c r="G2222" s="360" t="s">
        <v>297</v>
      </c>
      <c r="H2222" s="144">
        <f>bargiri[[#This Row],[میزان بارگیری شده]]*bargiri[[#This Row],[فی]]</f>
        <v>1268050000</v>
      </c>
      <c r="I2222" s="360">
        <f>IF(year=bargiri[[#This Row],[سال]],1,0)</f>
        <v>0</v>
      </c>
      <c r="J2222" s="360" t="str">
        <f>VLOOKUP(bargiri[[#This Row],[شماره پیش فاکتور]],invoice[],16,0)</f>
        <v>عادی</v>
      </c>
      <c r="K2222" s="252">
        <f>bargiri[[#This Row],[فی]]*bargiri[[#This Row],[میزان بارگیری شده]]</f>
        <v>1268050000</v>
      </c>
      <c r="Z2222" s="1"/>
    </row>
    <row r="2223" spans="1:26" ht="18.600000000000001">
      <c r="A2223" s="360" t="s">
        <v>172</v>
      </c>
      <c r="B2223" s="360" t="s">
        <v>116</v>
      </c>
      <c r="C2223" s="355" t="s">
        <v>77</v>
      </c>
      <c r="D2223">
        <v>19095</v>
      </c>
      <c r="E2223" s="143">
        <v>68500</v>
      </c>
      <c r="F2223" s="117">
        <v>1403</v>
      </c>
      <c r="G2223" s="360" t="s">
        <v>297</v>
      </c>
      <c r="H2223" s="144">
        <f>bargiri[[#This Row],[میزان بارگیری شده]]*bargiri[[#This Row],[فی]]</f>
        <v>1308007500</v>
      </c>
      <c r="I2223" s="360">
        <f>IF(year=bargiri[[#This Row],[سال]],1,0)</f>
        <v>0</v>
      </c>
      <c r="J2223" s="360" t="str">
        <f>VLOOKUP(bargiri[[#This Row],[شماره پیش فاکتور]],invoice[],16,0)</f>
        <v>عادی</v>
      </c>
      <c r="K2223" s="252">
        <f>bargiri[[#This Row],[فی]]*bargiri[[#This Row],[میزان بارگیری شده]]</f>
        <v>1308007500</v>
      </c>
      <c r="Z2223" s="1"/>
    </row>
    <row r="2224" spans="1:26" ht="18.600000000000001">
      <c r="A2224" s="360" t="s">
        <v>172</v>
      </c>
      <c r="B2224" s="360" t="s">
        <v>106</v>
      </c>
      <c r="C2224" s="355" t="s">
        <v>46</v>
      </c>
      <c r="D2224">
        <v>17950</v>
      </c>
      <c r="E2224" s="143">
        <v>70000</v>
      </c>
      <c r="F2224" s="117">
        <v>1403</v>
      </c>
      <c r="G2224" s="360" t="s">
        <v>297</v>
      </c>
      <c r="H2224" s="144">
        <f>bargiri[[#This Row],[میزان بارگیری شده]]*bargiri[[#This Row],[فی]]</f>
        <v>1256500000</v>
      </c>
      <c r="I2224" s="360">
        <f>IF(year=bargiri[[#This Row],[سال]],1,0)</f>
        <v>0</v>
      </c>
      <c r="J2224" s="360" t="str">
        <f>VLOOKUP(bargiri[[#This Row],[شماره پیش فاکتور]],invoice[],16,0)</f>
        <v>عادی</v>
      </c>
      <c r="K2224" s="252">
        <f>bargiri[[#This Row],[فی]]*bargiri[[#This Row],[میزان بارگیری شده]]</f>
        <v>1256500000</v>
      </c>
      <c r="Z2224" s="1"/>
    </row>
    <row r="2225" spans="1:26" ht="18.600000000000001">
      <c r="A2225" s="360" t="s">
        <v>172</v>
      </c>
      <c r="B2225" s="360" t="s">
        <v>102</v>
      </c>
      <c r="C2225" s="355" t="s">
        <v>25</v>
      </c>
      <c r="D2225">
        <v>7065</v>
      </c>
      <c r="E2225" s="143">
        <v>65000</v>
      </c>
      <c r="F2225" s="117">
        <v>1403</v>
      </c>
      <c r="G2225" s="360" t="s">
        <v>297</v>
      </c>
      <c r="H2225" s="144">
        <f>bargiri[[#This Row],[میزان بارگیری شده]]*bargiri[[#This Row],[فی]]</f>
        <v>459225000</v>
      </c>
      <c r="I2225" s="360">
        <f>IF(year=bargiri[[#This Row],[سال]],1,0)</f>
        <v>0</v>
      </c>
      <c r="J2225" s="360" t="str">
        <f>VLOOKUP(bargiri[[#This Row],[شماره پیش فاکتور]],invoice[],16,0)</f>
        <v>عادی</v>
      </c>
      <c r="K2225" s="252">
        <f>bargiri[[#This Row],[فی]]*bargiri[[#This Row],[میزان بارگیری شده]]</f>
        <v>459225000</v>
      </c>
      <c r="Z2225" s="1"/>
    </row>
    <row r="2226" spans="1:26" ht="18.600000000000001">
      <c r="A2226" s="360" t="s">
        <v>172</v>
      </c>
      <c r="B2226" s="360" t="s">
        <v>103</v>
      </c>
      <c r="C2226" s="355" t="s">
        <v>30</v>
      </c>
      <c r="D2226">
        <v>7460</v>
      </c>
      <c r="E2226" s="143">
        <v>70000</v>
      </c>
      <c r="F2226" s="117">
        <v>1403</v>
      </c>
      <c r="G2226" s="360" t="s">
        <v>297</v>
      </c>
      <c r="H2226" s="144">
        <f>bargiri[[#This Row],[میزان بارگیری شده]]*bargiri[[#This Row],[فی]]</f>
        <v>522200000</v>
      </c>
      <c r="I2226" s="360">
        <f>IF(year=bargiri[[#This Row],[سال]],1,0)</f>
        <v>0</v>
      </c>
      <c r="J2226" s="360" t="str">
        <f>VLOOKUP(bargiri[[#This Row],[شماره پیش فاکتور]],invoice[],16,0)</f>
        <v>عادی</v>
      </c>
      <c r="K2226" s="252">
        <f>bargiri[[#This Row],[فی]]*bargiri[[#This Row],[میزان بارگیری شده]]</f>
        <v>522200000</v>
      </c>
      <c r="Z2226" s="1"/>
    </row>
    <row r="2227" spans="1:26" ht="18.600000000000001">
      <c r="A2227" s="360" t="s">
        <v>172</v>
      </c>
      <c r="B2227" s="360" t="s">
        <v>98</v>
      </c>
      <c r="C2227" s="355" t="s">
        <v>8</v>
      </c>
      <c r="D2227">
        <v>20180</v>
      </c>
      <c r="E2227" s="143">
        <v>72000</v>
      </c>
      <c r="F2227" s="117">
        <v>1403</v>
      </c>
      <c r="G2227" s="360" t="s">
        <v>297</v>
      </c>
      <c r="H2227" s="144">
        <f>bargiri[[#This Row],[میزان بارگیری شده]]*bargiri[[#This Row],[فی]]</f>
        <v>1452960000</v>
      </c>
      <c r="I2227" s="360">
        <f>IF(year=bargiri[[#This Row],[سال]],1,0)</f>
        <v>0</v>
      </c>
      <c r="J2227" s="360" t="str">
        <f>VLOOKUP(bargiri[[#This Row],[شماره پیش فاکتور]],invoice[],16,0)</f>
        <v>عادی</v>
      </c>
      <c r="K2227" s="252">
        <f>bargiri[[#This Row],[فی]]*bargiri[[#This Row],[میزان بارگیری شده]]</f>
        <v>1452960000</v>
      </c>
      <c r="Z2227" s="1"/>
    </row>
    <row r="2228" spans="1:26" ht="18.600000000000001">
      <c r="A2228" s="360" t="s">
        <v>172</v>
      </c>
      <c r="B2228" s="360" t="s">
        <v>113</v>
      </c>
      <c r="C2228" s="355" t="s">
        <v>61</v>
      </c>
      <c r="D2228">
        <v>20305</v>
      </c>
      <c r="E2228" s="143">
        <v>75000</v>
      </c>
      <c r="F2228" s="117">
        <v>1403</v>
      </c>
      <c r="G2228" s="360" t="s">
        <v>297</v>
      </c>
      <c r="H2228" s="144">
        <f>bargiri[[#This Row],[میزان بارگیری شده]]*bargiri[[#This Row],[فی]]</f>
        <v>1522875000</v>
      </c>
      <c r="I2228" s="360">
        <f>IF(year=bargiri[[#This Row],[سال]],1,0)</f>
        <v>0</v>
      </c>
      <c r="J2228" s="360" t="str">
        <f>VLOOKUP(bargiri[[#This Row],[شماره پیش فاکتور]],invoice[],16,0)</f>
        <v>عادی</v>
      </c>
      <c r="K2228" s="252">
        <f>bargiri[[#This Row],[فی]]*bargiri[[#This Row],[میزان بارگیری شده]]</f>
        <v>1522875000</v>
      </c>
      <c r="Z2228" s="1"/>
    </row>
    <row r="2229" spans="1:26" ht="18.600000000000001">
      <c r="A2229" s="360" t="s">
        <v>365</v>
      </c>
      <c r="B2229" s="360" t="s">
        <v>116</v>
      </c>
      <c r="C2229" s="355" t="s">
        <v>77</v>
      </c>
      <c r="D2229">
        <v>20115</v>
      </c>
      <c r="E2229" s="143">
        <v>68500</v>
      </c>
      <c r="F2229" s="117">
        <v>1403</v>
      </c>
      <c r="G2229" s="360" t="s">
        <v>297</v>
      </c>
      <c r="H2229" s="144">
        <f>bargiri[[#This Row],[میزان بارگیری شده]]*bargiri[[#This Row],[فی]]</f>
        <v>1377877500</v>
      </c>
      <c r="I2229" s="360">
        <f>IF(year=bargiri[[#This Row],[سال]],1,0)</f>
        <v>0</v>
      </c>
      <c r="J2229" s="360" t="str">
        <f>VLOOKUP(bargiri[[#This Row],[شماره پیش فاکتور]],invoice[],16,0)</f>
        <v>عادی</v>
      </c>
      <c r="K2229" s="252">
        <f>bargiri[[#This Row],[فی]]*bargiri[[#This Row],[میزان بارگیری شده]]</f>
        <v>1377877500</v>
      </c>
      <c r="Z2229" s="1"/>
    </row>
    <row r="2230" spans="1:26" ht="18.600000000000001">
      <c r="A2230" s="360" t="s">
        <v>365</v>
      </c>
      <c r="B2230" s="360" t="s">
        <v>107</v>
      </c>
      <c r="C2230" s="355" t="s">
        <v>50</v>
      </c>
      <c r="D2230">
        <v>18980</v>
      </c>
      <c r="E2230" s="143">
        <v>70000</v>
      </c>
      <c r="F2230" s="117">
        <v>1403</v>
      </c>
      <c r="G2230" s="360" t="s">
        <v>297</v>
      </c>
      <c r="H2230" s="144">
        <f>bargiri[[#This Row],[میزان بارگیری شده]]*bargiri[[#This Row],[فی]]</f>
        <v>1328600000</v>
      </c>
      <c r="I2230" s="360">
        <f>IF(year=bargiri[[#This Row],[سال]],1,0)</f>
        <v>0</v>
      </c>
      <c r="J2230" s="360" t="str">
        <f>VLOOKUP(bargiri[[#This Row],[شماره پیش فاکتور]],invoice[],16,0)</f>
        <v>عادی</v>
      </c>
      <c r="K2230" s="252">
        <f>bargiri[[#This Row],[فی]]*bargiri[[#This Row],[میزان بارگیری شده]]</f>
        <v>1328600000</v>
      </c>
      <c r="Z2230" s="1"/>
    </row>
    <row r="2231" spans="1:26" ht="18.600000000000001">
      <c r="A2231" s="360" t="s">
        <v>365</v>
      </c>
      <c r="B2231" s="360" t="s">
        <v>111</v>
      </c>
      <c r="C2231" s="355" t="s">
        <v>59</v>
      </c>
      <c r="D2231">
        <v>9855</v>
      </c>
      <c r="E2231" s="143">
        <v>80000</v>
      </c>
      <c r="F2231" s="117">
        <v>1403</v>
      </c>
      <c r="G2231" s="360" t="s">
        <v>297</v>
      </c>
      <c r="H2231" s="144">
        <f>bargiri[[#This Row],[میزان بارگیری شده]]*bargiri[[#This Row],[فی]]</f>
        <v>788400000</v>
      </c>
      <c r="I2231" s="360">
        <f>IF(year=bargiri[[#This Row],[سال]],1,0)</f>
        <v>0</v>
      </c>
      <c r="J2231" s="360" t="str">
        <f>VLOOKUP(bargiri[[#This Row],[شماره پیش فاکتور]],invoice[],16,0)</f>
        <v>عادی</v>
      </c>
      <c r="K2231" s="252">
        <f>bargiri[[#This Row],[فی]]*bargiri[[#This Row],[میزان بارگیری شده]]</f>
        <v>788400000</v>
      </c>
      <c r="Z2231" s="1"/>
    </row>
    <row r="2232" spans="1:26" ht="18.600000000000001">
      <c r="A2232" s="360" t="s">
        <v>366</v>
      </c>
      <c r="B2232" s="360" t="s">
        <v>114</v>
      </c>
      <c r="C2232" s="355" t="s">
        <v>63</v>
      </c>
      <c r="D2232">
        <v>21985</v>
      </c>
      <c r="E2232" s="143">
        <v>75000</v>
      </c>
      <c r="F2232" s="117">
        <v>1403</v>
      </c>
      <c r="G2232" s="360" t="s">
        <v>297</v>
      </c>
      <c r="H2232" s="144">
        <f>bargiri[[#This Row],[میزان بارگیری شده]]*bargiri[[#This Row],[فی]]</f>
        <v>1648875000</v>
      </c>
      <c r="I2232" s="360">
        <f>IF(year=bargiri[[#This Row],[سال]],1,0)</f>
        <v>0</v>
      </c>
      <c r="J2232" s="360" t="str">
        <f>VLOOKUP(bargiri[[#This Row],[شماره پیش فاکتور]],invoice[],16,0)</f>
        <v>عادی</v>
      </c>
      <c r="K2232" s="252">
        <f>bargiri[[#This Row],[فی]]*bargiri[[#This Row],[میزان بارگیری شده]]</f>
        <v>1648875000</v>
      </c>
      <c r="Z2232" s="1"/>
    </row>
    <row r="2233" spans="1:26" ht="18.600000000000001">
      <c r="A2233" s="360" t="s">
        <v>366</v>
      </c>
      <c r="B2233" s="360" t="s">
        <v>122</v>
      </c>
      <c r="C2233" s="355" t="s">
        <v>91</v>
      </c>
      <c r="D2233">
        <v>20165</v>
      </c>
      <c r="E2233" s="143">
        <v>75000</v>
      </c>
      <c r="F2233" s="117">
        <v>1403</v>
      </c>
      <c r="G2233" s="360" t="s">
        <v>297</v>
      </c>
      <c r="H2233" s="144">
        <f>bargiri[[#This Row],[میزان بارگیری شده]]*bargiri[[#This Row],[فی]]</f>
        <v>1512375000</v>
      </c>
      <c r="I2233" s="360">
        <f>IF(year=bargiri[[#This Row],[سال]],1,0)</f>
        <v>0</v>
      </c>
      <c r="J2233" s="360" t="str">
        <f>VLOOKUP(bargiri[[#This Row],[شماره پیش فاکتور]],invoice[],16,0)</f>
        <v>عادی</v>
      </c>
      <c r="K2233" s="252">
        <f>bargiri[[#This Row],[فی]]*bargiri[[#This Row],[میزان بارگیری شده]]</f>
        <v>1512375000</v>
      </c>
      <c r="Z2233" s="1"/>
    </row>
    <row r="2234" spans="1:26" ht="18.600000000000001">
      <c r="A2234" s="360" t="s">
        <v>367</v>
      </c>
      <c r="B2234" s="360" t="s">
        <v>118</v>
      </c>
      <c r="C2234" s="355" t="s">
        <v>84</v>
      </c>
      <c r="D2234">
        <v>20440</v>
      </c>
      <c r="E2234" s="143">
        <v>57273</v>
      </c>
      <c r="F2234" s="117">
        <v>1403</v>
      </c>
      <c r="G2234" s="360" t="s">
        <v>297</v>
      </c>
      <c r="H2234" s="144">
        <f>bargiri[[#This Row],[میزان بارگیری شده]]*bargiri[[#This Row],[فی]]</f>
        <v>1170660120</v>
      </c>
      <c r="I2234" s="360">
        <f>IF(year=bargiri[[#This Row],[سال]],1,0)</f>
        <v>0</v>
      </c>
      <c r="J2234" s="360" t="str">
        <f>VLOOKUP(bargiri[[#This Row],[شماره پیش فاکتور]],invoice[],16,0)</f>
        <v>عادی</v>
      </c>
      <c r="K2234" s="252">
        <f>bargiri[[#This Row],[فی]]*bargiri[[#This Row],[میزان بارگیری شده]]</f>
        <v>1170660120</v>
      </c>
      <c r="Z2234" s="1"/>
    </row>
    <row r="2235" spans="1:26" ht="18.600000000000001">
      <c r="A2235" s="360" t="s">
        <v>367</v>
      </c>
      <c r="B2235" s="360" t="s">
        <v>118</v>
      </c>
      <c r="C2235" s="355" t="s">
        <v>84</v>
      </c>
      <c r="D2235">
        <v>20745</v>
      </c>
      <c r="E2235" s="143">
        <v>57273</v>
      </c>
      <c r="F2235" s="117">
        <v>1403</v>
      </c>
      <c r="G2235" s="360" t="s">
        <v>297</v>
      </c>
      <c r="H2235" s="144">
        <f>bargiri[[#This Row],[میزان بارگیری شده]]*bargiri[[#This Row],[فی]]</f>
        <v>1188128385</v>
      </c>
      <c r="I2235" s="360">
        <f>IF(year=bargiri[[#This Row],[سال]],1,0)</f>
        <v>0</v>
      </c>
      <c r="J2235" s="360" t="str">
        <f>VLOOKUP(bargiri[[#This Row],[شماره پیش فاکتور]],invoice[],16,0)</f>
        <v>عادی</v>
      </c>
      <c r="K2235" s="252">
        <f>bargiri[[#This Row],[فی]]*bargiri[[#This Row],[میزان بارگیری شده]]</f>
        <v>1188128385</v>
      </c>
      <c r="Z2235" s="1"/>
    </row>
    <row r="2236" spans="1:26" ht="18.600000000000001">
      <c r="A2236" s="360" t="s">
        <v>367</v>
      </c>
      <c r="B2236" s="360" t="s">
        <v>118</v>
      </c>
      <c r="C2236" s="355" t="s">
        <v>84</v>
      </c>
      <c r="D2236">
        <v>20485</v>
      </c>
      <c r="E2236" s="143">
        <v>57273</v>
      </c>
      <c r="F2236" s="117">
        <v>1403</v>
      </c>
      <c r="G2236" s="360" t="s">
        <v>297</v>
      </c>
      <c r="H2236" s="144">
        <f>bargiri[[#This Row],[میزان بارگیری شده]]*bargiri[[#This Row],[فی]]</f>
        <v>1173237405</v>
      </c>
      <c r="I2236" s="360">
        <f>IF(year=bargiri[[#This Row],[سال]],1,0)</f>
        <v>0</v>
      </c>
      <c r="J2236" s="360" t="str">
        <f>VLOOKUP(bargiri[[#This Row],[شماره پیش فاکتور]],invoice[],16,0)</f>
        <v>عادی</v>
      </c>
      <c r="K2236" s="252">
        <f>bargiri[[#This Row],[فی]]*bargiri[[#This Row],[میزان بارگیری شده]]</f>
        <v>1173237405</v>
      </c>
      <c r="Z2236" s="1"/>
    </row>
    <row r="2237" spans="1:26" ht="18.600000000000001">
      <c r="A2237" s="360" t="s">
        <v>367</v>
      </c>
      <c r="B2237" s="360" t="s">
        <v>120</v>
      </c>
      <c r="C2237" s="355" t="s">
        <v>88</v>
      </c>
      <c r="D2237">
        <v>9025</v>
      </c>
      <c r="E2237" s="143">
        <v>80000</v>
      </c>
      <c r="F2237" s="117">
        <v>1403</v>
      </c>
      <c r="G2237" s="360" t="s">
        <v>297</v>
      </c>
      <c r="H2237" s="144">
        <f>bargiri[[#This Row],[میزان بارگیری شده]]*bargiri[[#This Row],[فی]]</f>
        <v>722000000</v>
      </c>
      <c r="I2237" s="360">
        <f>IF(year=bargiri[[#This Row],[سال]],1,0)</f>
        <v>0</v>
      </c>
      <c r="J2237" s="360" t="str">
        <f>VLOOKUP(bargiri[[#This Row],[شماره پیش فاکتور]],invoice[],16,0)</f>
        <v>عادی</v>
      </c>
      <c r="K2237" s="252">
        <f>bargiri[[#This Row],[فی]]*bargiri[[#This Row],[میزان بارگیری شده]]</f>
        <v>722000000</v>
      </c>
      <c r="Z2237" s="1"/>
    </row>
    <row r="2238" spans="1:26" ht="18.600000000000001">
      <c r="A2238" s="360" t="s">
        <v>367</v>
      </c>
      <c r="B2238" s="360" t="s">
        <v>107</v>
      </c>
      <c r="C2238" s="355" t="s">
        <v>50</v>
      </c>
      <c r="D2238">
        <v>18910</v>
      </c>
      <c r="E2238" s="143">
        <v>70000</v>
      </c>
      <c r="F2238" s="117">
        <v>1403</v>
      </c>
      <c r="G2238" s="360" t="s">
        <v>297</v>
      </c>
      <c r="H2238" s="144">
        <f>bargiri[[#This Row],[میزان بارگیری شده]]*bargiri[[#This Row],[فی]]</f>
        <v>1323700000</v>
      </c>
      <c r="I2238" s="360">
        <f>IF(year=bargiri[[#This Row],[سال]],1,0)</f>
        <v>0</v>
      </c>
      <c r="J2238" s="360" t="str">
        <f>VLOOKUP(bargiri[[#This Row],[شماره پیش فاکتور]],invoice[],16,0)</f>
        <v>عادی</v>
      </c>
      <c r="K2238" s="252">
        <f>bargiri[[#This Row],[فی]]*bargiri[[#This Row],[میزان بارگیری شده]]</f>
        <v>1323700000</v>
      </c>
      <c r="Z2238" s="1"/>
    </row>
    <row r="2239" spans="1:26" ht="18.600000000000001">
      <c r="A2239" s="360" t="s">
        <v>367</v>
      </c>
      <c r="B2239" s="360" t="s">
        <v>106</v>
      </c>
      <c r="C2239" s="355" t="s">
        <v>46</v>
      </c>
      <c r="D2239">
        <v>20025</v>
      </c>
      <c r="E2239" s="143">
        <v>70000</v>
      </c>
      <c r="F2239" s="117">
        <v>1403</v>
      </c>
      <c r="G2239" s="360" t="s">
        <v>297</v>
      </c>
      <c r="H2239" s="144">
        <f>bargiri[[#This Row],[میزان بارگیری شده]]*bargiri[[#This Row],[فی]]</f>
        <v>1401750000</v>
      </c>
      <c r="I2239" s="360">
        <f>IF(year=bargiri[[#This Row],[سال]],1,0)</f>
        <v>0</v>
      </c>
      <c r="J2239" s="360" t="str">
        <f>VLOOKUP(bargiri[[#This Row],[شماره پیش فاکتور]],invoice[],16,0)</f>
        <v>عادی</v>
      </c>
      <c r="K2239" s="252">
        <f>bargiri[[#This Row],[فی]]*bargiri[[#This Row],[میزان بارگیری شده]]</f>
        <v>1401750000</v>
      </c>
      <c r="Z2239" s="1"/>
    </row>
    <row r="2240" spans="1:26" ht="18.600000000000001">
      <c r="A2240" s="360" t="s">
        <v>367</v>
      </c>
      <c r="B2240" s="360" t="s">
        <v>118</v>
      </c>
      <c r="C2240" s="355" t="s">
        <v>84</v>
      </c>
      <c r="D2240">
        <v>20800</v>
      </c>
      <c r="E2240" s="143">
        <v>57273</v>
      </c>
      <c r="F2240" s="117">
        <v>1403</v>
      </c>
      <c r="G2240" s="360" t="s">
        <v>297</v>
      </c>
      <c r="H2240" s="144">
        <f>bargiri[[#This Row],[میزان بارگیری شده]]*bargiri[[#This Row],[فی]]</f>
        <v>1191278400</v>
      </c>
      <c r="I2240" s="360">
        <f>IF(year=bargiri[[#This Row],[سال]],1,0)</f>
        <v>0</v>
      </c>
      <c r="J2240" s="360" t="str">
        <f>VLOOKUP(bargiri[[#This Row],[شماره پیش فاکتور]],invoice[],16,0)</f>
        <v>عادی</v>
      </c>
      <c r="K2240" s="252">
        <f>bargiri[[#This Row],[فی]]*bargiri[[#This Row],[میزان بارگیری شده]]</f>
        <v>1191278400</v>
      </c>
      <c r="Z2240" s="1"/>
    </row>
    <row r="2241" spans="1:26" ht="18.600000000000001">
      <c r="A2241" s="360" t="s">
        <v>367</v>
      </c>
      <c r="B2241" s="360" t="s">
        <v>118</v>
      </c>
      <c r="C2241" s="355" t="s">
        <v>84</v>
      </c>
      <c r="D2241">
        <v>20715</v>
      </c>
      <c r="E2241" s="143">
        <v>57273</v>
      </c>
      <c r="F2241" s="117">
        <v>1403</v>
      </c>
      <c r="G2241" s="360" t="s">
        <v>297</v>
      </c>
      <c r="H2241" s="144">
        <f>bargiri[[#This Row],[میزان بارگیری شده]]*bargiri[[#This Row],[فی]]</f>
        <v>1186410195</v>
      </c>
      <c r="I2241" s="360">
        <f>IF(year=bargiri[[#This Row],[سال]],1,0)</f>
        <v>0</v>
      </c>
      <c r="J2241" s="360" t="str">
        <f>VLOOKUP(bargiri[[#This Row],[شماره پیش فاکتور]],invoice[],16,0)</f>
        <v>عادی</v>
      </c>
      <c r="K2241" s="252">
        <f>bargiri[[#This Row],[فی]]*bargiri[[#This Row],[میزان بارگیری شده]]</f>
        <v>1186410195</v>
      </c>
      <c r="Z2241" s="1"/>
    </row>
    <row r="2242" spans="1:26" ht="18.600000000000001">
      <c r="A2242" s="360" t="s">
        <v>368</v>
      </c>
      <c r="B2242" s="360" t="s">
        <v>103</v>
      </c>
      <c r="C2242" s="355" t="s">
        <v>30</v>
      </c>
      <c r="D2242">
        <v>7550</v>
      </c>
      <c r="E2242" s="143">
        <v>70000</v>
      </c>
      <c r="F2242" s="117">
        <v>1403</v>
      </c>
      <c r="G2242" s="360" t="s">
        <v>297</v>
      </c>
      <c r="H2242" s="144">
        <f>bargiri[[#This Row],[میزان بارگیری شده]]*bargiri[[#This Row],[فی]]</f>
        <v>528500000</v>
      </c>
      <c r="I2242" s="360">
        <f>IF(year=bargiri[[#This Row],[سال]],1,0)</f>
        <v>0</v>
      </c>
      <c r="J2242" s="360" t="str">
        <f>VLOOKUP(bargiri[[#This Row],[شماره پیش فاکتور]],invoice[],16,0)</f>
        <v>عادی</v>
      </c>
      <c r="K2242" s="252">
        <f>bargiri[[#This Row],[فی]]*bargiri[[#This Row],[میزان بارگیری شده]]</f>
        <v>528500000</v>
      </c>
      <c r="Z2242" s="1"/>
    </row>
    <row r="2243" spans="1:26" ht="18.600000000000001">
      <c r="A2243" s="360" t="s">
        <v>157</v>
      </c>
      <c r="B2243" s="360" t="s">
        <v>108</v>
      </c>
      <c r="C2243" s="355" t="s">
        <v>53</v>
      </c>
      <c r="D2243">
        <v>20140</v>
      </c>
      <c r="E2243" s="143">
        <v>70000</v>
      </c>
      <c r="F2243" s="117">
        <v>1403</v>
      </c>
      <c r="G2243" s="360" t="s">
        <v>297</v>
      </c>
      <c r="H2243" s="144">
        <f>bargiri[[#This Row],[میزان بارگیری شده]]*bargiri[[#This Row],[فی]]</f>
        <v>1409800000</v>
      </c>
      <c r="I2243" s="360">
        <f>IF(year=bargiri[[#This Row],[سال]],1,0)</f>
        <v>0</v>
      </c>
      <c r="J2243" s="360" t="str">
        <f>VLOOKUP(bargiri[[#This Row],[شماره پیش فاکتور]],invoice[],16,0)</f>
        <v>عادی</v>
      </c>
      <c r="K2243" s="252">
        <f>bargiri[[#This Row],[فی]]*bargiri[[#This Row],[میزان بارگیری شده]]</f>
        <v>1409800000</v>
      </c>
      <c r="Z2243" s="1"/>
    </row>
    <row r="2244" spans="1:26" ht="18.600000000000001">
      <c r="A2244" s="360" t="s">
        <v>157</v>
      </c>
      <c r="B2244" s="360" t="s">
        <v>107</v>
      </c>
      <c r="C2244" s="355" t="s">
        <v>50</v>
      </c>
      <c r="D2244">
        <v>19010</v>
      </c>
      <c r="E2244" s="143">
        <v>70000</v>
      </c>
      <c r="F2244" s="117">
        <v>1403</v>
      </c>
      <c r="G2244" s="360" t="s">
        <v>297</v>
      </c>
      <c r="H2244" s="144">
        <f>bargiri[[#This Row],[میزان بارگیری شده]]*bargiri[[#This Row],[فی]]</f>
        <v>1330700000</v>
      </c>
      <c r="I2244" s="360">
        <f>IF(year=bargiri[[#This Row],[سال]],1,0)</f>
        <v>0</v>
      </c>
      <c r="J2244" s="360" t="str">
        <f>VLOOKUP(bargiri[[#This Row],[شماره پیش فاکتور]],invoice[],16,0)</f>
        <v>عادی</v>
      </c>
      <c r="K2244" s="252">
        <f>bargiri[[#This Row],[فی]]*bargiri[[#This Row],[میزان بارگیری شده]]</f>
        <v>1330700000</v>
      </c>
      <c r="Z2244" s="1"/>
    </row>
    <row r="2245" spans="1:26" ht="18.600000000000001">
      <c r="A2245" s="360" t="s">
        <v>173</v>
      </c>
      <c r="B2245" s="360" t="s">
        <v>116</v>
      </c>
      <c r="C2245" s="355" t="s">
        <v>74</v>
      </c>
      <c r="D2245">
        <v>16555</v>
      </c>
      <c r="E2245" s="143">
        <v>75000</v>
      </c>
      <c r="F2245" s="117">
        <v>1403</v>
      </c>
      <c r="G2245" s="360" t="s">
        <v>297</v>
      </c>
      <c r="H2245" s="144">
        <f>bargiri[[#This Row],[میزان بارگیری شده]]*bargiri[[#This Row],[فی]]</f>
        <v>1241625000</v>
      </c>
      <c r="I2245" s="360">
        <f>IF(year=bargiri[[#This Row],[سال]],1,0)</f>
        <v>0</v>
      </c>
      <c r="J2245" s="360" t="str">
        <f>VLOOKUP(bargiri[[#This Row],[شماره پیش فاکتور]],invoice[],16,0)</f>
        <v>بورس</v>
      </c>
      <c r="K2245" s="252">
        <f>bargiri[[#This Row],[فی]]*bargiri[[#This Row],[میزان بارگیری شده]]</f>
        <v>1241625000</v>
      </c>
      <c r="Z2245" s="1"/>
    </row>
    <row r="2246" spans="1:26" ht="18.600000000000001">
      <c r="A2246" s="360" t="s">
        <v>173</v>
      </c>
      <c r="B2246" s="360" t="s">
        <v>116</v>
      </c>
      <c r="C2246" s="355" t="s">
        <v>77</v>
      </c>
      <c r="D2246">
        <v>3480</v>
      </c>
      <c r="E2246" s="143">
        <v>68500</v>
      </c>
      <c r="F2246" s="117">
        <v>1403</v>
      </c>
      <c r="G2246" s="360" t="s">
        <v>297</v>
      </c>
      <c r="H2246" s="144">
        <f>bargiri[[#This Row],[میزان بارگیری شده]]*bargiri[[#This Row],[فی]]</f>
        <v>238380000</v>
      </c>
      <c r="I2246" s="360">
        <f>IF(year=bargiri[[#This Row],[سال]],1,0)</f>
        <v>0</v>
      </c>
      <c r="J2246" s="360" t="str">
        <f>VLOOKUP(bargiri[[#This Row],[شماره پیش فاکتور]],invoice[],16,0)</f>
        <v>عادی</v>
      </c>
      <c r="K2246" s="252">
        <f>bargiri[[#This Row],[فی]]*bargiri[[#This Row],[میزان بارگیری شده]]</f>
        <v>238380000</v>
      </c>
      <c r="Z2246" s="1"/>
    </row>
    <row r="2247" spans="1:26" ht="18.600000000000001">
      <c r="A2247" s="360" t="s">
        <v>173</v>
      </c>
      <c r="B2247" s="360" t="s">
        <v>122</v>
      </c>
      <c r="C2247" s="355" t="s">
        <v>91</v>
      </c>
      <c r="D2247">
        <v>10055</v>
      </c>
      <c r="E2247" s="143">
        <v>75000</v>
      </c>
      <c r="F2247" s="117">
        <v>1403</v>
      </c>
      <c r="G2247" s="360" t="s">
        <v>297</v>
      </c>
      <c r="H2247" s="144">
        <f>bargiri[[#This Row],[میزان بارگیری شده]]*bargiri[[#This Row],[فی]]</f>
        <v>754125000</v>
      </c>
      <c r="I2247" s="360">
        <f>IF(year=bargiri[[#This Row],[سال]],1,0)</f>
        <v>0</v>
      </c>
      <c r="J2247" s="360" t="str">
        <f>VLOOKUP(bargiri[[#This Row],[شماره پیش فاکتور]],invoice[],16,0)</f>
        <v>عادی</v>
      </c>
      <c r="K2247" s="252">
        <f>bargiri[[#This Row],[فی]]*bargiri[[#This Row],[میزان بارگیری شده]]</f>
        <v>754125000</v>
      </c>
      <c r="Z2247" s="1"/>
    </row>
    <row r="2248" spans="1:26" ht="18.600000000000001">
      <c r="A2248" s="360" t="s">
        <v>173</v>
      </c>
      <c r="B2248" s="360" t="s">
        <v>113</v>
      </c>
      <c r="C2248" s="355" t="s">
        <v>61</v>
      </c>
      <c r="D2248">
        <v>18710</v>
      </c>
      <c r="E2248" s="143">
        <v>75000</v>
      </c>
      <c r="F2248" s="117">
        <v>1403</v>
      </c>
      <c r="G2248" s="360" t="s">
        <v>297</v>
      </c>
      <c r="H2248" s="144">
        <f>bargiri[[#This Row],[میزان بارگیری شده]]*bargiri[[#This Row],[فی]]</f>
        <v>1403250000</v>
      </c>
      <c r="I2248" s="360">
        <f>IF(year=bargiri[[#This Row],[سال]],1,0)</f>
        <v>0</v>
      </c>
      <c r="J2248" s="360" t="str">
        <f>VLOOKUP(bargiri[[#This Row],[شماره پیش فاکتور]],invoice[],16,0)</f>
        <v>عادی</v>
      </c>
      <c r="K2248" s="252">
        <f>bargiri[[#This Row],[فی]]*bargiri[[#This Row],[میزان بارگیری شده]]</f>
        <v>1403250000</v>
      </c>
      <c r="Z2248" s="1"/>
    </row>
    <row r="2249" spans="1:26" ht="18.600000000000001">
      <c r="A2249" s="360" t="s">
        <v>173</v>
      </c>
      <c r="B2249" s="360" t="s">
        <v>101</v>
      </c>
      <c r="C2249" s="355" t="s">
        <v>19</v>
      </c>
      <c r="D2249">
        <v>20220</v>
      </c>
      <c r="E2249" s="143">
        <v>75000</v>
      </c>
      <c r="F2249" s="117">
        <v>1403</v>
      </c>
      <c r="G2249" s="360" t="s">
        <v>297</v>
      </c>
      <c r="H2249" s="144">
        <f>bargiri[[#This Row],[میزان بارگیری شده]]*bargiri[[#This Row],[فی]]</f>
        <v>1516500000</v>
      </c>
      <c r="I2249" s="360">
        <f>IF(year=bargiri[[#This Row],[سال]],1,0)</f>
        <v>0</v>
      </c>
      <c r="J2249" s="360" t="str">
        <f>VLOOKUP(bargiri[[#This Row],[شماره پیش فاکتور]],invoice[],16,0)</f>
        <v>عادی</v>
      </c>
      <c r="K2249" s="252">
        <f>bargiri[[#This Row],[فی]]*bargiri[[#This Row],[میزان بارگیری شده]]</f>
        <v>1516500000</v>
      </c>
      <c r="Z2249" s="1"/>
    </row>
    <row r="2250" spans="1:26" ht="18.600000000000001">
      <c r="A2250" s="360" t="s">
        <v>173</v>
      </c>
      <c r="B2250" s="360" t="s">
        <v>118</v>
      </c>
      <c r="C2250" s="355" t="s">
        <v>84</v>
      </c>
      <c r="D2250">
        <v>20475</v>
      </c>
      <c r="E2250" s="143">
        <v>57273</v>
      </c>
      <c r="F2250" s="117">
        <v>1403</v>
      </c>
      <c r="G2250" s="360" t="s">
        <v>297</v>
      </c>
      <c r="H2250" s="144">
        <f>bargiri[[#This Row],[میزان بارگیری شده]]*bargiri[[#This Row],[فی]]</f>
        <v>1172664675</v>
      </c>
      <c r="I2250" s="360">
        <f>IF(year=bargiri[[#This Row],[سال]],1,0)</f>
        <v>0</v>
      </c>
      <c r="J2250" s="360" t="str">
        <f>VLOOKUP(bargiri[[#This Row],[شماره پیش فاکتور]],invoice[],16,0)</f>
        <v>عادی</v>
      </c>
      <c r="K2250" s="252">
        <f>bargiri[[#This Row],[فی]]*bargiri[[#This Row],[میزان بارگیری شده]]</f>
        <v>1172664675</v>
      </c>
      <c r="Z2250" s="1"/>
    </row>
    <row r="2251" spans="1:26" ht="18.600000000000001">
      <c r="A2251" s="360" t="s">
        <v>173</v>
      </c>
      <c r="B2251" s="360" t="s">
        <v>118</v>
      </c>
      <c r="C2251" s="355" t="s">
        <v>84</v>
      </c>
      <c r="D2251">
        <v>20485</v>
      </c>
      <c r="E2251" s="143">
        <v>57273</v>
      </c>
      <c r="F2251" s="117">
        <v>1403</v>
      </c>
      <c r="G2251" s="360" t="s">
        <v>297</v>
      </c>
      <c r="H2251" s="144">
        <f>bargiri[[#This Row],[میزان بارگیری شده]]*bargiri[[#This Row],[فی]]</f>
        <v>1173237405</v>
      </c>
      <c r="I2251" s="360">
        <f>IF(year=bargiri[[#This Row],[سال]],1,0)</f>
        <v>0</v>
      </c>
      <c r="J2251" s="360" t="str">
        <f>VLOOKUP(bargiri[[#This Row],[شماره پیش فاکتور]],invoice[],16,0)</f>
        <v>عادی</v>
      </c>
      <c r="K2251" s="252">
        <f>bargiri[[#This Row],[فی]]*bargiri[[#This Row],[میزان بارگیری شده]]</f>
        <v>1173237405</v>
      </c>
      <c r="Z2251" s="1"/>
    </row>
    <row r="2252" spans="1:26" ht="18.600000000000001">
      <c r="A2252" s="360" t="s">
        <v>173</v>
      </c>
      <c r="B2252" s="360" t="s">
        <v>103</v>
      </c>
      <c r="C2252" s="355" t="s">
        <v>30</v>
      </c>
      <c r="D2252">
        <v>7500</v>
      </c>
      <c r="E2252" s="143">
        <v>70000</v>
      </c>
      <c r="F2252" s="117">
        <v>1403</v>
      </c>
      <c r="G2252" s="360" t="s">
        <v>297</v>
      </c>
      <c r="H2252" s="144">
        <f>bargiri[[#This Row],[میزان بارگیری شده]]*bargiri[[#This Row],[فی]]</f>
        <v>525000000</v>
      </c>
      <c r="I2252" s="360">
        <f>IF(year=bargiri[[#This Row],[سال]],1,0)</f>
        <v>0</v>
      </c>
      <c r="J2252" s="360" t="str">
        <f>VLOOKUP(bargiri[[#This Row],[شماره پیش فاکتور]],invoice[],16,0)</f>
        <v>عادی</v>
      </c>
      <c r="K2252" s="252">
        <f>bargiri[[#This Row],[فی]]*bargiri[[#This Row],[میزان بارگیری شده]]</f>
        <v>525000000</v>
      </c>
      <c r="Z2252" s="1"/>
    </row>
    <row r="2253" spans="1:26" ht="18.600000000000001">
      <c r="A2253" s="360" t="s">
        <v>173</v>
      </c>
      <c r="B2253" s="360" t="s">
        <v>122</v>
      </c>
      <c r="C2253" s="355" t="s">
        <v>91</v>
      </c>
      <c r="D2253">
        <v>10240</v>
      </c>
      <c r="E2253" s="143">
        <v>75000</v>
      </c>
      <c r="F2253" s="117">
        <v>1403</v>
      </c>
      <c r="G2253" s="360" t="s">
        <v>297</v>
      </c>
      <c r="H2253" s="144">
        <f>bargiri[[#This Row],[میزان بارگیری شده]]*bargiri[[#This Row],[فی]]</f>
        <v>768000000</v>
      </c>
      <c r="I2253" s="360">
        <f>IF(year=bargiri[[#This Row],[سال]],1,0)</f>
        <v>0</v>
      </c>
      <c r="J2253" s="360" t="str">
        <f>VLOOKUP(bargiri[[#This Row],[شماره پیش فاکتور]],invoice[],16,0)</f>
        <v>عادی</v>
      </c>
      <c r="K2253" s="252">
        <f>bargiri[[#This Row],[فی]]*bargiri[[#This Row],[میزان بارگیری شده]]</f>
        <v>768000000</v>
      </c>
      <c r="Z2253" s="1"/>
    </row>
    <row r="2254" spans="1:26" ht="18.600000000000001">
      <c r="A2254" s="360" t="s">
        <v>369</v>
      </c>
      <c r="B2254" s="360" t="s">
        <v>116</v>
      </c>
      <c r="C2254" s="355" t="s">
        <v>77</v>
      </c>
      <c r="D2254">
        <v>20045</v>
      </c>
      <c r="E2254" s="143">
        <v>68500</v>
      </c>
      <c r="F2254" s="117">
        <v>1403</v>
      </c>
      <c r="G2254" s="360" t="s">
        <v>297</v>
      </c>
      <c r="H2254" s="144">
        <f>bargiri[[#This Row],[میزان بارگیری شده]]*bargiri[[#This Row],[فی]]</f>
        <v>1373082500</v>
      </c>
      <c r="I2254" s="360">
        <f>IF(year=bargiri[[#This Row],[سال]],1,0)</f>
        <v>0</v>
      </c>
      <c r="J2254" s="360" t="str">
        <f>VLOOKUP(bargiri[[#This Row],[شماره پیش فاکتور]],invoice[],16,0)</f>
        <v>عادی</v>
      </c>
      <c r="K2254" s="252">
        <f>bargiri[[#This Row],[فی]]*bargiri[[#This Row],[میزان بارگیری شده]]</f>
        <v>1373082500</v>
      </c>
      <c r="Z2254" s="1"/>
    </row>
    <row r="2255" spans="1:26" ht="18.600000000000001">
      <c r="A2255" s="360" t="s">
        <v>369</v>
      </c>
      <c r="B2255" s="360" t="s">
        <v>107</v>
      </c>
      <c r="C2255" s="355" t="s">
        <v>50</v>
      </c>
      <c r="D2255">
        <v>18560</v>
      </c>
      <c r="E2255" s="143">
        <v>70000</v>
      </c>
      <c r="F2255" s="117">
        <v>1403</v>
      </c>
      <c r="G2255" s="360" t="s">
        <v>297</v>
      </c>
      <c r="H2255" s="144">
        <f>bargiri[[#This Row],[میزان بارگیری شده]]*bargiri[[#This Row],[فی]]</f>
        <v>1299200000</v>
      </c>
      <c r="I2255" s="360">
        <f>IF(year=bargiri[[#This Row],[سال]],1,0)</f>
        <v>0</v>
      </c>
      <c r="J2255" s="360" t="str">
        <f>VLOOKUP(bargiri[[#This Row],[شماره پیش فاکتور]],invoice[],16,0)</f>
        <v>عادی</v>
      </c>
      <c r="K2255" s="252">
        <f>bargiri[[#This Row],[فی]]*bargiri[[#This Row],[میزان بارگیری شده]]</f>
        <v>1299200000</v>
      </c>
      <c r="Z2255" s="1"/>
    </row>
    <row r="2256" spans="1:26" ht="18.600000000000001">
      <c r="A2256" s="360" t="s">
        <v>369</v>
      </c>
      <c r="B2256" s="360" t="s">
        <v>118</v>
      </c>
      <c r="C2256" s="355" t="s">
        <v>84</v>
      </c>
      <c r="D2256">
        <v>20980</v>
      </c>
      <c r="E2256" s="143">
        <v>57273</v>
      </c>
      <c r="F2256" s="117">
        <v>1403</v>
      </c>
      <c r="G2256" s="360" t="s">
        <v>297</v>
      </c>
      <c r="H2256" s="144">
        <f>bargiri[[#This Row],[میزان بارگیری شده]]*bargiri[[#This Row],[فی]]</f>
        <v>1201587540</v>
      </c>
      <c r="I2256" s="360">
        <f>IF(year=bargiri[[#This Row],[سال]],1,0)</f>
        <v>0</v>
      </c>
      <c r="J2256" s="360" t="str">
        <f>VLOOKUP(bargiri[[#This Row],[شماره پیش فاکتور]],invoice[],16,0)</f>
        <v>عادی</v>
      </c>
      <c r="K2256" s="252">
        <f>bargiri[[#This Row],[فی]]*bargiri[[#This Row],[میزان بارگیری شده]]</f>
        <v>1201587540</v>
      </c>
      <c r="Z2256" s="1"/>
    </row>
    <row r="2257" spans="1:26" ht="18.600000000000001">
      <c r="A2257" s="360" t="s">
        <v>369</v>
      </c>
      <c r="B2257" s="360" t="s">
        <v>118</v>
      </c>
      <c r="C2257" s="355" t="s">
        <v>84</v>
      </c>
      <c r="D2257">
        <v>20760</v>
      </c>
      <c r="E2257" s="143">
        <v>57273</v>
      </c>
      <c r="F2257" s="117">
        <v>1403</v>
      </c>
      <c r="G2257" s="360" t="s">
        <v>297</v>
      </c>
      <c r="H2257" s="144">
        <f>bargiri[[#This Row],[میزان بارگیری شده]]*bargiri[[#This Row],[فی]]</f>
        <v>1188987480</v>
      </c>
      <c r="I2257" s="360">
        <f>IF(year=bargiri[[#This Row],[سال]],1,0)</f>
        <v>0</v>
      </c>
      <c r="J2257" s="360" t="str">
        <f>VLOOKUP(bargiri[[#This Row],[شماره پیش فاکتور]],invoice[],16,0)</f>
        <v>عادی</v>
      </c>
      <c r="K2257" s="252">
        <f>bargiri[[#This Row],[فی]]*bargiri[[#This Row],[میزان بارگیری شده]]</f>
        <v>1188987480</v>
      </c>
      <c r="Z2257" s="1"/>
    </row>
    <row r="2258" spans="1:26" ht="18.600000000000001">
      <c r="A2258" s="360" t="s">
        <v>223</v>
      </c>
      <c r="B2258" s="360" t="s">
        <v>117</v>
      </c>
      <c r="C2258" s="355" t="s">
        <v>81</v>
      </c>
      <c r="D2258">
        <v>8335</v>
      </c>
      <c r="E2258" s="143">
        <v>70000</v>
      </c>
      <c r="F2258" s="117">
        <v>1403</v>
      </c>
      <c r="G2258" s="360" t="s">
        <v>298</v>
      </c>
      <c r="H2258" s="144">
        <f>bargiri[[#This Row],[میزان بارگیری شده]]*bargiri[[#This Row],[فی]]</f>
        <v>583450000</v>
      </c>
      <c r="I2258" s="360">
        <f>IF(year=bargiri[[#This Row],[سال]],1,0)</f>
        <v>0</v>
      </c>
      <c r="J2258" s="360" t="str">
        <f>VLOOKUP(bargiri[[#This Row],[شماره پیش فاکتور]],invoice[],16,0)</f>
        <v>عادی</v>
      </c>
      <c r="K2258" s="252">
        <f>bargiri[[#This Row],[فی]]*bargiri[[#This Row],[میزان بارگیری شده]]</f>
        <v>583450000</v>
      </c>
      <c r="Z2258" s="1"/>
    </row>
    <row r="2259" spans="1:26" ht="18.600000000000001">
      <c r="A2259" s="360" t="s">
        <v>223</v>
      </c>
      <c r="B2259" s="360" t="s">
        <v>117</v>
      </c>
      <c r="C2259" s="355" t="s">
        <v>82</v>
      </c>
      <c r="D2259">
        <v>8320</v>
      </c>
      <c r="E2259" s="143">
        <v>70000</v>
      </c>
      <c r="F2259" s="117">
        <v>1403</v>
      </c>
      <c r="G2259" s="360" t="s">
        <v>298</v>
      </c>
      <c r="H2259" s="144">
        <f>bargiri[[#This Row],[میزان بارگیری شده]]*bargiri[[#This Row],[فی]]</f>
        <v>582400000</v>
      </c>
      <c r="I2259" s="360">
        <f>IF(year=bargiri[[#This Row],[سال]],1,0)</f>
        <v>0</v>
      </c>
      <c r="J2259" s="360" t="str">
        <f>VLOOKUP(bargiri[[#This Row],[شماره پیش فاکتور]],invoice[],16,0)</f>
        <v>عادی</v>
      </c>
      <c r="K2259" s="252">
        <f>bargiri[[#This Row],[فی]]*bargiri[[#This Row],[میزان بارگیری شده]]</f>
        <v>582400000</v>
      </c>
      <c r="Z2259" s="1"/>
    </row>
    <row r="2260" spans="1:26" ht="18.600000000000001">
      <c r="A2260" s="360" t="s">
        <v>223</v>
      </c>
      <c r="B2260" s="360" t="s">
        <v>117</v>
      </c>
      <c r="C2260" s="355" t="s">
        <v>79</v>
      </c>
      <c r="D2260">
        <v>3250</v>
      </c>
      <c r="E2260" s="143">
        <v>75000</v>
      </c>
      <c r="F2260" s="117">
        <v>1403</v>
      </c>
      <c r="G2260" s="360" t="s">
        <v>298</v>
      </c>
      <c r="H2260" s="144">
        <f>bargiri[[#This Row],[میزان بارگیری شده]]*bargiri[[#This Row],[فی]]</f>
        <v>243750000</v>
      </c>
      <c r="I2260" s="360">
        <f>IF(year=bargiri[[#This Row],[سال]],1,0)</f>
        <v>0</v>
      </c>
      <c r="J2260" s="360" t="str">
        <f>VLOOKUP(bargiri[[#This Row],[شماره پیش فاکتور]],invoice[],16,0)</f>
        <v>عادی</v>
      </c>
      <c r="K2260" s="252">
        <f>bargiri[[#This Row],[فی]]*bargiri[[#This Row],[میزان بارگیری شده]]</f>
        <v>243750000</v>
      </c>
      <c r="Z2260" s="1"/>
    </row>
    <row r="2261" spans="1:26" ht="18.600000000000001">
      <c r="A2261" s="360" t="s">
        <v>370</v>
      </c>
      <c r="B2261" s="360" t="s">
        <v>117</v>
      </c>
      <c r="C2261" s="355" t="s">
        <v>81</v>
      </c>
      <c r="D2261">
        <v>20175</v>
      </c>
      <c r="E2261" s="143">
        <v>70000</v>
      </c>
      <c r="F2261" s="117">
        <v>1403</v>
      </c>
      <c r="G2261" s="360" t="s">
        <v>298</v>
      </c>
      <c r="H2261" s="144">
        <f>bargiri[[#This Row],[میزان بارگیری شده]]*bargiri[[#This Row],[فی]]</f>
        <v>1412250000</v>
      </c>
      <c r="I2261" s="360">
        <f>IF(year=bargiri[[#This Row],[سال]],1,0)</f>
        <v>0</v>
      </c>
      <c r="J2261" s="360" t="str">
        <f>VLOOKUP(bargiri[[#This Row],[شماره پیش فاکتور]],invoice[],16,0)</f>
        <v>عادی</v>
      </c>
      <c r="K2261" s="252">
        <f>bargiri[[#This Row],[فی]]*bargiri[[#This Row],[میزان بارگیری شده]]</f>
        <v>1412250000</v>
      </c>
      <c r="Z2261" s="1"/>
    </row>
    <row r="2262" spans="1:26" ht="18.600000000000001">
      <c r="A2262" s="360" t="s">
        <v>371</v>
      </c>
      <c r="B2262" s="360" t="s">
        <v>117</v>
      </c>
      <c r="C2262" s="355" t="s">
        <v>81</v>
      </c>
      <c r="D2262">
        <v>20060</v>
      </c>
      <c r="E2262" s="143">
        <v>70000</v>
      </c>
      <c r="F2262" s="117">
        <v>1403</v>
      </c>
      <c r="G2262" s="360" t="s">
        <v>298</v>
      </c>
      <c r="H2262" s="144">
        <f>bargiri[[#This Row],[میزان بارگیری شده]]*bargiri[[#This Row],[فی]]</f>
        <v>1404200000</v>
      </c>
      <c r="I2262" s="360">
        <f>IF(year=bargiri[[#This Row],[سال]],1,0)</f>
        <v>0</v>
      </c>
      <c r="J2262" s="360" t="str">
        <f>VLOOKUP(bargiri[[#This Row],[شماره پیش فاکتور]],invoice[],16,0)</f>
        <v>عادی</v>
      </c>
      <c r="K2262" s="252">
        <f>bargiri[[#This Row],[فی]]*bargiri[[#This Row],[میزان بارگیری شده]]</f>
        <v>1404200000</v>
      </c>
      <c r="Z2262" s="1"/>
    </row>
    <row r="2263" spans="1:26" ht="18.600000000000001">
      <c r="A2263" s="360" t="s">
        <v>223</v>
      </c>
      <c r="B2263" s="360" t="s">
        <v>102</v>
      </c>
      <c r="C2263" s="355" t="s">
        <v>25</v>
      </c>
      <c r="D2263">
        <v>11920</v>
      </c>
      <c r="E2263" s="143">
        <v>65000</v>
      </c>
      <c r="F2263" s="117">
        <v>1403</v>
      </c>
      <c r="G2263" s="360" t="s">
        <v>298</v>
      </c>
      <c r="H2263" s="144">
        <f>bargiri[[#This Row],[میزان بارگیری شده]]*bargiri[[#This Row],[فی]]</f>
        <v>774800000</v>
      </c>
      <c r="I2263" s="360">
        <f>IF(year=bargiri[[#This Row],[سال]],1,0)</f>
        <v>0</v>
      </c>
      <c r="J2263" s="360" t="str">
        <f>VLOOKUP(bargiri[[#This Row],[شماره پیش فاکتور]],invoice[],16,0)</f>
        <v>عادی</v>
      </c>
      <c r="K2263" s="252">
        <f>bargiri[[#This Row],[فی]]*bargiri[[#This Row],[میزان بارگیری شده]]</f>
        <v>774800000</v>
      </c>
      <c r="Z2263" s="1"/>
    </row>
    <row r="2264" spans="1:26" ht="18.600000000000001">
      <c r="A2264" s="360" t="s">
        <v>223</v>
      </c>
      <c r="B2264" s="360" t="s">
        <v>106</v>
      </c>
      <c r="C2264" s="355" t="s">
        <v>46</v>
      </c>
      <c r="D2264">
        <v>20070</v>
      </c>
      <c r="E2264" s="143">
        <v>70000</v>
      </c>
      <c r="F2264" s="117">
        <v>1403</v>
      </c>
      <c r="G2264" s="360" t="s">
        <v>298</v>
      </c>
      <c r="H2264" s="144">
        <f>bargiri[[#This Row],[میزان بارگیری شده]]*bargiri[[#This Row],[فی]]</f>
        <v>1404900000</v>
      </c>
      <c r="I2264" s="360">
        <f>IF(year=bargiri[[#This Row],[سال]],1,0)</f>
        <v>0</v>
      </c>
      <c r="J2264" s="360" t="str">
        <f>VLOOKUP(bargiri[[#This Row],[شماره پیش فاکتور]],invoice[],16,0)</f>
        <v>عادی</v>
      </c>
      <c r="K2264" s="252">
        <f>bargiri[[#This Row],[فی]]*bargiri[[#This Row],[میزان بارگیری شده]]</f>
        <v>1404900000</v>
      </c>
      <c r="Z2264" s="1"/>
    </row>
    <row r="2265" spans="1:26" ht="18.600000000000001">
      <c r="A2265" s="360" t="s">
        <v>223</v>
      </c>
      <c r="B2265" s="360" t="s">
        <v>122</v>
      </c>
      <c r="C2265" s="355" t="s">
        <v>91</v>
      </c>
      <c r="D2265">
        <v>10070</v>
      </c>
      <c r="E2265" s="143">
        <v>75000</v>
      </c>
      <c r="F2265" s="117">
        <v>1403</v>
      </c>
      <c r="G2265" s="360" t="s">
        <v>298</v>
      </c>
      <c r="H2265" s="144">
        <f>bargiri[[#This Row],[میزان بارگیری شده]]*bargiri[[#This Row],[فی]]</f>
        <v>755250000</v>
      </c>
      <c r="I2265" s="360">
        <f>IF(year=bargiri[[#This Row],[سال]],1,0)</f>
        <v>0</v>
      </c>
      <c r="J2265" s="360" t="str">
        <f>VLOOKUP(bargiri[[#This Row],[شماره پیش فاکتور]],invoice[],16,0)</f>
        <v>عادی</v>
      </c>
      <c r="K2265" s="252">
        <f>bargiri[[#This Row],[فی]]*bargiri[[#This Row],[میزان بارگیری شده]]</f>
        <v>755250000</v>
      </c>
      <c r="Z2265" s="1"/>
    </row>
    <row r="2266" spans="1:26" ht="18.600000000000001">
      <c r="A2266" s="360" t="s">
        <v>223</v>
      </c>
      <c r="B2266" s="360" t="s">
        <v>116</v>
      </c>
      <c r="C2266" s="355" t="s">
        <v>77</v>
      </c>
      <c r="D2266">
        <v>19950</v>
      </c>
      <c r="E2266" s="143">
        <v>68500</v>
      </c>
      <c r="F2266" s="117">
        <v>1403</v>
      </c>
      <c r="G2266" s="360" t="s">
        <v>298</v>
      </c>
      <c r="H2266" s="144">
        <f>bargiri[[#This Row],[میزان بارگیری شده]]*bargiri[[#This Row],[فی]]</f>
        <v>1366575000</v>
      </c>
      <c r="I2266" s="360">
        <f>IF(year=bargiri[[#This Row],[سال]],1,0)</f>
        <v>0</v>
      </c>
      <c r="J2266" s="360" t="str">
        <f>VLOOKUP(bargiri[[#This Row],[شماره پیش فاکتور]],invoice[],16,0)</f>
        <v>عادی</v>
      </c>
      <c r="K2266" s="252">
        <f>bargiri[[#This Row],[فی]]*bargiri[[#This Row],[میزان بارگیری شده]]</f>
        <v>1366575000</v>
      </c>
      <c r="Z2266" s="1"/>
    </row>
    <row r="2267" spans="1:26" ht="18.600000000000001">
      <c r="A2267" s="360" t="s">
        <v>223</v>
      </c>
      <c r="B2267" s="360" t="s">
        <v>106</v>
      </c>
      <c r="C2267" s="355" t="s">
        <v>46</v>
      </c>
      <c r="D2267">
        <v>18065</v>
      </c>
      <c r="E2267" s="143">
        <v>70000</v>
      </c>
      <c r="F2267" s="117">
        <v>1403</v>
      </c>
      <c r="G2267" s="360" t="s">
        <v>298</v>
      </c>
      <c r="H2267" s="144">
        <f>bargiri[[#This Row],[میزان بارگیری شده]]*bargiri[[#This Row],[فی]]</f>
        <v>1264550000</v>
      </c>
      <c r="I2267" s="360">
        <f>IF(year=bargiri[[#This Row],[سال]],1,0)</f>
        <v>0</v>
      </c>
      <c r="J2267" s="360" t="str">
        <f>VLOOKUP(bargiri[[#This Row],[شماره پیش فاکتور]],invoice[],16,0)</f>
        <v>عادی</v>
      </c>
      <c r="K2267" s="252">
        <f>bargiri[[#This Row],[فی]]*bargiri[[#This Row],[میزان بارگیری شده]]</f>
        <v>1264550000</v>
      </c>
      <c r="Z2267" s="1"/>
    </row>
    <row r="2268" spans="1:26" ht="18.600000000000001">
      <c r="A2268" s="360" t="s">
        <v>223</v>
      </c>
      <c r="B2268" s="360" t="s">
        <v>116</v>
      </c>
      <c r="C2268" s="355" t="s">
        <v>77</v>
      </c>
      <c r="D2268">
        <v>20120</v>
      </c>
      <c r="E2268" s="143">
        <v>68500</v>
      </c>
      <c r="F2268" s="117">
        <v>1403</v>
      </c>
      <c r="G2268" s="360" t="s">
        <v>298</v>
      </c>
      <c r="H2268" s="144">
        <f>bargiri[[#This Row],[میزان بارگیری شده]]*bargiri[[#This Row],[فی]]</f>
        <v>1378220000</v>
      </c>
      <c r="I2268" s="360">
        <f>IF(year=bargiri[[#This Row],[سال]],1,0)</f>
        <v>0</v>
      </c>
      <c r="J2268" s="360" t="str">
        <f>VLOOKUP(bargiri[[#This Row],[شماره پیش فاکتور]],invoice[],16,0)</f>
        <v>عادی</v>
      </c>
      <c r="K2268" s="252">
        <f>bargiri[[#This Row],[فی]]*bargiri[[#This Row],[میزان بارگیری شده]]</f>
        <v>1378220000</v>
      </c>
      <c r="Z2268" s="1"/>
    </row>
    <row r="2269" spans="1:26" ht="18.600000000000001">
      <c r="A2269" s="360" t="s">
        <v>154</v>
      </c>
      <c r="B2269" s="360" t="s">
        <v>116</v>
      </c>
      <c r="C2269" s="355" t="s">
        <v>77</v>
      </c>
      <c r="D2269">
        <v>19980</v>
      </c>
      <c r="E2269" s="143">
        <v>68500</v>
      </c>
      <c r="F2269" s="117">
        <v>1403</v>
      </c>
      <c r="G2269" s="360" t="s">
        <v>298</v>
      </c>
      <c r="H2269" s="144">
        <f>bargiri[[#This Row],[میزان بارگیری شده]]*bargiri[[#This Row],[فی]]</f>
        <v>1368630000</v>
      </c>
      <c r="I2269" s="360">
        <f>IF(year=bargiri[[#This Row],[سال]],1,0)</f>
        <v>0</v>
      </c>
      <c r="J2269" s="360" t="str">
        <f>VLOOKUP(bargiri[[#This Row],[شماره پیش فاکتور]],invoice[],16,0)</f>
        <v>عادی</v>
      </c>
      <c r="K2269" s="252">
        <f>bargiri[[#This Row],[فی]]*bargiri[[#This Row],[میزان بارگیری شده]]</f>
        <v>1368630000</v>
      </c>
      <c r="Z2269" s="1"/>
    </row>
    <row r="2270" spans="1:26" ht="18.600000000000001">
      <c r="A2270" s="360" t="s">
        <v>154</v>
      </c>
      <c r="B2270" s="360" t="s">
        <v>116</v>
      </c>
      <c r="C2270" s="355" t="s">
        <v>77</v>
      </c>
      <c r="D2270">
        <v>20060</v>
      </c>
      <c r="E2270" s="143">
        <v>68500</v>
      </c>
      <c r="F2270" s="117">
        <v>1403</v>
      </c>
      <c r="G2270" s="360" t="s">
        <v>298</v>
      </c>
      <c r="H2270" s="144">
        <f>bargiri[[#This Row],[میزان بارگیری شده]]*bargiri[[#This Row],[فی]]</f>
        <v>1374110000</v>
      </c>
      <c r="I2270" s="360">
        <f>IF(year=bargiri[[#This Row],[سال]],1,0)</f>
        <v>0</v>
      </c>
      <c r="J2270" s="360" t="str">
        <f>VLOOKUP(bargiri[[#This Row],[شماره پیش فاکتور]],invoice[],16,0)</f>
        <v>عادی</v>
      </c>
      <c r="K2270" s="252">
        <f>bargiri[[#This Row],[فی]]*bargiri[[#This Row],[میزان بارگیری شده]]</f>
        <v>1374110000</v>
      </c>
      <c r="Z2270" s="1"/>
    </row>
    <row r="2271" spans="1:26" ht="18.600000000000001">
      <c r="A2271" s="360" t="s">
        <v>167</v>
      </c>
      <c r="B2271" s="360" t="s">
        <v>115</v>
      </c>
      <c r="C2271" s="355" t="s">
        <v>64</v>
      </c>
      <c r="D2271">
        <v>18725</v>
      </c>
      <c r="E2271" s="143">
        <v>75000</v>
      </c>
      <c r="F2271" s="117">
        <v>1403</v>
      </c>
      <c r="G2271" s="360" t="s">
        <v>298</v>
      </c>
      <c r="H2271" s="144">
        <f>bargiri[[#This Row],[میزان بارگیری شده]]*bargiri[[#This Row],[فی]]</f>
        <v>1404375000</v>
      </c>
      <c r="I2271" s="360">
        <f>IF(year=bargiri[[#This Row],[سال]],1,0)</f>
        <v>0</v>
      </c>
      <c r="J2271" s="360" t="str">
        <f>VLOOKUP(bargiri[[#This Row],[شماره پیش فاکتور]],invoice[],16,0)</f>
        <v>عادی</v>
      </c>
      <c r="K2271" s="252">
        <f>bargiri[[#This Row],[فی]]*bargiri[[#This Row],[میزان بارگیری شده]]</f>
        <v>1404375000</v>
      </c>
      <c r="Z2271" s="1"/>
    </row>
    <row r="2272" spans="1:26" ht="18.600000000000001">
      <c r="A2272" s="360" t="s">
        <v>167</v>
      </c>
      <c r="B2272" s="360" t="s">
        <v>115</v>
      </c>
      <c r="C2272" s="355" t="s">
        <v>65</v>
      </c>
      <c r="D2272">
        <v>4585</v>
      </c>
      <c r="E2272" s="143">
        <v>75000</v>
      </c>
      <c r="F2272" s="117">
        <v>1403</v>
      </c>
      <c r="G2272" s="360" t="s">
        <v>298</v>
      </c>
      <c r="H2272" s="144">
        <f>bargiri[[#This Row],[میزان بارگیری شده]]*bargiri[[#This Row],[فی]]</f>
        <v>343875000</v>
      </c>
      <c r="I2272" s="360">
        <f>IF(year=bargiri[[#This Row],[سال]],1,0)</f>
        <v>0</v>
      </c>
      <c r="J2272" s="360" t="str">
        <f>VLOOKUP(bargiri[[#This Row],[شماره پیش فاکتور]],invoice[],16,0)</f>
        <v>عادی</v>
      </c>
      <c r="K2272" s="252">
        <f>bargiri[[#This Row],[فی]]*bargiri[[#This Row],[میزان بارگیری شده]]</f>
        <v>343875000</v>
      </c>
      <c r="Z2272" s="1"/>
    </row>
    <row r="2273" spans="1:26" ht="18.600000000000001">
      <c r="A2273" s="360" t="s">
        <v>154</v>
      </c>
      <c r="B2273" s="360" t="s">
        <v>120</v>
      </c>
      <c r="C2273" s="355" t="s">
        <v>88</v>
      </c>
      <c r="D2273">
        <v>9020</v>
      </c>
      <c r="E2273" s="143">
        <v>80000</v>
      </c>
      <c r="F2273" s="117">
        <v>1403</v>
      </c>
      <c r="G2273" s="360" t="s">
        <v>298</v>
      </c>
      <c r="H2273" s="144">
        <f>bargiri[[#This Row],[میزان بارگیری شده]]*bargiri[[#This Row],[فی]]</f>
        <v>721600000</v>
      </c>
      <c r="I2273" s="360">
        <f>IF(year=bargiri[[#This Row],[سال]],1,0)</f>
        <v>0</v>
      </c>
      <c r="J2273" s="360" t="str">
        <f>VLOOKUP(bargiri[[#This Row],[شماره پیش فاکتور]],invoice[],16,0)</f>
        <v>عادی</v>
      </c>
      <c r="K2273" s="252">
        <f>bargiri[[#This Row],[فی]]*bargiri[[#This Row],[میزان بارگیری شده]]</f>
        <v>721600000</v>
      </c>
      <c r="Z2273" s="1"/>
    </row>
    <row r="2274" spans="1:26" ht="18.600000000000001">
      <c r="A2274" s="360" t="s">
        <v>154</v>
      </c>
      <c r="B2274" s="360" t="s">
        <v>107</v>
      </c>
      <c r="C2274" s="355" t="s">
        <v>50</v>
      </c>
      <c r="D2274">
        <v>19075</v>
      </c>
      <c r="E2274" s="143">
        <v>70000</v>
      </c>
      <c r="F2274" s="117">
        <v>1403</v>
      </c>
      <c r="G2274" s="360" t="s">
        <v>298</v>
      </c>
      <c r="H2274" s="144">
        <f>bargiri[[#This Row],[میزان بارگیری شده]]*bargiri[[#This Row],[فی]]</f>
        <v>1335250000</v>
      </c>
      <c r="I2274" s="360">
        <f>IF(year=bargiri[[#This Row],[سال]],1,0)</f>
        <v>0</v>
      </c>
      <c r="J2274" s="360" t="str">
        <f>VLOOKUP(bargiri[[#This Row],[شماره پیش فاکتور]],invoice[],16,0)</f>
        <v>عادی</v>
      </c>
      <c r="K2274" s="252">
        <f>bargiri[[#This Row],[فی]]*bargiri[[#This Row],[میزان بارگیری شده]]</f>
        <v>1335250000</v>
      </c>
      <c r="Z2274" s="1"/>
    </row>
    <row r="2275" spans="1:26" ht="18.600000000000001">
      <c r="A2275" s="360" t="s">
        <v>154</v>
      </c>
      <c r="B2275" s="360" t="s">
        <v>120</v>
      </c>
      <c r="C2275" s="355" t="s">
        <v>88</v>
      </c>
      <c r="D2275">
        <v>9125</v>
      </c>
      <c r="E2275" s="143">
        <v>80000</v>
      </c>
      <c r="F2275" s="117">
        <v>1403</v>
      </c>
      <c r="G2275" s="360" t="s">
        <v>298</v>
      </c>
      <c r="H2275" s="144">
        <f>bargiri[[#This Row],[میزان بارگیری شده]]*bargiri[[#This Row],[فی]]</f>
        <v>730000000</v>
      </c>
      <c r="I2275" s="360">
        <f>IF(year=bargiri[[#This Row],[سال]],1,0)</f>
        <v>0</v>
      </c>
      <c r="J2275" s="360" t="str">
        <f>VLOOKUP(bargiri[[#This Row],[شماره پیش فاکتور]],invoice[],16,0)</f>
        <v>عادی</v>
      </c>
      <c r="K2275" s="252">
        <f>bargiri[[#This Row],[فی]]*bargiri[[#This Row],[میزان بارگیری شده]]</f>
        <v>730000000</v>
      </c>
      <c r="Z2275" s="1"/>
    </row>
    <row r="2276" spans="1:26" ht="18.600000000000001">
      <c r="A2276" s="360" t="s">
        <v>214</v>
      </c>
      <c r="B2276" s="360" t="s">
        <v>114</v>
      </c>
      <c r="C2276" s="355" t="s">
        <v>63</v>
      </c>
      <c r="D2276">
        <v>23670</v>
      </c>
      <c r="E2276" s="143">
        <v>75000</v>
      </c>
      <c r="F2276" s="117">
        <v>1403</v>
      </c>
      <c r="G2276" s="360" t="s">
        <v>298</v>
      </c>
      <c r="H2276" s="144">
        <f>bargiri[[#This Row],[میزان بارگیری شده]]*bargiri[[#This Row],[فی]]</f>
        <v>1775250000</v>
      </c>
      <c r="I2276" s="360">
        <f>IF(year=bargiri[[#This Row],[سال]],1,0)</f>
        <v>0</v>
      </c>
      <c r="J2276" s="360" t="str">
        <f>VLOOKUP(bargiri[[#This Row],[شماره پیش فاکتور]],invoice[],16,0)</f>
        <v>عادی</v>
      </c>
      <c r="K2276" s="252">
        <f>bargiri[[#This Row],[فی]]*bargiri[[#This Row],[میزان بارگیری شده]]</f>
        <v>1775250000</v>
      </c>
      <c r="Z2276" s="1"/>
    </row>
    <row r="2277" spans="1:26" ht="18.600000000000001">
      <c r="A2277" s="360" t="s">
        <v>370</v>
      </c>
      <c r="B2277" s="360" t="s">
        <v>118</v>
      </c>
      <c r="C2277" s="355" t="s">
        <v>84</v>
      </c>
      <c r="D2277">
        <v>21095</v>
      </c>
      <c r="E2277" s="143">
        <v>57273</v>
      </c>
      <c r="F2277" s="117">
        <v>1403</v>
      </c>
      <c r="G2277" s="360" t="s">
        <v>298</v>
      </c>
      <c r="H2277" s="144">
        <f>bargiri[[#This Row],[میزان بارگیری شده]]*bargiri[[#This Row],[فی]]</f>
        <v>1208173935</v>
      </c>
      <c r="I2277" s="360">
        <f>IF(year=bargiri[[#This Row],[سال]],1,0)</f>
        <v>0</v>
      </c>
      <c r="J2277" s="360" t="str">
        <f>VLOOKUP(bargiri[[#This Row],[شماره پیش فاکتور]],invoice[],16,0)</f>
        <v>عادی</v>
      </c>
      <c r="K2277" s="252">
        <f>bargiri[[#This Row],[فی]]*bargiri[[#This Row],[میزان بارگیری شده]]</f>
        <v>1208173935</v>
      </c>
      <c r="Z2277" s="1"/>
    </row>
    <row r="2278" spans="1:26" ht="18.600000000000001">
      <c r="A2278" s="360" t="s">
        <v>370</v>
      </c>
      <c r="B2278" s="360" t="s">
        <v>116</v>
      </c>
      <c r="C2278" s="355" t="s">
        <v>77</v>
      </c>
      <c r="D2278">
        <v>18090</v>
      </c>
      <c r="E2278" s="143">
        <v>68500</v>
      </c>
      <c r="F2278" s="117">
        <v>1403</v>
      </c>
      <c r="G2278" s="360" t="s">
        <v>298</v>
      </c>
      <c r="H2278" s="144">
        <f>bargiri[[#This Row],[میزان بارگیری شده]]*bargiri[[#This Row],[فی]]</f>
        <v>1239165000</v>
      </c>
      <c r="I2278" s="360">
        <f>IF(year=bargiri[[#This Row],[سال]],1,0)</f>
        <v>0</v>
      </c>
      <c r="J2278" s="360" t="str">
        <f>VLOOKUP(bargiri[[#This Row],[شماره پیش فاکتور]],invoice[],16,0)</f>
        <v>عادی</v>
      </c>
      <c r="K2278" s="252">
        <f>bargiri[[#This Row],[فی]]*bargiri[[#This Row],[میزان بارگیری شده]]</f>
        <v>1239165000</v>
      </c>
      <c r="Z2278" s="1"/>
    </row>
    <row r="2279" spans="1:26" ht="18.600000000000001">
      <c r="A2279" s="360" t="s">
        <v>154</v>
      </c>
      <c r="B2279" s="360" t="s">
        <v>110</v>
      </c>
      <c r="C2279" s="355" t="s">
        <v>57</v>
      </c>
      <c r="D2279">
        <v>20355</v>
      </c>
      <c r="E2279" s="143">
        <v>78000</v>
      </c>
      <c r="F2279" s="117">
        <v>1403</v>
      </c>
      <c r="G2279" s="360" t="s">
        <v>298</v>
      </c>
      <c r="H2279" s="144">
        <f>bargiri[[#This Row],[میزان بارگیری شده]]*bargiri[[#This Row],[فی]]</f>
        <v>1587690000</v>
      </c>
      <c r="I2279" s="360">
        <f>IF(year=bargiri[[#This Row],[سال]],1,0)</f>
        <v>0</v>
      </c>
      <c r="J2279" s="360" t="str">
        <f>VLOOKUP(bargiri[[#This Row],[شماره پیش فاکتور]],invoice[],16,0)</f>
        <v>عادی</v>
      </c>
      <c r="K2279" s="252">
        <f>bargiri[[#This Row],[فی]]*bargiri[[#This Row],[میزان بارگیری شده]]</f>
        <v>1587690000</v>
      </c>
      <c r="Z2279" s="1"/>
    </row>
    <row r="2280" spans="1:26" ht="18.600000000000001">
      <c r="A2280" s="360" t="s">
        <v>370</v>
      </c>
      <c r="B2280" s="360" t="s">
        <v>118</v>
      </c>
      <c r="C2280" s="355" t="s">
        <v>84</v>
      </c>
      <c r="D2280">
        <v>20630</v>
      </c>
      <c r="E2280" s="143">
        <v>57273</v>
      </c>
      <c r="F2280" s="117">
        <v>1403</v>
      </c>
      <c r="G2280" s="360" t="s">
        <v>298</v>
      </c>
      <c r="H2280" s="144">
        <f>bargiri[[#This Row],[میزان بارگیری شده]]*bargiri[[#This Row],[فی]]</f>
        <v>1181541990</v>
      </c>
      <c r="I2280" s="360">
        <f>IF(year=bargiri[[#This Row],[سال]],1,0)</f>
        <v>0</v>
      </c>
      <c r="J2280" s="360" t="str">
        <f>VLOOKUP(bargiri[[#This Row],[شماره پیش فاکتور]],invoice[],16,0)</f>
        <v>عادی</v>
      </c>
      <c r="K2280" s="252">
        <f>bargiri[[#This Row],[فی]]*bargiri[[#This Row],[میزان بارگیری شده]]</f>
        <v>1181541990</v>
      </c>
      <c r="Z2280" s="1"/>
    </row>
    <row r="2281" spans="1:26" ht="18.600000000000001">
      <c r="A2281" s="360" t="s">
        <v>370</v>
      </c>
      <c r="B2281" s="360" t="s">
        <v>118</v>
      </c>
      <c r="C2281" s="355" t="s">
        <v>84</v>
      </c>
      <c r="D2281">
        <v>21255</v>
      </c>
      <c r="E2281" s="143">
        <v>57273</v>
      </c>
      <c r="F2281" s="117">
        <v>1403</v>
      </c>
      <c r="G2281" s="360" t="s">
        <v>298</v>
      </c>
      <c r="H2281" s="144">
        <f>bargiri[[#This Row],[میزان بارگیری شده]]*bargiri[[#This Row],[فی]]</f>
        <v>1217337615</v>
      </c>
      <c r="I2281" s="360">
        <f>IF(year=bargiri[[#This Row],[سال]],1,0)</f>
        <v>0</v>
      </c>
      <c r="J2281" s="360" t="str">
        <f>VLOOKUP(bargiri[[#This Row],[شماره پیش فاکتور]],invoice[],16,0)</f>
        <v>عادی</v>
      </c>
      <c r="K2281" s="252">
        <f>bargiri[[#This Row],[فی]]*bargiri[[#This Row],[میزان بارگیری شده]]</f>
        <v>1217337615</v>
      </c>
      <c r="Z2281" s="1"/>
    </row>
    <row r="2282" spans="1:26" ht="18.600000000000001">
      <c r="A2282" s="360" t="s">
        <v>370</v>
      </c>
      <c r="B2282" s="360" t="s">
        <v>118</v>
      </c>
      <c r="C2282" s="355" t="s">
        <v>84</v>
      </c>
      <c r="D2282">
        <v>20770</v>
      </c>
      <c r="E2282" s="143">
        <v>57273</v>
      </c>
      <c r="F2282" s="117">
        <v>1403</v>
      </c>
      <c r="G2282" s="360" t="s">
        <v>298</v>
      </c>
      <c r="H2282" s="144">
        <f>bargiri[[#This Row],[میزان بارگیری شده]]*bargiri[[#This Row],[فی]]</f>
        <v>1189560210</v>
      </c>
      <c r="I2282" s="360">
        <f>IF(year=bargiri[[#This Row],[سال]],1,0)</f>
        <v>0</v>
      </c>
      <c r="J2282" s="360" t="str">
        <f>VLOOKUP(bargiri[[#This Row],[شماره پیش فاکتور]],invoice[],16,0)</f>
        <v>عادی</v>
      </c>
      <c r="K2282" s="252">
        <f>bargiri[[#This Row],[فی]]*bargiri[[#This Row],[میزان بارگیری شده]]</f>
        <v>1189560210</v>
      </c>
      <c r="Z2282" s="1"/>
    </row>
    <row r="2283" spans="1:26" ht="18.600000000000001">
      <c r="A2283" s="360" t="s">
        <v>370</v>
      </c>
      <c r="B2283" s="360" t="s">
        <v>118</v>
      </c>
      <c r="C2283" s="355" t="s">
        <v>84</v>
      </c>
      <c r="D2283">
        <v>21060</v>
      </c>
      <c r="E2283" s="143">
        <v>57273</v>
      </c>
      <c r="F2283" s="117">
        <v>1403</v>
      </c>
      <c r="G2283" s="360" t="s">
        <v>298</v>
      </c>
      <c r="H2283" s="144">
        <f>bargiri[[#This Row],[میزان بارگیری شده]]*bargiri[[#This Row],[فی]]</f>
        <v>1206169380</v>
      </c>
      <c r="I2283" s="360">
        <f>IF(year=bargiri[[#This Row],[سال]],1,0)</f>
        <v>0</v>
      </c>
      <c r="J2283" s="360" t="str">
        <f>VLOOKUP(bargiri[[#This Row],[شماره پیش فاکتور]],invoice[],16,0)</f>
        <v>عادی</v>
      </c>
      <c r="K2283" s="252">
        <f>bargiri[[#This Row],[فی]]*bargiri[[#This Row],[میزان بارگیری شده]]</f>
        <v>1206169380</v>
      </c>
      <c r="Z2283" s="1"/>
    </row>
    <row r="2284" spans="1:26" ht="18.600000000000001">
      <c r="A2284" s="360" t="s">
        <v>167</v>
      </c>
      <c r="B2284" s="360" t="s">
        <v>116</v>
      </c>
      <c r="C2284" s="355" t="s">
        <v>77</v>
      </c>
      <c r="D2284">
        <v>21205</v>
      </c>
      <c r="E2284" s="143">
        <v>68500</v>
      </c>
      <c r="F2284" s="117">
        <v>1403</v>
      </c>
      <c r="G2284" s="360" t="s">
        <v>298</v>
      </c>
      <c r="H2284" s="144">
        <f>bargiri[[#This Row],[میزان بارگیری شده]]*bargiri[[#This Row],[فی]]</f>
        <v>1452542500</v>
      </c>
      <c r="I2284" s="360">
        <f>IF(year=bargiri[[#This Row],[سال]],1,0)</f>
        <v>0</v>
      </c>
      <c r="J2284" s="360" t="str">
        <f>VLOOKUP(bargiri[[#This Row],[شماره پیش فاکتور]],invoice[],16,0)</f>
        <v>عادی</v>
      </c>
      <c r="K2284" s="252">
        <f>bargiri[[#This Row],[فی]]*bargiri[[#This Row],[میزان بارگیری شده]]</f>
        <v>1452542500</v>
      </c>
      <c r="Z2284" s="1"/>
    </row>
    <row r="2285" spans="1:26" ht="18.600000000000001">
      <c r="A2285" s="360" t="s">
        <v>167</v>
      </c>
      <c r="B2285" s="360" t="s">
        <v>106</v>
      </c>
      <c r="C2285" s="355" t="s">
        <v>46</v>
      </c>
      <c r="D2285">
        <v>12620</v>
      </c>
      <c r="E2285" s="143">
        <v>70000</v>
      </c>
      <c r="F2285" s="117">
        <v>1403</v>
      </c>
      <c r="G2285" s="360" t="s">
        <v>298</v>
      </c>
      <c r="H2285" s="144">
        <f>bargiri[[#This Row],[میزان بارگیری شده]]*bargiri[[#This Row],[فی]]</f>
        <v>883400000</v>
      </c>
      <c r="I2285" s="360">
        <f>IF(year=bargiri[[#This Row],[سال]],1,0)</f>
        <v>0</v>
      </c>
      <c r="J2285" s="360" t="str">
        <f>VLOOKUP(bargiri[[#This Row],[شماره پیش فاکتور]],invoice[],16,0)</f>
        <v>عادی</v>
      </c>
      <c r="K2285" s="252">
        <f>bargiri[[#This Row],[فی]]*bargiri[[#This Row],[میزان بارگیری شده]]</f>
        <v>883400000</v>
      </c>
      <c r="Z2285" s="1"/>
    </row>
    <row r="2286" spans="1:26" ht="18.600000000000001">
      <c r="A2286" s="360" t="s">
        <v>167</v>
      </c>
      <c r="B2286" s="360" t="s">
        <v>106</v>
      </c>
      <c r="C2286" s="355" t="s">
        <v>48</v>
      </c>
      <c r="D2286">
        <v>6700</v>
      </c>
      <c r="E2286" s="143">
        <v>65000</v>
      </c>
      <c r="F2286" s="117">
        <v>1403</v>
      </c>
      <c r="G2286" s="360" t="s">
        <v>298</v>
      </c>
      <c r="H2286" s="144">
        <f>bargiri[[#This Row],[میزان بارگیری شده]]*bargiri[[#This Row],[فی]]</f>
        <v>435500000</v>
      </c>
      <c r="I2286" s="360">
        <f>IF(year=bargiri[[#This Row],[سال]],1,0)</f>
        <v>0</v>
      </c>
      <c r="J2286" s="360" t="str">
        <f>VLOOKUP(bargiri[[#This Row],[شماره پیش فاکتور]],invoice[],16,0)</f>
        <v>عادی</v>
      </c>
      <c r="K2286" s="252">
        <f>bargiri[[#This Row],[فی]]*bargiri[[#This Row],[میزان بارگیری شده]]</f>
        <v>435500000</v>
      </c>
      <c r="Z2286" s="1"/>
    </row>
    <row r="2287" spans="1:26" ht="18.600000000000001">
      <c r="A2287" s="360" t="s">
        <v>167</v>
      </c>
      <c r="B2287" s="360" t="s">
        <v>106</v>
      </c>
      <c r="C2287" s="355" t="s">
        <v>46</v>
      </c>
      <c r="D2287">
        <v>15060</v>
      </c>
      <c r="E2287" s="143">
        <v>70000</v>
      </c>
      <c r="F2287" s="117">
        <v>1403</v>
      </c>
      <c r="G2287" s="360" t="s">
        <v>298</v>
      </c>
      <c r="H2287" s="144">
        <f>bargiri[[#This Row],[میزان بارگیری شده]]*bargiri[[#This Row],[فی]]</f>
        <v>1054200000</v>
      </c>
      <c r="I2287" s="360">
        <f>IF(year=bargiri[[#This Row],[سال]],1,0)</f>
        <v>0</v>
      </c>
      <c r="J2287" s="360" t="str">
        <f>VLOOKUP(bargiri[[#This Row],[شماره پیش فاکتور]],invoice[],16,0)</f>
        <v>عادی</v>
      </c>
      <c r="K2287" s="252">
        <f>bargiri[[#This Row],[فی]]*bargiri[[#This Row],[میزان بارگیری شده]]</f>
        <v>1054200000</v>
      </c>
      <c r="Z2287" s="1"/>
    </row>
    <row r="2288" spans="1:26" ht="18.600000000000001">
      <c r="A2288" s="360" t="s">
        <v>167</v>
      </c>
      <c r="B2288" s="360" t="s">
        <v>120</v>
      </c>
      <c r="C2288" s="355" t="s">
        <v>88</v>
      </c>
      <c r="D2288">
        <v>9100</v>
      </c>
      <c r="E2288" s="143">
        <v>80000</v>
      </c>
      <c r="F2288" s="117">
        <v>1403</v>
      </c>
      <c r="G2288" s="360" t="s">
        <v>298</v>
      </c>
      <c r="H2288" s="144">
        <f>bargiri[[#This Row],[میزان بارگیری شده]]*bargiri[[#This Row],[فی]]</f>
        <v>728000000</v>
      </c>
      <c r="I2288" s="360">
        <f>IF(year=bargiri[[#This Row],[سال]],1,0)</f>
        <v>0</v>
      </c>
      <c r="J2288" s="360" t="str">
        <f>VLOOKUP(bargiri[[#This Row],[شماره پیش فاکتور]],invoice[],16,0)</f>
        <v>عادی</v>
      </c>
      <c r="K2288" s="252">
        <f>bargiri[[#This Row],[فی]]*bargiri[[#This Row],[میزان بارگیری شده]]</f>
        <v>728000000</v>
      </c>
      <c r="Z2288" s="1"/>
    </row>
    <row r="2289" spans="1:26" ht="18.600000000000001">
      <c r="A2289" s="360" t="s">
        <v>167</v>
      </c>
      <c r="B2289" s="360" t="s">
        <v>107</v>
      </c>
      <c r="C2289" s="355" t="s">
        <v>50</v>
      </c>
      <c r="D2289">
        <v>19030</v>
      </c>
      <c r="E2289" s="143">
        <v>70000</v>
      </c>
      <c r="F2289" s="117">
        <v>1403</v>
      </c>
      <c r="G2289" s="360" t="s">
        <v>298</v>
      </c>
      <c r="H2289" s="144">
        <f>bargiri[[#This Row],[میزان بارگیری شده]]*bargiri[[#This Row],[فی]]</f>
        <v>1332100000</v>
      </c>
      <c r="I2289" s="360">
        <f>IF(year=bargiri[[#This Row],[سال]],1,0)</f>
        <v>0</v>
      </c>
      <c r="J2289" s="360" t="str">
        <f>VLOOKUP(bargiri[[#This Row],[شماره پیش فاکتور]],invoice[],16,0)</f>
        <v>عادی</v>
      </c>
      <c r="K2289" s="252">
        <f>bargiri[[#This Row],[فی]]*bargiri[[#This Row],[میزان بارگیری شده]]</f>
        <v>1332100000</v>
      </c>
      <c r="Z2289" s="1"/>
    </row>
    <row r="2290" spans="1:26" ht="18.600000000000001">
      <c r="A2290" s="360" t="s">
        <v>167</v>
      </c>
      <c r="B2290" s="360" t="s">
        <v>103</v>
      </c>
      <c r="C2290" s="355" t="s">
        <v>30</v>
      </c>
      <c r="D2290">
        <v>7395</v>
      </c>
      <c r="E2290" s="143">
        <v>70000</v>
      </c>
      <c r="F2290" s="117">
        <v>1403</v>
      </c>
      <c r="G2290" s="360" t="s">
        <v>298</v>
      </c>
      <c r="H2290" s="144">
        <f>bargiri[[#This Row],[میزان بارگیری شده]]*bargiri[[#This Row],[فی]]</f>
        <v>517650000</v>
      </c>
      <c r="I2290" s="360">
        <f>IF(year=bargiri[[#This Row],[سال]],1,0)</f>
        <v>0</v>
      </c>
      <c r="J2290" s="360" t="str">
        <f>VLOOKUP(bargiri[[#This Row],[شماره پیش فاکتور]],invoice[],16,0)</f>
        <v>عادی</v>
      </c>
      <c r="K2290" s="252">
        <f>bargiri[[#This Row],[فی]]*bargiri[[#This Row],[میزان بارگیری شده]]</f>
        <v>517650000</v>
      </c>
      <c r="Z2290" s="1"/>
    </row>
    <row r="2291" spans="1:26" ht="18.600000000000001">
      <c r="A2291" s="360" t="s">
        <v>167</v>
      </c>
      <c r="B2291" s="360" t="s">
        <v>113</v>
      </c>
      <c r="C2291" s="355" t="s">
        <v>61</v>
      </c>
      <c r="D2291">
        <v>21080</v>
      </c>
      <c r="E2291" s="143">
        <v>75000</v>
      </c>
      <c r="F2291" s="117">
        <v>1403</v>
      </c>
      <c r="G2291" s="360" t="s">
        <v>298</v>
      </c>
      <c r="H2291" s="144">
        <f>bargiri[[#This Row],[میزان بارگیری شده]]*bargiri[[#This Row],[فی]]</f>
        <v>1581000000</v>
      </c>
      <c r="I2291" s="360">
        <f>IF(year=bargiri[[#This Row],[سال]],1,0)</f>
        <v>0</v>
      </c>
      <c r="J2291" s="360" t="str">
        <f>VLOOKUP(bargiri[[#This Row],[شماره پیش فاکتور]],invoice[],16,0)</f>
        <v>عادی</v>
      </c>
      <c r="K2291" s="252">
        <f>bargiri[[#This Row],[فی]]*bargiri[[#This Row],[میزان بارگیری شده]]</f>
        <v>1581000000</v>
      </c>
      <c r="Z2291" s="1"/>
    </row>
    <row r="2292" spans="1:26" ht="18.600000000000001">
      <c r="A2292" s="360" t="s">
        <v>192</v>
      </c>
      <c r="B2292" s="360" t="s">
        <v>101</v>
      </c>
      <c r="C2292" s="355" t="s">
        <v>18</v>
      </c>
      <c r="D2292">
        <v>6250</v>
      </c>
      <c r="E2292" s="143">
        <v>92000</v>
      </c>
      <c r="F2292" s="117">
        <v>1403</v>
      </c>
      <c r="G2292" s="360" t="s">
        <v>298</v>
      </c>
      <c r="H2292" s="144">
        <f>bargiri[[#This Row],[میزان بارگیری شده]]*bargiri[[#This Row],[فی]]</f>
        <v>575000000</v>
      </c>
      <c r="I2292" s="360">
        <f>IF(year=bargiri[[#This Row],[سال]],1,0)</f>
        <v>0</v>
      </c>
      <c r="J2292" s="360" t="str">
        <f>VLOOKUP(bargiri[[#This Row],[شماره پیش فاکتور]],invoice[],16,0)</f>
        <v>بورس</v>
      </c>
      <c r="K2292" s="252">
        <f>bargiri[[#This Row],[فی]]*bargiri[[#This Row],[میزان بارگیری شده]]</f>
        <v>575000000</v>
      </c>
      <c r="Z2292" s="1"/>
    </row>
    <row r="2293" spans="1:26" ht="18.600000000000001">
      <c r="A2293" s="360" t="s">
        <v>192</v>
      </c>
      <c r="B2293" s="360" t="s">
        <v>101</v>
      </c>
      <c r="C2293" s="355" t="s">
        <v>19</v>
      </c>
      <c r="D2293">
        <v>15785</v>
      </c>
      <c r="E2293" s="143">
        <v>75000</v>
      </c>
      <c r="F2293" s="117">
        <v>1403</v>
      </c>
      <c r="G2293" s="360" t="s">
        <v>298</v>
      </c>
      <c r="H2293" s="144">
        <f>bargiri[[#This Row],[میزان بارگیری شده]]*bargiri[[#This Row],[فی]]</f>
        <v>1183875000</v>
      </c>
      <c r="I2293" s="360">
        <f>IF(year=bargiri[[#This Row],[سال]],1,0)</f>
        <v>0</v>
      </c>
      <c r="J2293" s="360" t="str">
        <f>VLOOKUP(bargiri[[#This Row],[شماره پیش فاکتور]],invoice[],16,0)</f>
        <v>عادی</v>
      </c>
      <c r="K2293" s="252">
        <f>bargiri[[#This Row],[فی]]*bargiri[[#This Row],[میزان بارگیری شده]]</f>
        <v>1183875000</v>
      </c>
      <c r="Z2293" s="1"/>
    </row>
    <row r="2294" spans="1:26" ht="18.600000000000001">
      <c r="A2294" s="360" t="s">
        <v>372</v>
      </c>
      <c r="B2294" s="360" t="s">
        <v>122</v>
      </c>
      <c r="C2294" s="355" t="s">
        <v>91</v>
      </c>
      <c r="D2294">
        <v>22365</v>
      </c>
      <c r="E2294" s="143">
        <v>75000</v>
      </c>
      <c r="F2294" s="117">
        <v>1403</v>
      </c>
      <c r="G2294" s="360" t="s">
        <v>298</v>
      </c>
      <c r="H2294" s="144">
        <f>bargiri[[#This Row],[میزان بارگیری شده]]*bargiri[[#This Row],[فی]]</f>
        <v>1677375000</v>
      </c>
      <c r="I2294" s="360">
        <f>IF(year=bargiri[[#This Row],[سال]],1,0)</f>
        <v>0</v>
      </c>
      <c r="J2294" s="360" t="str">
        <f>VLOOKUP(bargiri[[#This Row],[شماره پیش فاکتور]],invoice[],16,0)</f>
        <v>عادی</v>
      </c>
      <c r="K2294" s="252">
        <f>bargiri[[#This Row],[فی]]*bargiri[[#This Row],[میزان بارگیری شده]]</f>
        <v>1677375000</v>
      </c>
      <c r="Z2294" s="1"/>
    </row>
    <row r="2295" spans="1:26" ht="18.600000000000001">
      <c r="A2295" s="360" t="s">
        <v>371</v>
      </c>
      <c r="B2295" s="360" t="s">
        <v>123</v>
      </c>
      <c r="C2295" s="355" t="s">
        <v>93</v>
      </c>
      <c r="D2295">
        <v>7765</v>
      </c>
      <c r="E2295" s="143">
        <v>75000</v>
      </c>
      <c r="F2295" s="117">
        <v>1403</v>
      </c>
      <c r="G2295" s="360" t="s">
        <v>298</v>
      </c>
      <c r="H2295" s="144">
        <f>bargiri[[#This Row],[میزان بارگیری شده]]*bargiri[[#This Row],[فی]]</f>
        <v>582375000</v>
      </c>
      <c r="I2295" s="360">
        <f>IF(year=bargiri[[#This Row],[سال]],1,0)</f>
        <v>0</v>
      </c>
      <c r="J2295" s="360" t="str">
        <f>VLOOKUP(bargiri[[#This Row],[شماره پیش فاکتور]],invoice[],16,0)</f>
        <v>عادی</v>
      </c>
      <c r="K2295" s="252">
        <f>bargiri[[#This Row],[فی]]*bargiri[[#This Row],[میزان بارگیری شده]]</f>
        <v>582375000</v>
      </c>
      <c r="Z2295" s="1"/>
    </row>
    <row r="2296" spans="1:26" ht="18.600000000000001">
      <c r="A2296" s="360" t="s">
        <v>371</v>
      </c>
      <c r="B2296" s="360" t="s">
        <v>118</v>
      </c>
      <c r="C2296" s="355" t="s">
        <v>84</v>
      </c>
      <c r="D2296">
        <v>21150</v>
      </c>
      <c r="E2296" s="143">
        <v>57273</v>
      </c>
      <c r="F2296" s="117">
        <v>1403</v>
      </c>
      <c r="G2296" s="360" t="s">
        <v>298</v>
      </c>
      <c r="H2296" s="144">
        <f>bargiri[[#This Row],[میزان بارگیری شده]]*bargiri[[#This Row],[فی]]</f>
        <v>1211323950</v>
      </c>
      <c r="I2296" s="360">
        <f>IF(year=bargiri[[#This Row],[سال]],1,0)</f>
        <v>0</v>
      </c>
      <c r="J2296" s="360" t="str">
        <f>VLOOKUP(bargiri[[#This Row],[شماره پیش فاکتور]],invoice[],16,0)</f>
        <v>عادی</v>
      </c>
      <c r="K2296" s="252">
        <f>bargiri[[#This Row],[فی]]*bargiri[[#This Row],[میزان بارگیری شده]]</f>
        <v>1211323950</v>
      </c>
      <c r="Z2296" s="1"/>
    </row>
    <row r="2297" spans="1:26" ht="18.600000000000001">
      <c r="A2297" s="360" t="s">
        <v>371</v>
      </c>
      <c r="B2297" s="360" t="s">
        <v>118</v>
      </c>
      <c r="C2297" s="355" t="s">
        <v>84</v>
      </c>
      <c r="D2297">
        <v>20565</v>
      </c>
      <c r="E2297" s="143">
        <v>57273</v>
      </c>
      <c r="F2297" s="117">
        <v>1403</v>
      </c>
      <c r="G2297" s="360" t="s">
        <v>298</v>
      </c>
      <c r="H2297" s="144">
        <f>bargiri[[#This Row],[میزان بارگیری شده]]*bargiri[[#This Row],[فی]]</f>
        <v>1177819245</v>
      </c>
      <c r="I2297" s="360">
        <f>IF(year=bargiri[[#This Row],[سال]],1,0)</f>
        <v>0</v>
      </c>
      <c r="J2297" s="360" t="str">
        <f>VLOOKUP(bargiri[[#This Row],[شماره پیش فاکتور]],invoice[],16,0)</f>
        <v>عادی</v>
      </c>
      <c r="K2297" s="252">
        <f>bargiri[[#This Row],[فی]]*bargiri[[#This Row],[میزان بارگیری شده]]</f>
        <v>1177819245</v>
      </c>
      <c r="Z2297" s="1"/>
    </row>
    <row r="2298" spans="1:26" ht="18.600000000000001">
      <c r="A2298" s="360" t="s">
        <v>371</v>
      </c>
      <c r="B2298" s="360" t="s">
        <v>115</v>
      </c>
      <c r="C2298" s="355" t="s">
        <v>65</v>
      </c>
      <c r="D2298">
        <v>23195</v>
      </c>
      <c r="E2298" s="143">
        <v>75000</v>
      </c>
      <c r="F2298" s="117">
        <v>1403</v>
      </c>
      <c r="G2298" s="360" t="s">
        <v>298</v>
      </c>
      <c r="H2298" s="144">
        <f>bargiri[[#This Row],[میزان بارگیری شده]]*bargiri[[#This Row],[فی]]</f>
        <v>1739625000</v>
      </c>
      <c r="I2298" s="360">
        <f>IF(year=bargiri[[#This Row],[سال]],1,0)</f>
        <v>0</v>
      </c>
      <c r="J2298" s="360" t="str">
        <f>VLOOKUP(bargiri[[#This Row],[شماره پیش فاکتور]],invoice[],16,0)</f>
        <v>عادی</v>
      </c>
      <c r="K2298" s="252">
        <f>bargiri[[#This Row],[فی]]*bargiri[[#This Row],[میزان بارگیری شده]]</f>
        <v>1739625000</v>
      </c>
      <c r="Z2298" s="1"/>
    </row>
    <row r="2299" spans="1:26" ht="18.600000000000001">
      <c r="A2299" s="360" t="s">
        <v>371</v>
      </c>
      <c r="B2299" s="360" t="s">
        <v>107</v>
      </c>
      <c r="C2299" s="355" t="s">
        <v>50</v>
      </c>
      <c r="D2299">
        <v>18990</v>
      </c>
      <c r="E2299" s="143">
        <v>70000</v>
      </c>
      <c r="F2299" s="117">
        <v>1403</v>
      </c>
      <c r="G2299" s="360" t="s">
        <v>298</v>
      </c>
      <c r="H2299" s="144">
        <f>bargiri[[#This Row],[میزان بارگیری شده]]*bargiri[[#This Row],[فی]]</f>
        <v>1329300000</v>
      </c>
      <c r="I2299" s="360">
        <f>IF(year=bargiri[[#This Row],[سال]],1,0)</f>
        <v>0</v>
      </c>
      <c r="J2299" s="360" t="str">
        <f>VLOOKUP(bargiri[[#This Row],[شماره پیش فاکتور]],invoice[],16,0)</f>
        <v>عادی</v>
      </c>
      <c r="K2299" s="252">
        <f>bargiri[[#This Row],[فی]]*bargiri[[#This Row],[میزان بارگیری شده]]</f>
        <v>1329300000</v>
      </c>
      <c r="Z2299" s="1"/>
    </row>
    <row r="2300" spans="1:26" ht="18.600000000000001">
      <c r="A2300" s="360" t="s">
        <v>373</v>
      </c>
      <c r="B2300" s="360" t="s">
        <v>106</v>
      </c>
      <c r="C2300" s="355" t="s">
        <v>48</v>
      </c>
      <c r="D2300">
        <v>21010</v>
      </c>
      <c r="E2300" s="143">
        <v>65000</v>
      </c>
      <c r="F2300" s="117">
        <v>1403</v>
      </c>
      <c r="G2300" s="360" t="s">
        <v>298</v>
      </c>
      <c r="H2300" s="144">
        <f>bargiri[[#This Row],[میزان بارگیری شده]]*bargiri[[#This Row],[فی]]</f>
        <v>1365650000</v>
      </c>
      <c r="I2300" s="360">
        <f>IF(year=bargiri[[#This Row],[سال]],1,0)</f>
        <v>0</v>
      </c>
      <c r="J2300" s="360" t="str">
        <f>VLOOKUP(bargiri[[#This Row],[شماره پیش فاکتور]],invoice[],16,0)</f>
        <v>عادی</v>
      </c>
      <c r="K2300" s="252">
        <f>bargiri[[#This Row],[فی]]*bargiri[[#This Row],[میزان بارگیری شده]]</f>
        <v>1365650000</v>
      </c>
      <c r="Z2300" s="1"/>
    </row>
    <row r="2301" spans="1:26" ht="18.600000000000001">
      <c r="A2301" s="360" t="s">
        <v>373</v>
      </c>
      <c r="B2301" s="360" t="s">
        <v>116</v>
      </c>
      <c r="C2301" s="355" t="s">
        <v>77</v>
      </c>
      <c r="D2301">
        <v>19935</v>
      </c>
      <c r="E2301" s="143">
        <v>68500</v>
      </c>
      <c r="F2301" s="117">
        <v>1403</v>
      </c>
      <c r="G2301" s="360" t="s">
        <v>298</v>
      </c>
      <c r="H2301" s="144">
        <f>bargiri[[#This Row],[میزان بارگیری شده]]*bargiri[[#This Row],[فی]]</f>
        <v>1365547500</v>
      </c>
      <c r="I2301" s="360">
        <f>IF(year=bargiri[[#This Row],[سال]],1,0)</f>
        <v>0</v>
      </c>
      <c r="J2301" s="360" t="str">
        <f>VLOOKUP(bargiri[[#This Row],[شماره پیش فاکتور]],invoice[],16,0)</f>
        <v>عادی</v>
      </c>
      <c r="K2301" s="252">
        <f>bargiri[[#This Row],[فی]]*bargiri[[#This Row],[میزان بارگیری شده]]</f>
        <v>1365547500</v>
      </c>
      <c r="Z2301" s="1"/>
    </row>
    <row r="2302" spans="1:26" ht="18.600000000000001">
      <c r="A2302" s="360" t="s">
        <v>373</v>
      </c>
      <c r="B2302" s="360" t="s">
        <v>103</v>
      </c>
      <c r="C2302" s="355" t="s">
        <v>30</v>
      </c>
      <c r="D2302">
        <v>7310</v>
      </c>
      <c r="E2302" s="143">
        <v>70000</v>
      </c>
      <c r="F2302" s="117">
        <v>1403</v>
      </c>
      <c r="G2302" s="360" t="s">
        <v>298</v>
      </c>
      <c r="H2302" s="144">
        <f>bargiri[[#This Row],[میزان بارگیری شده]]*bargiri[[#This Row],[فی]]</f>
        <v>511700000</v>
      </c>
      <c r="I2302" s="360">
        <f>IF(year=bargiri[[#This Row],[سال]],1,0)</f>
        <v>0</v>
      </c>
      <c r="J2302" s="360" t="str">
        <f>VLOOKUP(bargiri[[#This Row],[شماره پیش فاکتور]],invoice[],16,0)</f>
        <v>عادی</v>
      </c>
      <c r="K2302" s="252">
        <f>bargiri[[#This Row],[فی]]*bargiri[[#This Row],[میزان بارگیری شده]]</f>
        <v>511700000</v>
      </c>
      <c r="Z2302" s="1"/>
    </row>
    <row r="2303" spans="1:26" ht="18.600000000000001">
      <c r="A2303" s="360" t="s">
        <v>373</v>
      </c>
      <c r="B2303" s="360" t="s">
        <v>106</v>
      </c>
      <c r="C2303" s="355" t="s">
        <v>48</v>
      </c>
      <c r="D2303">
        <v>22075</v>
      </c>
      <c r="E2303" s="143">
        <v>65000</v>
      </c>
      <c r="F2303" s="117">
        <v>1403</v>
      </c>
      <c r="G2303" s="360" t="s">
        <v>298</v>
      </c>
      <c r="H2303" s="144">
        <f>bargiri[[#This Row],[میزان بارگیری شده]]*bargiri[[#This Row],[فی]]</f>
        <v>1434875000</v>
      </c>
      <c r="I2303" s="360">
        <f>IF(year=bargiri[[#This Row],[سال]],1,0)</f>
        <v>0</v>
      </c>
      <c r="J2303" s="360" t="str">
        <f>VLOOKUP(bargiri[[#This Row],[شماره پیش فاکتور]],invoice[],16,0)</f>
        <v>عادی</v>
      </c>
      <c r="K2303" s="252">
        <f>bargiri[[#This Row],[فی]]*bargiri[[#This Row],[میزان بارگیری شده]]</f>
        <v>1434875000</v>
      </c>
      <c r="Z2303" s="1"/>
    </row>
    <row r="2304" spans="1:26" ht="18.600000000000001">
      <c r="A2304" s="360" t="s">
        <v>373</v>
      </c>
      <c r="B2304" s="360" t="s">
        <v>113</v>
      </c>
      <c r="C2304" s="355" t="s">
        <v>61</v>
      </c>
      <c r="D2304">
        <v>20975</v>
      </c>
      <c r="E2304" s="143">
        <v>75000</v>
      </c>
      <c r="F2304" s="117">
        <v>1403</v>
      </c>
      <c r="G2304" s="360" t="s">
        <v>298</v>
      </c>
      <c r="H2304" s="144">
        <f>bargiri[[#This Row],[میزان بارگیری شده]]*bargiri[[#This Row],[فی]]</f>
        <v>1573125000</v>
      </c>
      <c r="I2304" s="360">
        <f>IF(year=bargiri[[#This Row],[سال]],1,0)</f>
        <v>0</v>
      </c>
      <c r="J2304" s="360" t="str">
        <f>VLOOKUP(bargiri[[#This Row],[شماره پیش فاکتور]],invoice[],16,0)</f>
        <v>عادی</v>
      </c>
      <c r="K2304" s="252">
        <f>bargiri[[#This Row],[فی]]*bargiri[[#This Row],[میزان بارگیری شده]]</f>
        <v>1573125000</v>
      </c>
      <c r="Z2304" s="1"/>
    </row>
    <row r="2305" spans="1:26" ht="18.600000000000001">
      <c r="A2305" s="360" t="s">
        <v>374</v>
      </c>
      <c r="B2305" s="360" t="s">
        <v>117</v>
      </c>
      <c r="C2305" s="355" t="s">
        <v>80</v>
      </c>
      <c r="D2305">
        <v>9710</v>
      </c>
      <c r="E2305" s="143">
        <v>73000</v>
      </c>
      <c r="F2305" s="117">
        <v>1403</v>
      </c>
      <c r="G2305" s="360" t="s">
        <v>298</v>
      </c>
      <c r="H2305" s="144">
        <f>bargiri[[#This Row],[میزان بارگیری شده]]*bargiri[[#This Row],[فی]]</f>
        <v>708830000</v>
      </c>
      <c r="I2305" s="360">
        <f>IF(year=bargiri[[#This Row],[سال]],1,0)</f>
        <v>0</v>
      </c>
      <c r="J2305" s="360" t="str">
        <f>VLOOKUP(bargiri[[#This Row],[شماره پیش فاکتور]],invoice[],16,0)</f>
        <v>بورس</v>
      </c>
      <c r="K2305" s="252">
        <f>bargiri[[#This Row],[فی]]*bargiri[[#This Row],[میزان بارگیری شده]]</f>
        <v>708830000</v>
      </c>
      <c r="Z2305" s="1"/>
    </row>
    <row r="2306" spans="1:26" ht="18.600000000000001">
      <c r="A2306" s="360" t="s">
        <v>374</v>
      </c>
      <c r="B2306" s="360" t="s">
        <v>117</v>
      </c>
      <c r="C2306" s="355" t="s">
        <v>82</v>
      </c>
      <c r="D2306">
        <v>10440</v>
      </c>
      <c r="E2306" s="143">
        <v>70000</v>
      </c>
      <c r="F2306" s="117">
        <v>1403</v>
      </c>
      <c r="G2306" s="360" t="s">
        <v>298</v>
      </c>
      <c r="H2306" s="144">
        <f>bargiri[[#This Row],[میزان بارگیری شده]]*bargiri[[#This Row],[فی]]</f>
        <v>730800000</v>
      </c>
      <c r="I2306" s="360">
        <f>IF(year=bargiri[[#This Row],[سال]],1,0)</f>
        <v>0</v>
      </c>
      <c r="J2306" s="360" t="str">
        <f>VLOOKUP(bargiri[[#This Row],[شماره پیش فاکتور]],invoice[],16,0)</f>
        <v>عادی</v>
      </c>
      <c r="K2306" s="252">
        <f>bargiri[[#This Row],[فی]]*bargiri[[#This Row],[میزان بارگیری شده]]</f>
        <v>730800000</v>
      </c>
      <c r="Z2306" s="1"/>
    </row>
    <row r="2307" spans="1:26" ht="18.600000000000001">
      <c r="A2307" s="360" t="s">
        <v>192</v>
      </c>
      <c r="B2307" s="360" t="s">
        <v>116</v>
      </c>
      <c r="C2307" s="355" t="s">
        <v>77</v>
      </c>
      <c r="D2307">
        <v>20040</v>
      </c>
      <c r="E2307" s="143">
        <v>68500</v>
      </c>
      <c r="F2307" s="117">
        <v>1403</v>
      </c>
      <c r="G2307" s="360" t="s">
        <v>298</v>
      </c>
      <c r="H2307" s="144">
        <f>bargiri[[#This Row],[میزان بارگیری شده]]*bargiri[[#This Row],[فی]]</f>
        <v>1372740000</v>
      </c>
      <c r="I2307" s="360">
        <f>IF(year=bargiri[[#This Row],[سال]],1,0)</f>
        <v>0</v>
      </c>
      <c r="J2307" s="360" t="str">
        <f>VLOOKUP(bargiri[[#This Row],[شماره پیش فاکتور]],invoice[],16,0)</f>
        <v>عادی</v>
      </c>
      <c r="K2307" s="252">
        <f>bargiri[[#This Row],[فی]]*bargiri[[#This Row],[میزان بارگیری شده]]</f>
        <v>1372740000</v>
      </c>
      <c r="Z2307" s="1"/>
    </row>
    <row r="2308" spans="1:26" ht="18.600000000000001">
      <c r="A2308" s="360" t="s">
        <v>374</v>
      </c>
      <c r="B2308" s="360" t="s">
        <v>113</v>
      </c>
      <c r="C2308" s="355" t="s">
        <v>61</v>
      </c>
      <c r="D2308">
        <v>20865</v>
      </c>
      <c r="E2308" s="143">
        <v>75000</v>
      </c>
      <c r="F2308" s="117">
        <v>1403</v>
      </c>
      <c r="G2308" s="360" t="s">
        <v>298</v>
      </c>
      <c r="H2308" s="144">
        <f>bargiri[[#This Row],[میزان بارگیری شده]]*bargiri[[#This Row],[فی]]</f>
        <v>1564875000</v>
      </c>
      <c r="I2308" s="360">
        <f>IF(year=bargiri[[#This Row],[سال]],1,0)</f>
        <v>0</v>
      </c>
      <c r="J2308" s="360" t="str">
        <f>VLOOKUP(bargiri[[#This Row],[شماره پیش فاکتور]],invoice[],16,0)</f>
        <v>عادی</v>
      </c>
      <c r="K2308" s="252">
        <f>bargiri[[#This Row],[فی]]*bargiri[[#This Row],[میزان بارگیری شده]]</f>
        <v>1564875000</v>
      </c>
      <c r="Z2308" s="1"/>
    </row>
    <row r="2309" spans="1:26" ht="18.600000000000001">
      <c r="A2309" s="360" t="s">
        <v>374</v>
      </c>
      <c r="B2309" s="360" t="s">
        <v>102</v>
      </c>
      <c r="C2309" s="355" t="s">
        <v>25</v>
      </c>
      <c r="D2309">
        <v>12110</v>
      </c>
      <c r="E2309" s="143">
        <v>65000</v>
      </c>
      <c r="F2309" s="117">
        <v>1403</v>
      </c>
      <c r="G2309" s="360" t="s">
        <v>298</v>
      </c>
      <c r="H2309" s="144">
        <f>bargiri[[#This Row],[میزان بارگیری شده]]*bargiri[[#This Row],[فی]]</f>
        <v>787150000</v>
      </c>
      <c r="I2309" s="360">
        <f>IF(year=bargiri[[#This Row],[سال]],1,0)</f>
        <v>0</v>
      </c>
      <c r="J2309" s="360" t="str">
        <f>VLOOKUP(bargiri[[#This Row],[شماره پیش فاکتور]],invoice[],16,0)</f>
        <v>عادی</v>
      </c>
      <c r="K2309" s="252">
        <f>bargiri[[#This Row],[فی]]*bargiri[[#This Row],[میزان بارگیری شده]]</f>
        <v>787150000</v>
      </c>
      <c r="Z2309" s="1"/>
    </row>
    <row r="2310" spans="1:26" ht="18.600000000000001">
      <c r="A2310" s="360" t="s">
        <v>374</v>
      </c>
      <c r="B2310" s="360" t="s">
        <v>103</v>
      </c>
      <c r="C2310" s="355" t="s">
        <v>30</v>
      </c>
      <c r="D2310">
        <v>6815</v>
      </c>
      <c r="E2310" s="143">
        <v>70000</v>
      </c>
      <c r="F2310" s="117">
        <v>1403</v>
      </c>
      <c r="G2310" s="360" t="s">
        <v>298</v>
      </c>
      <c r="H2310" s="144">
        <f>bargiri[[#This Row],[میزان بارگیری شده]]*bargiri[[#This Row],[فی]]</f>
        <v>477050000</v>
      </c>
      <c r="I2310" s="360">
        <f>IF(year=bargiri[[#This Row],[سال]],1,0)</f>
        <v>0</v>
      </c>
      <c r="J2310" s="360" t="str">
        <f>VLOOKUP(bargiri[[#This Row],[شماره پیش فاکتور]],invoice[],16,0)</f>
        <v>عادی</v>
      </c>
      <c r="K2310" s="252">
        <f>bargiri[[#This Row],[فی]]*bargiri[[#This Row],[میزان بارگیری شده]]</f>
        <v>477050000</v>
      </c>
      <c r="Z2310" s="1"/>
    </row>
    <row r="2311" spans="1:26" ht="18.600000000000001">
      <c r="A2311" s="360" t="s">
        <v>374</v>
      </c>
      <c r="B2311" s="360" t="s">
        <v>113</v>
      </c>
      <c r="C2311" s="355" t="s">
        <v>61</v>
      </c>
      <c r="D2311">
        <v>20915</v>
      </c>
      <c r="E2311" s="143">
        <v>75000</v>
      </c>
      <c r="F2311" s="117">
        <v>1403</v>
      </c>
      <c r="G2311" s="360" t="s">
        <v>298</v>
      </c>
      <c r="H2311" s="144">
        <f>bargiri[[#This Row],[میزان بارگیری شده]]*bargiri[[#This Row],[فی]]</f>
        <v>1568625000</v>
      </c>
      <c r="I2311" s="360">
        <f>IF(year=bargiri[[#This Row],[سال]],1,0)</f>
        <v>0</v>
      </c>
      <c r="J2311" s="360" t="str">
        <f>VLOOKUP(bargiri[[#This Row],[شماره پیش فاکتور]],invoice[],16,0)</f>
        <v>عادی</v>
      </c>
      <c r="K2311" s="252">
        <f>bargiri[[#This Row],[فی]]*bargiri[[#This Row],[میزان بارگیری شده]]</f>
        <v>1568625000</v>
      </c>
      <c r="Z2311" s="1"/>
    </row>
    <row r="2312" spans="1:26" ht="18.600000000000001">
      <c r="A2312" s="360" t="s">
        <v>374</v>
      </c>
      <c r="B2312" s="360" t="s">
        <v>122</v>
      </c>
      <c r="C2312" s="355" t="s">
        <v>91</v>
      </c>
      <c r="D2312">
        <v>22200</v>
      </c>
      <c r="E2312" s="143">
        <v>75000</v>
      </c>
      <c r="F2312" s="117">
        <v>1403</v>
      </c>
      <c r="G2312" s="360" t="s">
        <v>298</v>
      </c>
      <c r="H2312" s="144">
        <f>bargiri[[#This Row],[میزان بارگیری شده]]*bargiri[[#This Row],[فی]]</f>
        <v>1665000000</v>
      </c>
      <c r="I2312" s="360">
        <f>IF(year=bargiri[[#This Row],[سال]],1,0)</f>
        <v>0</v>
      </c>
      <c r="J2312" s="360" t="str">
        <f>VLOOKUP(bargiri[[#This Row],[شماره پیش فاکتور]],invoice[],16,0)</f>
        <v>عادی</v>
      </c>
      <c r="K2312" s="252">
        <f>bargiri[[#This Row],[فی]]*bargiri[[#This Row],[میزان بارگیری شده]]</f>
        <v>1665000000</v>
      </c>
      <c r="Z2312" s="1"/>
    </row>
    <row r="2313" spans="1:26" ht="18.600000000000001">
      <c r="A2313" s="360" t="s">
        <v>375</v>
      </c>
      <c r="B2313" s="360" t="s">
        <v>120</v>
      </c>
      <c r="C2313" s="355" t="s">
        <v>88</v>
      </c>
      <c r="D2313">
        <v>9615</v>
      </c>
      <c r="E2313" s="143">
        <v>80000</v>
      </c>
      <c r="F2313" s="117">
        <v>1403</v>
      </c>
      <c r="G2313" s="360" t="s">
        <v>298</v>
      </c>
      <c r="H2313" s="144">
        <f>bargiri[[#This Row],[میزان بارگیری شده]]*bargiri[[#This Row],[فی]]</f>
        <v>769200000</v>
      </c>
      <c r="I2313" s="360">
        <f>IF(year=bargiri[[#This Row],[سال]],1,0)</f>
        <v>0</v>
      </c>
      <c r="J2313" s="360" t="str">
        <f>VLOOKUP(bargiri[[#This Row],[شماره پیش فاکتور]],invoice[],16,0)</f>
        <v>عادی</v>
      </c>
      <c r="K2313" s="252">
        <f>bargiri[[#This Row],[فی]]*bargiri[[#This Row],[میزان بارگیری شده]]</f>
        <v>769200000</v>
      </c>
      <c r="Z2313" s="1"/>
    </row>
    <row r="2314" spans="1:26" ht="18.600000000000001">
      <c r="A2314" s="360" t="s">
        <v>375</v>
      </c>
      <c r="B2314" s="360" t="s">
        <v>118</v>
      </c>
      <c r="C2314" s="355" t="s">
        <v>84</v>
      </c>
      <c r="D2314">
        <v>20985</v>
      </c>
      <c r="E2314" s="143">
        <v>57273</v>
      </c>
      <c r="F2314" s="117">
        <v>1403</v>
      </c>
      <c r="G2314" s="360" t="s">
        <v>298</v>
      </c>
      <c r="H2314" s="144">
        <f>bargiri[[#This Row],[میزان بارگیری شده]]*bargiri[[#This Row],[فی]]</f>
        <v>1201873905</v>
      </c>
      <c r="I2314" s="360">
        <f>IF(year=bargiri[[#This Row],[سال]],1,0)</f>
        <v>0</v>
      </c>
      <c r="J2314" s="360" t="str">
        <f>VLOOKUP(bargiri[[#This Row],[شماره پیش فاکتور]],invoice[],16,0)</f>
        <v>عادی</v>
      </c>
      <c r="K2314" s="252">
        <f>bargiri[[#This Row],[فی]]*bargiri[[#This Row],[میزان بارگیری شده]]</f>
        <v>1201873905</v>
      </c>
      <c r="Z2314" s="1"/>
    </row>
    <row r="2315" spans="1:26" ht="18.600000000000001">
      <c r="A2315" s="360" t="s">
        <v>375</v>
      </c>
      <c r="B2315" s="360" t="s">
        <v>107</v>
      </c>
      <c r="C2315" s="355" t="s">
        <v>50</v>
      </c>
      <c r="D2315">
        <v>20000</v>
      </c>
      <c r="E2315" s="143">
        <v>70000</v>
      </c>
      <c r="F2315" s="117">
        <v>1403</v>
      </c>
      <c r="G2315" s="360" t="s">
        <v>298</v>
      </c>
      <c r="H2315" s="144">
        <f>bargiri[[#This Row],[میزان بارگیری شده]]*bargiri[[#This Row],[فی]]</f>
        <v>1400000000</v>
      </c>
      <c r="I2315" s="360">
        <f>IF(year=bargiri[[#This Row],[سال]],1,0)</f>
        <v>0</v>
      </c>
      <c r="J2315" s="360" t="str">
        <f>VLOOKUP(bargiri[[#This Row],[شماره پیش فاکتور]],invoice[],16,0)</f>
        <v>عادی</v>
      </c>
      <c r="K2315" s="252">
        <f>bargiri[[#This Row],[فی]]*bargiri[[#This Row],[میزان بارگیری شده]]</f>
        <v>1400000000</v>
      </c>
      <c r="Z2315" s="1"/>
    </row>
    <row r="2316" spans="1:26" ht="18.600000000000001">
      <c r="A2316" s="360" t="s">
        <v>192</v>
      </c>
      <c r="B2316" s="360" t="s">
        <v>118</v>
      </c>
      <c r="C2316" s="355" t="s">
        <v>84</v>
      </c>
      <c r="D2316">
        <v>21070</v>
      </c>
      <c r="E2316" s="143">
        <v>57273</v>
      </c>
      <c r="F2316" s="117">
        <v>1403</v>
      </c>
      <c r="G2316" s="360" t="s">
        <v>298</v>
      </c>
      <c r="H2316" s="144">
        <f>bargiri[[#This Row],[میزان بارگیری شده]]*bargiri[[#This Row],[فی]]</f>
        <v>1206742110</v>
      </c>
      <c r="I2316" s="360">
        <f>IF(year=bargiri[[#This Row],[سال]],1,0)</f>
        <v>0</v>
      </c>
      <c r="J2316" s="360" t="str">
        <f>VLOOKUP(bargiri[[#This Row],[شماره پیش فاکتور]],invoice[],16,0)</f>
        <v>عادی</v>
      </c>
      <c r="K2316" s="252">
        <f>bargiri[[#This Row],[فی]]*bargiri[[#This Row],[میزان بارگیری شده]]</f>
        <v>1206742110</v>
      </c>
      <c r="Z2316" s="1"/>
    </row>
    <row r="2317" spans="1:26" ht="18.600000000000001">
      <c r="A2317" s="360" t="s">
        <v>192</v>
      </c>
      <c r="B2317" s="360" t="s">
        <v>118</v>
      </c>
      <c r="C2317" s="355" t="s">
        <v>84</v>
      </c>
      <c r="D2317">
        <v>21505</v>
      </c>
      <c r="E2317" s="143">
        <v>57273</v>
      </c>
      <c r="F2317" s="117">
        <v>1403</v>
      </c>
      <c r="G2317" s="360" t="s">
        <v>298</v>
      </c>
      <c r="H2317" s="144">
        <f>bargiri[[#This Row],[میزان بارگیری شده]]*bargiri[[#This Row],[فی]]</f>
        <v>1231655865</v>
      </c>
      <c r="I2317" s="360">
        <f>IF(year=bargiri[[#This Row],[سال]],1,0)</f>
        <v>0</v>
      </c>
      <c r="J2317" s="360" t="str">
        <f>VLOOKUP(bargiri[[#This Row],[شماره پیش فاکتور]],invoice[],16,0)</f>
        <v>عادی</v>
      </c>
      <c r="K2317" s="252">
        <f>bargiri[[#This Row],[فی]]*bargiri[[#This Row],[میزان بارگیری شده]]</f>
        <v>1231655865</v>
      </c>
      <c r="Z2317" s="1"/>
    </row>
    <row r="2318" spans="1:26" ht="18.600000000000001">
      <c r="A2318" s="360" t="s">
        <v>192</v>
      </c>
      <c r="B2318" s="360" t="s">
        <v>122</v>
      </c>
      <c r="C2318" s="355" t="s">
        <v>91</v>
      </c>
      <c r="D2318">
        <v>22070</v>
      </c>
      <c r="E2318" s="143">
        <v>75000</v>
      </c>
      <c r="F2318" s="117">
        <v>1403</v>
      </c>
      <c r="G2318" s="360" t="s">
        <v>298</v>
      </c>
      <c r="H2318" s="144">
        <f>bargiri[[#This Row],[میزان بارگیری شده]]*bargiri[[#This Row],[فی]]</f>
        <v>1655250000</v>
      </c>
      <c r="I2318" s="360">
        <f>IF(year=bargiri[[#This Row],[سال]],1,0)</f>
        <v>0</v>
      </c>
      <c r="J2318" s="360" t="str">
        <f>VLOOKUP(bargiri[[#This Row],[شماره پیش فاکتور]],invoice[],16,0)</f>
        <v>عادی</v>
      </c>
      <c r="K2318" s="252">
        <f>bargiri[[#This Row],[فی]]*bargiri[[#This Row],[میزان بارگیری شده]]</f>
        <v>1655250000</v>
      </c>
      <c r="Z2318" s="1"/>
    </row>
    <row r="2319" spans="1:26" ht="18.600000000000001">
      <c r="A2319" s="360" t="s">
        <v>135</v>
      </c>
      <c r="B2319" s="360" t="s">
        <v>116</v>
      </c>
      <c r="C2319" s="355" t="s">
        <v>77</v>
      </c>
      <c r="D2319">
        <v>20185</v>
      </c>
      <c r="E2319" s="143">
        <v>68500</v>
      </c>
      <c r="F2319" s="117">
        <v>1403</v>
      </c>
      <c r="G2319" s="360" t="s">
        <v>298</v>
      </c>
      <c r="H2319" s="144">
        <f>bargiri[[#This Row],[میزان بارگیری شده]]*bargiri[[#This Row],[فی]]</f>
        <v>1382672500</v>
      </c>
      <c r="I2319" s="360">
        <f>IF(year=bargiri[[#This Row],[سال]],1,0)</f>
        <v>0</v>
      </c>
      <c r="J2319" s="360" t="str">
        <f>VLOOKUP(bargiri[[#This Row],[شماره پیش فاکتور]],invoice[],16,0)</f>
        <v>عادی</v>
      </c>
      <c r="K2319" s="252">
        <f>bargiri[[#This Row],[فی]]*bargiri[[#This Row],[میزان بارگیری شده]]</f>
        <v>1382672500</v>
      </c>
      <c r="Z2319" s="1"/>
    </row>
    <row r="2320" spans="1:26" ht="18.600000000000001">
      <c r="A2320" s="360" t="s">
        <v>135</v>
      </c>
      <c r="B2320" s="360" t="s">
        <v>107</v>
      </c>
      <c r="C2320" s="355" t="s">
        <v>50</v>
      </c>
      <c r="D2320">
        <v>19095</v>
      </c>
      <c r="E2320" s="143">
        <v>70000</v>
      </c>
      <c r="F2320" s="117">
        <v>1403</v>
      </c>
      <c r="G2320" s="360" t="s">
        <v>298</v>
      </c>
      <c r="H2320" s="144">
        <f>bargiri[[#This Row],[میزان بارگیری شده]]*bargiri[[#This Row],[فی]]</f>
        <v>1336650000</v>
      </c>
      <c r="I2320" s="360">
        <f>IF(year=bargiri[[#This Row],[سال]],1,0)</f>
        <v>0</v>
      </c>
      <c r="J2320" s="360" t="str">
        <f>VLOOKUP(bargiri[[#This Row],[شماره پیش فاکتور]],invoice[],16,0)</f>
        <v>عادی</v>
      </c>
      <c r="K2320" s="252">
        <f>bargiri[[#This Row],[فی]]*bargiri[[#This Row],[میزان بارگیری شده]]</f>
        <v>1336650000</v>
      </c>
      <c r="Z2320" s="1"/>
    </row>
    <row r="2321" spans="1:26" ht="18.600000000000001">
      <c r="A2321" s="360" t="s">
        <v>135</v>
      </c>
      <c r="B2321" s="360" t="s">
        <v>111</v>
      </c>
      <c r="C2321" s="355" t="s">
        <v>59</v>
      </c>
      <c r="D2321">
        <v>9985</v>
      </c>
      <c r="E2321" s="143">
        <v>80000</v>
      </c>
      <c r="F2321" s="117">
        <v>1403</v>
      </c>
      <c r="G2321" s="360" t="s">
        <v>298</v>
      </c>
      <c r="H2321" s="144">
        <f>bargiri[[#This Row],[میزان بارگیری شده]]*bargiri[[#This Row],[فی]]</f>
        <v>798800000</v>
      </c>
      <c r="I2321" s="360">
        <f>IF(year=bargiri[[#This Row],[سال]],1,0)</f>
        <v>0</v>
      </c>
      <c r="J2321" s="360" t="str">
        <f>VLOOKUP(bargiri[[#This Row],[شماره پیش فاکتور]],invoice[],16,0)</f>
        <v>عادی</v>
      </c>
      <c r="K2321" s="252">
        <f>bargiri[[#This Row],[فی]]*bargiri[[#This Row],[میزان بارگیری شده]]</f>
        <v>798800000</v>
      </c>
      <c r="Z2321" s="1"/>
    </row>
    <row r="2322" spans="1:26" ht="18.600000000000001">
      <c r="A2322" s="360" t="s">
        <v>135</v>
      </c>
      <c r="B2322" s="360" t="s">
        <v>116</v>
      </c>
      <c r="C2322" s="355" t="s">
        <v>74</v>
      </c>
      <c r="D2322">
        <v>20075</v>
      </c>
      <c r="E2322" s="143">
        <v>75000</v>
      </c>
      <c r="F2322" s="117">
        <v>1403</v>
      </c>
      <c r="G2322" s="360" t="s">
        <v>298</v>
      </c>
      <c r="H2322" s="144">
        <f>bargiri[[#This Row],[میزان بارگیری شده]]*bargiri[[#This Row],[فی]]</f>
        <v>1505625000</v>
      </c>
      <c r="I2322" s="360">
        <f>IF(year=bargiri[[#This Row],[سال]],1,0)</f>
        <v>0</v>
      </c>
      <c r="J2322" s="360" t="str">
        <f>VLOOKUP(bargiri[[#This Row],[شماره پیش فاکتور]],invoice[],16,0)</f>
        <v>بورس</v>
      </c>
      <c r="K2322" s="252">
        <f>bargiri[[#This Row],[فی]]*bargiri[[#This Row],[میزان بارگیری شده]]</f>
        <v>1505625000</v>
      </c>
      <c r="Z2322" s="1"/>
    </row>
    <row r="2323" spans="1:26" ht="18.600000000000001">
      <c r="A2323" s="360" t="s">
        <v>376</v>
      </c>
      <c r="B2323" s="360" t="s">
        <v>120</v>
      </c>
      <c r="C2323" s="355" t="s">
        <v>88</v>
      </c>
      <c r="D2323">
        <v>9030</v>
      </c>
      <c r="E2323" s="143">
        <v>80000</v>
      </c>
      <c r="F2323" s="117">
        <v>1403</v>
      </c>
      <c r="G2323" s="360" t="s">
        <v>298</v>
      </c>
      <c r="H2323" s="144">
        <f>bargiri[[#This Row],[میزان بارگیری شده]]*bargiri[[#This Row],[فی]]</f>
        <v>722400000</v>
      </c>
      <c r="I2323" s="360">
        <f>IF(year=bargiri[[#This Row],[سال]],1,0)</f>
        <v>0</v>
      </c>
      <c r="J2323" s="360" t="str">
        <f>VLOOKUP(bargiri[[#This Row],[شماره پیش فاکتور]],invoice[],16,0)</f>
        <v>عادی</v>
      </c>
      <c r="K2323" s="252">
        <f>bargiri[[#This Row],[فی]]*bargiri[[#This Row],[میزان بارگیری شده]]</f>
        <v>722400000</v>
      </c>
      <c r="Z2323" s="1"/>
    </row>
    <row r="2324" spans="1:26" ht="18.600000000000001">
      <c r="A2324" s="360" t="s">
        <v>376</v>
      </c>
      <c r="B2324" s="360" t="s">
        <v>103</v>
      </c>
      <c r="C2324" s="355" t="s">
        <v>30</v>
      </c>
      <c r="D2324">
        <v>7280</v>
      </c>
      <c r="E2324" s="143">
        <v>70000</v>
      </c>
      <c r="F2324" s="117">
        <v>1403</v>
      </c>
      <c r="G2324" s="360" t="s">
        <v>298</v>
      </c>
      <c r="H2324" s="144">
        <f>bargiri[[#This Row],[میزان بارگیری شده]]*bargiri[[#This Row],[فی]]</f>
        <v>509600000</v>
      </c>
      <c r="I2324" s="360">
        <f>IF(year=bargiri[[#This Row],[سال]],1,0)</f>
        <v>0</v>
      </c>
      <c r="J2324" s="360" t="str">
        <f>VLOOKUP(bargiri[[#This Row],[شماره پیش فاکتور]],invoice[],16,0)</f>
        <v>عادی</v>
      </c>
      <c r="K2324" s="252">
        <f>bargiri[[#This Row],[فی]]*bargiri[[#This Row],[میزان بارگیری شده]]</f>
        <v>509600000</v>
      </c>
      <c r="Z2324" s="1"/>
    </row>
    <row r="2325" spans="1:26" ht="18.600000000000001">
      <c r="A2325" s="360" t="s">
        <v>376</v>
      </c>
      <c r="B2325" s="360" t="s">
        <v>103</v>
      </c>
      <c r="C2325" s="355" t="s">
        <v>30</v>
      </c>
      <c r="D2325">
        <v>7325</v>
      </c>
      <c r="E2325" s="143">
        <v>70000</v>
      </c>
      <c r="F2325" s="117">
        <v>1403</v>
      </c>
      <c r="G2325" s="360" t="s">
        <v>298</v>
      </c>
      <c r="H2325" s="144">
        <f>bargiri[[#This Row],[میزان بارگیری شده]]*bargiri[[#This Row],[فی]]</f>
        <v>512750000</v>
      </c>
      <c r="I2325" s="360">
        <f>IF(year=bargiri[[#This Row],[سال]],1,0)</f>
        <v>0</v>
      </c>
      <c r="J2325" s="360" t="str">
        <f>VLOOKUP(bargiri[[#This Row],[شماره پیش فاکتور]],invoice[],16,0)</f>
        <v>عادی</v>
      </c>
      <c r="K2325" s="252">
        <f>bargiri[[#This Row],[فی]]*bargiri[[#This Row],[میزان بارگیری شده]]</f>
        <v>512750000</v>
      </c>
      <c r="Z2325" s="1"/>
    </row>
    <row r="2326" spans="1:26" ht="18.600000000000001">
      <c r="A2326" s="360" t="s">
        <v>376</v>
      </c>
      <c r="B2326" s="360" t="s">
        <v>98</v>
      </c>
      <c r="C2326" s="355" t="s">
        <v>8</v>
      </c>
      <c r="D2326">
        <v>21775</v>
      </c>
      <c r="E2326" s="143">
        <v>72000</v>
      </c>
      <c r="F2326" s="117">
        <v>1403</v>
      </c>
      <c r="G2326" s="360" t="s">
        <v>298</v>
      </c>
      <c r="H2326" s="144">
        <f>bargiri[[#This Row],[میزان بارگیری شده]]*bargiri[[#This Row],[فی]]</f>
        <v>1567800000</v>
      </c>
      <c r="I2326" s="360">
        <f>IF(year=bargiri[[#This Row],[سال]],1,0)</f>
        <v>0</v>
      </c>
      <c r="J2326" s="360" t="str">
        <f>VLOOKUP(bargiri[[#This Row],[شماره پیش فاکتور]],invoice[],16,0)</f>
        <v>عادی</v>
      </c>
      <c r="K2326" s="252">
        <f>bargiri[[#This Row],[فی]]*bargiri[[#This Row],[میزان بارگیری شده]]</f>
        <v>1567800000</v>
      </c>
      <c r="Z2326" s="1"/>
    </row>
    <row r="2327" spans="1:26" ht="18.600000000000001">
      <c r="A2327" s="360" t="s">
        <v>376</v>
      </c>
      <c r="B2327" s="360" t="s">
        <v>118</v>
      </c>
      <c r="C2327" s="355" t="s">
        <v>84</v>
      </c>
      <c r="D2327">
        <v>21330</v>
      </c>
      <c r="E2327" s="143">
        <v>57273</v>
      </c>
      <c r="F2327" s="117">
        <v>1403</v>
      </c>
      <c r="G2327" s="360" t="s">
        <v>298</v>
      </c>
      <c r="H2327" s="144">
        <f>bargiri[[#This Row],[میزان بارگیری شده]]*bargiri[[#This Row],[فی]]</f>
        <v>1221633090</v>
      </c>
      <c r="I2327" s="360">
        <f>IF(year=bargiri[[#This Row],[سال]],1,0)</f>
        <v>0</v>
      </c>
      <c r="J2327" s="360" t="str">
        <f>VLOOKUP(bargiri[[#This Row],[شماره پیش فاکتور]],invoice[],16,0)</f>
        <v>عادی</v>
      </c>
      <c r="K2327" s="252">
        <f>bargiri[[#This Row],[فی]]*bargiri[[#This Row],[میزان بارگیری شده]]</f>
        <v>1221633090</v>
      </c>
      <c r="Z2327" s="1"/>
    </row>
    <row r="2328" spans="1:26" ht="18.600000000000001">
      <c r="A2328" s="360" t="s">
        <v>376</v>
      </c>
      <c r="B2328" s="360" t="s">
        <v>118</v>
      </c>
      <c r="C2328" s="355" t="s">
        <v>84</v>
      </c>
      <c r="D2328">
        <v>21345</v>
      </c>
      <c r="E2328" s="143">
        <v>57273</v>
      </c>
      <c r="F2328" s="117">
        <v>1403</v>
      </c>
      <c r="G2328" s="360" t="s">
        <v>298</v>
      </c>
      <c r="H2328" s="144">
        <f>bargiri[[#This Row],[میزان بارگیری شده]]*bargiri[[#This Row],[فی]]</f>
        <v>1222492185</v>
      </c>
      <c r="I2328" s="360">
        <f>IF(year=bargiri[[#This Row],[سال]],1,0)</f>
        <v>0</v>
      </c>
      <c r="J2328" s="360" t="str">
        <f>VLOOKUP(bargiri[[#This Row],[شماره پیش فاکتور]],invoice[],16,0)</f>
        <v>عادی</v>
      </c>
      <c r="K2328" s="252">
        <f>bargiri[[#This Row],[فی]]*bargiri[[#This Row],[میزان بارگیری شده]]</f>
        <v>1222492185</v>
      </c>
      <c r="Z2328" s="1"/>
    </row>
    <row r="2329" spans="1:26" ht="18.600000000000001">
      <c r="A2329" s="360" t="s">
        <v>376</v>
      </c>
      <c r="B2329" s="360" t="s">
        <v>118</v>
      </c>
      <c r="C2329" s="355" t="s">
        <v>84</v>
      </c>
      <c r="D2329">
        <v>21500</v>
      </c>
      <c r="E2329" s="143">
        <v>57273</v>
      </c>
      <c r="F2329" s="117">
        <v>1403</v>
      </c>
      <c r="G2329" s="360" t="s">
        <v>298</v>
      </c>
      <c r="H2329" s="144">
        <f>bargiri[[#This Row],[میزان بارگیری شده]]*bargiri[[#This Row],[فی]]</f>
        <v>1231369500</v>
      </c>
      <c r="I2329" s="360">
        <f>IF(year=bargiri[[#This Row],[سال]],1,0)</f>
        <v>0</v>
      </c>
      <c r="J2329" s="360" t="str">
        <f>VLOOKUP(bargiri[[#This Row],[شماره پیش فاکتور]],invoice[],16,0)</f>
        <v>عادی</v>
      </c>
      <c r="K2329" s="252">
        <f>bargiri[[#This Row],[فی]]*bargiri[[#This Row],[میزان بارگیری شده]]</f>
        <v>1231369500</v>
      </c>
      <c r="Z2329" s="1"/>
    </row>
    <row r="2330" spans="1:26" ht="18.600000000000001">
      <c r="A2330" s="360" t="s">
        <v>377</v>
      </c>
      <c r="B2330" s="360" t="s">
        <v>113</v>
      </c>
      <c r="C2330" s="355" t="s">
        <v>61</v>
      </c>
      <c r="D2330">
        <v>14785</v>
      </c>
      <c r="E2330" s="143">
        <v>75000</v>
      </c>
      <c r="F2330" s="117">
        <v>1403</v>
      </c>
      <c r="G2330" s="360" t="s">
        <v>298</v>
      </c>
      <c r="H2330" s="144">
        <f>bargiri[[#This Row],[میزان بارگیری شده]]*bargiri[[#This Row],[فی]]</f>
        <v>1108875000</v>
      </c>
      <c r="I2330" s="360">
        <f>IF(year=bargiri[[#This Row],[سال]],1,0)</f>
        <v>0</v>
      </c>
      <c r="J2330" s="360" t="str">
        <f>VLOOKUP(bargiri[[#This Row],[شماره پیش فاکتور]],invoice[],16,0)</f>
        <v>عادی</v>
      </c>
      <c r="K2330" s="252">
        <f>bargiri[[#This Row],[فی]]*bargiri[[#This Row],[میزان بارگیری شده]]</f>
        <v>1108875000</v>
      </c>
      <c r="Z2330" s="1"/>
    </row>
    <row r="2331" spans="1:26" ht="18.600000000000001">
      <c r="A2331" s="360" t="s">
        <v>377</v>
      </c>
      <c r="B2331" s="360" t="s">
        <v>102</v>
      </c>
      <c r="C2331" s="355" t="s">
        <v>25</v>
      </c>
      <c r="D2331">
        <v>11945</v>
      </c>
      <c r="E2331" s="143">
        <v>65000</v>
      </c>
      <c r="F2331" s="117">
        <v>1403</v>
      </c>
      <c r="G2331" s="360" t="s">
        <v>298</v>
      </c>
      <c r="H2331" s="144">
        <f>bargiri[[#This Row],[میزان بارگیری شده]]*bargiri[[#This Row],[فی]]</f>
        <v>776425000</v>
      </c>
      <c r="I2331" s="360">
        <f>IF(year=bargiri[[#This Row],[سال]],1,0)</f>
        <v>0</v>
      </c>
      <c r="J2331" s="360" t="str">
        <f>VLOOKUP(bargiri[[#This Row],[شماره پیش فاکتور]],invoice[],16,0)</f>
        <v>عادی</v>
      </c>
      <c r="K2331" s="252">
        <f>bargiri[[#This Row],[فی]]*bargiri[[#This Row],[میزان بارگیری شده]]</f>
        <v>776425000</v>
      </c>
      <c r="Z2331" s="1"/>
    </row>
    <row r="2332" spans="1:26" ht="18.600000000000001">
      <c r="A2332" s="360" t="s">
        <v>377</v>
      </c>
      <c r="B2332" s="360" t="s">
        <v>103</v>
      </c>
      <c r="C2332" s="355" t="s">
        <v>30</v>
      </c>
      <c r="D2332">
        <v>7525</v>
      </c>
      <c r="E2332" s="143">
        <v>70000</v>
      </c>
      <c r="F2332" s="117">
        <v>1403</v>
      </c>
      <c r="G2332" s="360" t="s">
        <v>298</v>
      </c>
      <c r="H2332" s="144">
        <f>bargiri[[#This Row],[میزان بارگیری شده]]*bargiri[[#This Row],[فی]]</f>
        <v>526750000</v>
      </c>
      <c r="I2332" s="360">
        <f>IF(year=bargiri[[#This Row],[سال]],1,0)</f>
        <v>0</v>
      </c>
      <c r="J2332" s="360" t="str">
        <f>VLOOKUP(bargiri[[#This Row],[شماره پیش فاکتور]],invoice[],16,0)</f>
        <v>عادی</v>
      </c>
      <c r="K2332" s="252">
        <f>bargiri[[#This Row],[فی]]*bargiri[[#This Row],[میزان بارگیری شده]]</f>
        <v>526750000</v>
      </c>
      <c r="Z2332" s="1"/>
    </row>
    <row r="2333" spans="1:26" ht="18.600000000000001">
      <c r="A2333" s="360" t="s">
        <v>377</v>
      </c>
      <c r="B2333" s="360" t="s">
        <v>113</v>
      </c>
      <c r="C2333" s="355" t="s">
        <v>61</v>
      </c>
      <c r="D2333">
        <v>5125</v>
      </c>
      <c r="E2333" s="143">
        <v>75000</v>
      </c>
      <c r="F2333" s="117">
        <v>1403</v>
      </c>
      <c r="G2333" s="360" t="s">
        <v>298</v>
      </c>
      <c r="H2333" s="144">
        <f>bargiri[[#This Row],[میزان بارگیری شده]]*bargiri[[#This Row],[فی]]</f>
        <v>384375000</v>
      </c>
      <c r="I2333" s="360">
        <f>IF(year=bargiri[[#This Row],[سال]],1,0)</f>
        <v>0</v>
      </c>
      <c r="J2333" s="360" t="str">
        <f>VLOOKUP(bargiri[[#This Row],[شماره پیش فاکتور]],invoice[],16,0)</f>
        <v>عادی</v>
      </c>
      <c r="K2333" s="252">
        <f>bargiri[[#This Row],[فی]]*bargiri[[#This Row],[میزان بارگیری شده]]</f>
        <v>384375000</v>
      </c>
      <c r="Z2333" s="1"/>
    </row>
    <row r="2334" spans="1:26" ht="18.600000000000001">
      <c r="A2334" s="360" t="s">
        <v>377</v>
      </c>
      <c r="B2334" s="360" t="s">
        <v>113</v>
      </c>
      <c r="C2334" s="355" t="s">
        <v>61</v>
      </c>
      <c r="D2334">
        <v>14765</v>
      </c>
      <c r="E2334" s="143">
        <v>75000</v>
      </c>
      <c r="F2334" s="117">
        <v>1403</v>
      </c>
      <c r="G2334" s="360" t="s">
        <v>298</v>
      </c>
      <c r="H2334" s="144">
        <f>bargiri[[#This Row],[میزان بارگیری شده]]*bargiri[[#This Row],[فی]]</f>
        <v>1107375000</v>
      </c>
      <c r="I2334" s="360">
        <f>IF(year=bargiri[[#This Row],[سال]],1,0)</f>
        <v>0</v>
      </c>
      <c r="J2334" s="360" t="str">
        <f>VLOOKUP(bargiri[[#This Row],[شماره پیش فاکتور]],invoice[],16,0)</f>
        <v>عادی</v>
      </c>
      <c r="K2334" s="252">
        <f>bargiri[[#This Row],[فی]]*bargiri[[#This Row],[میزان بارگیری شده]]</f>
        <v>1107375000</v>
      </c>
      <c r="Z2334" s="1"/>
    </row>
    <row r="2335" spans="1:26" ht="18.600000000000001">
      <c r="A2335" s="360" t="s">
        <v>377</v>
      </c>
      <c r="B2335" s="360" t="s">
        <v>107</v>
      </c>
      <c r="C2335" s="355" t="s">
        <v>50</v>
      </c>
      <c r="D2335">
        <v>19985</v>
      </c>
      <c r="E2335" s="143">
        <v>70000</v>
      </c>
      <c r="F2335" s="117">
        <v>1403</v>
      </c>
      <c r="G2335" s="360" t="s">
        <v>298</v>
      </c>
      <c r="H2335" s="144">
        <f>bargiri[[#This Row],[میزان بارگیری شده]]*bargiri[[#This Row],[فی]]</f>
        <v>1398950000</v>
      </c>
      <c r="I2335" s="360">
        <f>IF(year=bargiri[[#This Row],[سال]],1,0)</f>
        <v>0</v>
      </c>
      <c r="J2335" s="360" t="str">
        <f>VLOOKUP(bargiri[[#This Row],[شماره پیش فاکتور]],invoice[],16,0)</f>
        <v>عادی</v>
      </c>
      <c r="K2335" s="252">
        <f>bargiri[[#This Row],[فی]]*bargiri[[#This Row],[میزان بارگیری شده]]</f>
        <v>1398950000</v>
      </c>
      <c r="Z2335" s="1"/>
    </row>
    <row r="2336" spans="1:26" ht="18.600000000000001">
      <c r="A2336" s="360" t="s">
        <v>377</v>
      </c>
      <c r="B2336" s="360" t="s">
        <v>118</v>
      </c>
      <c r="C2336" s="355" t="s">
        <v>84</v>
      </c>
      <c r="D2336">
        <v>21340</v>
      </c>
      <c r="E2336" s="143">
        <v>57273</v>
      </c>
      <c r="F2336" s="117">
        <v>1403</v>
      </c>
      <c r="G2336" s="360" t="s">
        <v>298</v>
      </c>
      <c r="H2336" s="144">
        <f>bargiri[[#This Row],[میزان بارگیری شده]]*bargiri[[#This Row],[فی]]</f>
        <v>1222205820</v>
      </c>
      <c r="I2336" s="360">
        <f>IF(year=bargiri[[#This Row],[سال]],1,0)</f>
        <v>0</v>
      </c>
      <c r="J2336" s="360" t="str">
        <f>VLOOKUP(bargiri[[#This Row],[شماره پیش فاکتور]],invoice[],16,0)</f>
        <v>عادی</v>
      </c>
      <c r="K2336" s="252">
        <f>bargiri[[#This Row],[فی]]*bargiri[[#This Row],[میزان بارگیری شده]]</f>
        <v>1222205820</v>
      </c>
      <c r="Z2336" s="1"/>
    </row>
    <row r="2337" spans="1:26" ht="18.600000000000001">
      <c r="A2337" s="360" t="s">
        <v>177</v>
      </c>
      <c r="B2337" s="360" t="s">
        <v>106</v>
      </c>
      <c r="C2337" s="355" t="s">
        <v>48</v>
      </c>
      <c r="D2337">
        <v>21295</v>
      </c>
      <c r="E2337" s="143">
        <v>65000</v>
      </c>
      <c r="F2337" s="117">
        <v>1403</v>
      </c>
      <c r="G2337" s="360" t="s">
        <v>298</v>
      </c>
      <c r="H2337" s="144">
        <f>bargiri[[#This Row],[میزان بارگیری شده]]*bargiri[[#This Row],[فی]]</f>
        <v>1384175000</v>
      </c>
      <c r="I2337" s="360">
        <f>IF(year=bargiri[[#This Row],[سال]],1,0)</f>
        <v>0</v>
      </c>
      <c r="J2337" s="360" t="str">
        <f>VLOOKUP(bargiri[[#This Row],[شماره پیش فاکتور]],invoice[],16,0)</f>
        <v>عادی</v>
      </c>
      <c r="K2337" s="252">
        <f>bargiri[[#This Row],[فی]]*bargiri[[#This Row],[میزان بارگیری شده]]</f>
        <v>1384175000</v>
      </c>
      <c r="Z2337" s="1"/>
    </row>
    <row r="2338" spans="1:26" ht="18.600000000000001">
      <c r="A2338" s="360" t="s">
        <v>177</v>
      </c>
      <c r="B2338" s="360" t="s">
        <v>106</v>
      </c>
      <c r="C2338" s="355" t="s">
        <v>48</v>
      </c>
      <c r="D2338">
        <v>15080</v>
      </c>
      <c r="E2338" s="143">
        <v>65000</v>
      </c>
      <c r="F2338" s="117">
        <v>1403</v>
      </c>
      <c r="G2338" s="360" t="s">
        <v>298</v>
      </c>
      <c r="H2338" s="144">
        <f>bargiri[[#This Row],[میزان بارگیری شده]]*bargiri[[#This Row],[فی]]</f>
        <v>980200000</v>
      </c>
      <c r="I2338" s="360">
        <f>IF(year=bargiri[[#This Row],[سال]],1,0)</f>
        <v>0</v>
      </c>
      <c r="J2338" s="360" t="str">
        <f>VLOOKUP(bargiri[[#This Row],[شماره پیش فاکتور]],invoice[],16,0)</f>
        <v>عادی</v>
      </c>
      <c r="K2338" s="252">
        <f>bargiri[[#This Row],[فی]]*bargiri[[#This Row],[میزان بارگیری شده]]</f>
        <v>980200000</v>
      </c>
      <c r="Z2338" s="1"/>
    </row>
    <row r="2339" spans="1:26" ht="18.600000000000001">
      <c r="A2339" s="360" t="s">
        <v>177</v>
      </c>
      <c r="B2339" s="360" t="s">
        <v>106</v>
      </c>
      <c r="C2339" s="355" t="s">
        <v>48</v>
      </c>
      <c r="D2339">
        <v>5330</v>
      </c>
      <c r="E2339" s="143">
        <v>65000</v>
      </c>
      <c r="F2339" s="117">
        <v>1403</v>
      </c>
      <c r="G2339" s="360" t="s">
        <v>298</v>
      </c>
      <c r="H2339" s="144">
        <f>bargiri[[#This Row],[میزان بارگیری شده]]*bargiri[[#This Row],[فی]]</f>
        <v>346450000</v>
      </c>
      <c r="I2339" s="360">
        <f>IF(year=bargiri[[#This Row],[سال]],1,0)</f>
        <v>0</v>
      </c>
      <c r="J2339" s="360" t="str">
        <f>VLOOKUP(bargiri[[#This Row],[شماره پیش فاکتور]],invoice[],16,0)</f>
        <v>عادی</v>
      </c>
      <c r="K2339" s="252">
        <f>bargiri[[#This Row],[فی]]*bargiri[[#This Row],[میزان بارگیری شده]]</f>
        <v>346450000</v>
      </c>
      <c r="Z2339" s="1"/>
    </row>
    <row r="2340" spans="1:26" ht="18.600000000000001">
      <c r="A2340" s="360" t="s">
        <v>177</v>
      </c>
      <c r="B2340" s="360" t="s">
        <v>120</v>
      </c>
      <c r="C2340" s="355" t="s">
        <v>88</v>
      </c>
      <c r="D2340">
        <v>9140</v>
      </c>
      <c r="E2340" s="143">
        <v>80000</v>
      </c>
      <c r="F2340" s="117">
        <v>1403</v>
      </c>
      <c r="G2340" s="360" t="s">
        <v>298</v>
      </c>
      <c r="H2340" s="144">
        <f>bargiri[[#This Row],[میزان بارگیری شده]]*bargiri[[#This Row],[فی]]</f>
        <v>731200000</v>
      </c>
      <c r="I2340" s="360">
        <f>IF(year=bargiri[[#This Row],[سال]],1,0)</f>
        <v>0</v>
      </c>
      <c r="J2340" s="360" t="str">
        <f>VLOOKUP(bargiri[[#This Row],[شماره پیش فاکتور]],invoice[],16,0)</f>
        <v>عادی</v>
      </c>
      <c r="K2340" s="252">
        <f>bargiri[[#This Row],[فی]]*bargiri[[#This Row],[میزان بارگیری شده]]</f>
        <v>731200000</v>
      </c>
      <c r="Z2340" s="1"/>
    </row>
    <row r="2341" spans="1:26" ht="18.600000000000001">
      <c r="A2341" s="360" t="s">
        <v>378</v>
      </c>
      <c r="B2341" s="360" t="s">
        <v>103</v>
      </c>
      <c r="C2341" s="355" t="s">
        <v>30</v>
      </c>
      <c r="D2341">
        <v>7515</v>
      </c>
      <c r="E2341" s="143">
        <v>70000</v>
      </c>
      <c r="F2341" s="117">
        <v>1403</v>
      </c>
      <c r="G2341" s="360" t="s">
        <v>298</v>
      </c>
      <c r="H2341" s="144">
        <f>bargiri[[#This Row],[میزان بارگیری شده]]*bargiri[[#This Row],[فی]]</f>
        <v>526050000</v>
      </c>
      <c r="I2341" s="360">
        <f>IF(year=bargiri[[#This Row],[سال]],1,0)</f>
        <v>0</v>
      </c>
      <c r="J2341" s="360" t="str">
        <f>VLOOKUP(bargiri[[#This Row],[شماره پیش فاکتور]],invoice[],16,0)</f>
        <v>عادی</v>
      </c>
      <c r="K2341" s="252">
        <f>bargiri[[#This Row],[فی]]*bargiri[[#This Row],[میزان بارگیری شده]]</f>
        <v>526050000</v>
      </c>
      <c r="Z2341" s="1"/>
    </row>
    <row r="2342" spans="1:26" ht="18.600000000000001">
      <c r="A2342" s="360" t="s">
        <v>378</v>
      </c>
      <c r="B2342" s="360" t="s">
        <v>122</v>
      </c>
      <c r="C2342" s="355" t="s">
        <v>91</v>
      </c>
      <c r="D2342">
        <v>22220</v>
      </c>
      <c r="E2342" s="143">
        <v>75000</v>
      </c>
      <c r="F2342" s="117">
        <v>1403</v>
      </c>
      <c r="G2342" s="360" t="s">
        <v>298</v>
      </c>
      <c r="H2342" s="144">
        <f>bargiri[[#This Row],[میزان بارگیری شده]]*bargiri[[#This Row],[فی]]</f>
        <v>1666500000</v>
      </c>
      <c r="I2342" s="360">
        <f>IF(year=bargiri[[#This Row],[سال]],1,0)</f>
        <v>0</v>
      </c>
      <c r="J2342" s="360" t="str">
        <f>VLOOKUP(bargiri[[#This Row],[شماره پیش فاکتور]],invoice[],16,0)</f>
        <v>عادی</v>
      </c>
      <c r="K2342" s="252">
        <f>bargiri[[#This Row],[فی]]*bargiri[[#This Row],[میزان بارگیری شده]]</f>
        <v>1666500000</v>
      </c>
      <c r="Z2342" s="1"/>
    </row>
    <row r="2343" spans="1:26" ht="18.600000000000001">
      <c r="A2343" s="360" t="s">
        <v>379</v>
      </c>
      <c r="B2343" s="360" t="s">
        <v>120</v>
      </c>
      <c r="C2343" s="355" t="s">
        <v>88</v>
      </c>
      <c r="D2343">
        <v>7970</v>
      </c>
      <c r="E2343" s="143">
        <v>80000</v>
      </c>
      <c r="F2343" s="117">
        <v>1403</v>
      </c>
      <c r="G2343" s="360" t="s">
        <v>298</v>
      </c>
      <c r="H2343" s="144">
        <f>bargiri[[#This Row],[میزان بارگیری شده]]*bargiri[[#This Row],[فی]]</f>
        <v>637600000</v>
      </c>
      <c r="I2343" s="360">
        <f>IF(year=bargiri[[#This Row],[سال]],1,0)</f>
        <v>0</v>
      </c>
      <c r="J2343" s="360" t="str">
        <f>VLOOKUP(bargiri[[#This Row],[شماره پیش فاکتور]],invoice[],16,0)</f>
        <v>عادی</v>
      </c>
      <c r="K2343" s="252">
        <f>bargiri[[#This Row],[فی]]*bargiri[[#This Row],[میزان بارگیری شده]]</f>
        <v>637600000</v>
      </c>
      <c r="Z2343" s="1"/>
    </row>
    <row r="2344" spans="1:26" ht="18.600000000000001">
      <c r="A2344" s="360" t="s">
        <v>379</v>
      </c>
      <c r="B2344" s="360" t="s">
        <v>107</v>
      </c>
      <c r="C2344" s="355" t="s">
        <v>50</v>
      </c>
      <c r="D2344">
        <v>18980</v>
      </c>
      <c r="E2344" s="143">
        <v>70000</v>
      </c>
      <c r="F2344" s="117">
        <v>1403</v>
      </c>
      <c r="G2344" s="360" t="s">
        <v>298</v>
      </c>
      <c r="H2344" s="144">
        <f>bargiri[[#This Row],[میزان بارگیری شده]]*bargiri[[#This Row],[فی]]</f>
        <v>1328600000</v>
      </c>
      <c r="I2344" s="360">
        <f>IF(year=bargiri[[#This Row],[سال]],1,0)</f>
        <v>0</v>
      </c>
      <c r="J2344" s="360" t="str">
        <f>VLOOKUP(bargiri[[#This Row],[شماره پیش فاکتور]],invoice[],16,0)</f>
        <v>عادی</v>
      </c>
      <c r="K2344" s="252">
        <f>bargiri[[#This Row],[فی]]*bargiri[[#This Row],[میزان بارگیری شده]]</f>
        <v>1328600000</v>
      </c>
      <c r="Z2344" s="1"/>
    </row>
    <row r="2345" spans="1:26" ht="18.600000000000001">
      <c r="A2345" s="360" t="s">
        <v>379</v>
      </c>
      <c r="B2345" s="360" t="s">
        <v>106</v>
      </c>
      <c r="C2345" s="355" t="s">
        <v>48</v>
      </c>
      <c r="D2345">
        <v>20855</v>
      </c>
      <c r="E2345" s="143">
        <v>65000</v>
      </c>
      <c r="F2345" s="117">
        <v>1403</v>
      </c>
      <c r="G2345" s="360" t="s">
        <v>298</v>
      </c>
      <c r="H2345" s="144">
        <f>bargiri[[#This Row],[میزان بارگیری شده]]*bargiri[[#This Row],[فی]]</f>
        <v>1355575000</v>
      </c>
      <c r="I2345" s="360">
        <f>IF(year=bargiri[[#This Row],[سال]],1,0)</f>
        <v>0</v>
      </c>
      <c r="J2345" s="360" t="str">
        <f>VLOOKUP(bargiri[[#This Row],[شماره پیش فاکتور]],invoice[],16,0)</f>
        <v>عادی</v>
      </c>
      <c r="K2345" s="252">
        <f>bargiri[[#This Row],[فی]]*bargiri[[#This Row],[میزان بارگیری شده]]</f>
        <v>1355575000</v>
      </c>
      <c r="Z2345" s="1"/>
    </row>
    <row r="2346" spans="1:26" ht="18.600000000000001">
      <c r="A2346" s="360" t="s">
        <v>380</v>
      </c>
      <c r="B2346" s="360" t="s">
        <v>103</v>
      </c>
      <c r="C2346" s="355" t="s">
        <v>30</v>
      </c>
      <c r="D2346">
        <v>7190</v>
      </c>
      <c r="E2346" s="143">
        <v>70000</v>
      </c>
      <c r="F2346" s="117">
        <v>1403</v>
      </c>
      <c r="G2346" s="360" t="s">
        <v>298</v>
      </c>
      <c r="H2346" s="144">
        <f>bargiri[[#This Row],[میزان بارگیری شده]]*bargiri[[#This Row],[فی]]</f>
        <v>503300000</v>
      </c>
      <c r="I2346" s="360">
        <f>IF(year=bargiri[[#This Row],[سال]],1,0)</f>
        <v>0</v>
      </c>
      <c r="J2346" s="360" t="str">
        <f>VLOOKUP(bargiri[[#This Row],[شماره پیش فاکتور]],invoice[],16,0)</f>
        <v>عادی</v>
      </c>
      <c r="K2346" s="252">
        <f>bargiri[[#This Row],[فی]]*bargiri[[#This Row],[میزان بارگیری شده]]</f>
        <v>503300000</v>
      </c>
      <c r="Z2346" s="1"/>
    </row>
    <row r="2347" spans="1:26" ht="18.600000000000001">
      <c r="A2347" s="360" t="s">
        <v>380</v>
      </c>
      <c r="B2347" s="360" t="s">
        <v>106</v>
      </c>
      <c r="C2347" s="355" t="s">
        <v>48</v>
      </c>
      <c r="D2347">
        <v>21450</v>
      </c>
      <c r="E2347" s="143">
        <v>65000</v>
      </c>
      <c r="F2347" s="117">
        <v>1403</v>
      </c>
      <c r="G2347" s="360" t="s">
        <v>298</v>
      </c>
      <c r="H2347" s="144">
        <f>bargiri[[#This Row],[میزان بارگیری شده]]*bargiri[[#This Row],[فی]]</f>
        <v>1394250000</v>
      </c>
      <c r="I2347" s="360">
        <f>IF(year=bargiri[[#This Row],[سال]],1,0)</f>
        <v>0</v>
      </c>
      <c r="J2347" s="360" t="str">
        <f>VLOOKUP(bargiri[[#This Row],[شماره پیش فاکتور]],invoice[],16,0)</f>
        <v>عادی</v>
      </c>
      <c r="K2347" s="252">
        <f>bargiri[[#This Row],[فی]]*bargiri[[#This Row],[میزان بارگیری شده]]</f>
        <v>1394250000</v>
      </c>
      <c r="Z2347" s="1"/>
    </row>
    <row r="2348" spans="1:26" ht="18.600000000000001">
      <c r="A2348" s="360" t="s">
        <v>380</v>
      </c>
      <c r="B2348" s="360" t="s">
        <v>101</v>
      </c>
      <c r="C2348" s="355" t="s">
        <v>18</v>
      </c>
      <c r="D2348">
        <v>22155</v>
      </c>
      <c r="E2348" s="143">
        <v>92000</v>
      </c>
      <c r="F2348" s="117">
        <v>1403</v>
      </c>
      <c r="G2348" s="360" t="s">
        <v>298</v>
      </c>
      <c r="H2348" s="144">
        <f>bargiri[[#This Row],[میزان بارگیری شده]]*bargiri[[#This Row],[فی]]</f>
        <v>2038260000</v>
      </c>
      <c r="I2348" s="360">
        <f>IF(year=bargiri[[#This Row],[سال]],1,0)</f>
        <v>0</v>
      </c>
      <c r="J2348" s="360" t="str">
        <f>VLOOKUP(bargiri[[#This Row],[شماره پیش فاکتور]],invoice[],16,0)</f>
        <v>بورس</v>
      </c>
      <c r="K2348" s="252">
        <f>bargiri[[#This Row],[فی]]*bargiri[[#This Row],[میزان بارگیری شده]]</f>
        <v>2038260000</v>
      </c>
      <c r="Z2348" s="1"/>
    </row>
    <row r="2349" spans="1:26" ht="18.600000000000001">
      <c r="A2349" s="360" t="s">
        <v>380</v>
      </c>
      <c r="B2349" s="360" t="s">
        <v>110</v>
      </c>
      <c r="C2349" s="355" t="s">
        <v>57</v>
      </c>
      <c r="D2349">
        <v>15075</v>
      </c>
      <c r="E2349" s="143">
        <v>78000</v>
      </c>
      <c r="F2349" s="117">
        <v>1403</v>
      </c>
      <c r="G2349" s="360" t="s">
        <v>298</v>
      </c>
      <c r="H2349" s="144">
        <f>bargiri[[#This Row],[میزان بارگیری شده]]*bargiri[[#This Row],[فی]]</f>
        <v>1175850000</v>
      </c>
      <c r="I2349" s="360">
        <f>IF(year=bargiri[[#This Row],[سال]],1,0)</f>
        <v>0</v>
      </c>
      <c r="J2349" s="360" t="str">
        <f>VLOOKUP(bargiri[[#This Row],[شماره پیش فاکتور]],invoice[],16,0)</f>
        <v>عادی</v>
      </c>
      <c r="K2349" s="252">
        <f>bargiri[[#This Row],[فی]]*bargiri[[#This Row],[میزان بارگیری شده]]</f>
        <v>1175850000</v>
      </c>
      <c r="Z2349" s="1"/>
    </row>
    <row r="2350" spans="1:26" ht="18.600000000000001">
      <c r="A2350" s="360" t="s">
        <v>380</v>
      </c>
      <c r="B2350" s="360" t="s">
        <v>118</v>
      </c>
      <c r="C2350" s="355" t="s">
        <v>84</v>
      </c>
      <c r="D2350">
        <v>20775</v>
      </c>
      <c r="E2350" s="143">
        <v>57273</v>
      </c>
      <c r="F2350" s="117">
        <v>1403</v>
      </c>
      <c r="G2350" s="360" t="s">
        <v>298</v>
      </c>
      <c r="H2350" s="144">
        <f>bargiri[[#This Row],[میزان بارگیری شده]]*bargiri[[#This Row],[فی]]</f>
        <v>1189846575</v>
      </c>
      <c r="I2350" s="360">
        <f>IF(year=bargiri[[#This Row],[سال]],1,0)</f>
        <v>0</v>
      </c>
      <c r="J2350" s="360" t="str">
        <f>VLOOKUP(bargiri[[#This Row],[شماره پیش فاکتور]],invoice[],16,0)</f>
        <v>عادی</v>
      </c>
      <c r="K2350" s="252">
        <f>bargiri[[#This Row],[فی]]*bargiri[[#This Row],[میزان بارگیری شده]]</f>
        <v>1189846575</v>
      </c>
      <c r="Z2350" s="1"/>
    </row>
    <row r="2351" spans="1:26" ht="18.600000000000001">
      <c r="A2351" s="360" t="s">
        <v>380</v>
      </c>
      <c r="B2351" s="360" t="s">
        <v>118</v>
      </c>
      <c r="C2351" s="355" t="s">
        <v>84</v>
      </c>
      <c r="D2351">
        <v>20970</v>
      </c>
      <c r="E2351" s="143">
        <v>57273</v>
      </c>
      <c r="F2351" s="117">
        <v>1403</v>
      </c>
      <c r="G2351" s="360" t="s">
        <v>298</v>
      </c>
      <c r="H2351" s="144">
        <f>bargiri[[#This Row],[میزان بارگیری شده]]*bargiri[[#This Row],[فی]]</f>
        <v>1201014810</v>
      </c>
      <c r="I2351" s="360">
        <f>IF(year=bargiri[[#This Row],[سال]],1,0)</f>
        <v>0</v>
      </c>
      <c r="J2351" s="360" t="str">
        <f>VLOOKUP(bargiri[[#This Row],[شماره پیش فاکتور]],invoice[],16,0)</f>
        <v>عادی</v>
      </c>
      <c r="K2351" s="252">
        <f>bargiri[[#This Row],[فی]]*bargiri[[#This Row],[میزان بارگیری شده]]</f>
        <v>1201014810</v>
      </c>
      <c r="Z2351" s="1"/>
    </row>
    <row r="2352" spans="1:26" ht="18.600000000000001">
      <c r="A2352" s="360" t="s">
        <v>381</v>
      </c>
      <c r="B2352" s="360" t="s">
        <v>115</v>
      </c>
      <c r="C2352" s="355" t="s">
        <v>65</v>
      </c>
      <c r="D2352">
        <v>22200</v>
      </c>
      <c r="E2352" s="143">
        <v>75000</v>
      </c>
      <c r="F2352" s="117">
        <v>1403</v>
      </c>
      <c r="G2352" s="360" t="s">
        <v>298</v>
      </c>
      <c r="H2352" s="144">
        <f>bargiri[[#This Row],[میزان بارگیری شده]]*bargiri[[#This Row],[فی]]</f>
        <v>1665000000</v>
      </c>
      <c r="I2352" s="360">
        <f>IF(year=bargiri[[#This Row],[سال]],1,0)</f>
        <v>0</v>
      </c>
      <c r="J2352" s="360" t="str">
        <f>VLOOKUP(bargiri[[#This Row],[شماره پیش فاکتور]],invoice[],16,0)</f>
        <v>عادی</v>
      </c>
      <c r="K2352" s="252">
        <f>bargiri[[#This Row],[فی]]*bargiri[[#This Row],[میزان بارگیری شده]]</f>
        <v>1665000000</v>
      </c>
      <c r="Z2352" s="1"/>
    </row>
    <row r="2353" spans="1:26" ht="18.600000000000001">
      <c r="A2353" s="360" t="s">
        <v>381</v>
      </c>
      <c r="B2353" s="360" t="s">
        <v>107</v>
      </c>
      <c r="C2353" s="355" t="s">
        <v>50</v>
      </c>
      <c r="D2353">
        <v>20005</v>
      </c>
      <c r="E2353" s="143">
        <v>70000</v>
      </c>
      <c r="F2353" s="117">
        <v>1403</v>
      </c>
      <c r="G2353" s="360" t="s">
        <v>298</v>
      </c>
      <c r="H2353" s="144">
        <f>bargiri[[#This Row],[میزان بارگیری شده]]*bargiri[[#This Row],[فی]]</f>
        <v>1400350000</v>
      </c>
      <c r="I2353" s="360">
        <f>IF(year=bargiri[[#This Row],[سال]],1,0)</f>
        <v>0</v>
      </c>
      <c r="J2353" s="360" t="str">
        <f>VLOOKUP(bargiri[[#This Row],[شماره پیش فاکتور]],invoice[],16,0)</f>
        <v>عادی</v>
      </c>
      <c r="K2353" s="252">
        <f>bargiri[[#This Row],[فی]]*bargiri[[#This Row],[میزان بارگیری شده]]</f>
        <v>1400350000</v>
      </c>
      <c r="Z2353" s="1"/>
    </row>
    <row r="2354" spans="1:26" ht="18.600000000000001">
      <c r="A2354" s="360" t="s">
        <v>219</v>
      </c>
      <c r="B2354" s="360" t="s">
        <v>116</v>
      </c>
      <c r="C2354" s="355" t="s">
        <v>75</v>
      </c>
      <c r="D2354">
        <v>4980</v>
      </c>
      <c r="E2354" s="143">
        <v>78999</v>
      </c>
      <c r="F2354" s="117">
        <v>1403</v>
      </c>
      <c r="G2354" s="360" t="s">
        <v>298</v>
      </c>
      <c r="H2354" s="144">
        <f>bargiri[[#This Row],[میزان بارگیری شده]]*bargiri[[#This Row],[فی]]</f>
        <v>393415020</v>
      </c>
      <c r="I2354" s="360">
        <f>IF(year=bargiri[[#This Row],[سال]],1,0)</f>
        <v>0</v>
      </c>
      <c r="J2354" s="360" t="str">
        <f>VLOOKUP(bargiri[[#This Row],[شماره پیش فاکتور]],invoice[],16,0)</f>
        <v>بورس</v>
      </c>
      <c r="K2354" s="252">
        <f>bargiri[[#This Row],[فی]]*bargiri[[#This Row],[میزان بارگیری شده]]</f>
        <v>393415020</v>
      </c>
      <c r="Z2354" s="1"/>
    </row>
    <row r="2355" spans="1:26" ht="18.600000000000001">
      <c r="A2355" s="360" t="s">
        <v>219</v>
      </c>
      <c r="B2355" s="360" t="s">
        <v>116</v>
      </c>
      <c r="C2355" s="355" t="s">
        <v>74</v>
      </c>
      <c r="D2355">
        <v>13370</v>
      </c>
      <c r="E2355" s="143">
        <v>75000</v>
      </c>
      <c r="F2355" s="117">
        <v>1403</v>
      </c>
      <c r="G2355" s="360" t="s">
        <v>298</v>
      </c>
      <c r="H2355" s="144">
        <f>bargiri[[#This Row],[میزان بارگیری شده]]*bargiri[[#This Row],[فی]]</f>
        <v>1002750000</v>
      </c>
      <c r="I2355" s="360">
        <f>IF(year=bargiri[[#This Row],[سال]],1,0)</f>
        <v>0</v>
      </c>
      <c r="J2355" s="360" t="str">
        <f>VLOOKUP(bargiri[[#This Row],[شماره پیش فاکتور]],invoice[],16,0)</f>
        <v>بورس</v>
      </c>
      <c r="K2355" s="252">
        <f>bargiri[[#This Row],[فی]]*bargiri[[#This Row],[میزان بارگیری شده]]</f>
        <v>1002750000</v>
      </c>
      <c r="Z2355" s="1"/>
    </row>
    <row r="2356" spans="1:26" ht="18.600000000000001">
      <c r="A2356" s="360" t="s">
        <v>160</v>
      </c>
      <c r="B2356" s="360" t="s">
        <v>113</v>
      </c>
      <c r="C2356" s="355" t="s">
        <v>61</v>
      </c>
      <c r="D2356">
        <v>20060</v>
      </c>
      <c r="E2356" s="143">
        <v>75000</v>
      </c>
      <c r="F2356" s="117">
        <v>1403</v>
      </c>
      <c r="G2356" s="360" t="s">
        <v>298</v>
      </c>
      <c r="H2356" s="144">
        <f>bargiri[[#This Row],[میزان بارگیری شده]]*bargiri[[#This Row],[فی]]</f>
        <v>1504500000</v>
      </c>
      <c r="I2356" s="360">
        <f>IF(year=bargiri[[#This Row],[سال]],1,0)</f>
        <v>0</v>
      </c>
      <c r="J2356" s="360" t="str">
        <f>VLOOKUP(bargiri[[#This Row],[شماره پیش فاکتور]],invoice[],16,0)</f>
        <v>عادی</v>
      </c>
      <c r="K2356" s="252">
        <f>bargiri[[#This Row],[فی]]*bargiri[[#This Row],[میزان بارگیری شده]]</f>
        <v>1504500000</v>
      </c>
      <c r="Z2356" s="1"/>
    </row>
    <row r="2357" spans="1:26" ht="18.600000000000001">
      <c r="A2357" s="360" t="s">
        <v>160</v>
      </c>
      <c r="B2357" s="360" t="s">
        <v>102</v>
      </c>
      <c r="C2357" s="355" t="s">
        <v>25</v>
      </c>
      <c r="D2357">
        <v>11840</v>
      </c>
      <c r="E2357" s="143">
        <v>65000</v>
      </c>
      <c r="F2357" s="117">
        <v>1403</v>
      </c>
      <c r="G2357" s="360" t="s">
        <v>298</v>
      </c>
      <c r="H2357" s="144">
        <f>bargiri[[#This Row],[میزان بارگیری شده]]*bargiri[[#This Row],[فی]]</f>
        <v>769600000</v>
      </c>
      <c r="I2357" s="360">
        <f>IF(year=bargiri[[#This Row],[سال]],1,0)</f>
        <v>0</v>
      </c>
      <c r="J2357" s="360" t="str">
        <f>VLOOKUP(bargiri[[#This Row],[شماره پیش فاکتور]],invoice[],16,0)</f>
        <v>عادی</v>
      </c>
      <c r="K2357" s="252">
        <f>bargiri[[#This Row],[فی]]*bargiri[[#This Row],[میزان بارگیری شده]]</f>
        <v>769600000</v>
      </c>
      <c r="Z2357" s="1"/>
    </row>
    <row r="2358" spans="1:26" ht="18.600000000000001">
      <c r="A2358" s="360" t="s">
        <v>160</v>
      </c>
      <c r="B2358" s="360" t="s">
        <v>118</v>
      </c>
      <c r="C2358" s="355" t="s">
        <v>84</v>
      </c>
      <c r="D2358">
        <v>20585</v>
      </c>
      <c r="E2358" s="143">
        <v>57273</v>
      </c>
      <c r="F2358" s="117">
        <v>1403</v>
      </c>
      <c r="G2358" s="360" t="s">
        <v>298</v>
      </c>
      <c r="H2358" s="144">
        <f>bargiri[[#This Row],[میزان بارگیری شده]]*bargiri[[#This Row],[فی]]</f>
        <v>1178964705</v>
      </c>
      <c r="I2358" s="360">
        <f>IF(year=bargiri[[#This Row],[سال]],1,0)</f>
        <v>0</v>
      </c>
      <c r="J2358" s="360" t="str">
        <f>VLOOKUP(bargiri[[#This Row],[شماره پیش فاکتور]],invoice[],16,0)</f>
        <v>عادی</v>
      </c>
      <c r="K2358" s="252">
        <f>bargiri[[#This Row],[فی]]*bargiri[[#This Row],[میزان بارگیری شده]]</f>
        <v>1178964705</v>
      </c>
      <c r="Z2358" s="1"/>
    </row>
    <row r="2359" spans="1:26" ht="18.600000000000001">
      <c r="A2359" s="360" t="s">
        <v>160</v>
      </c>
      <c r="B2359" s="360" t="s">
        <v>118</v>
      </c>
      <c r="C2359" s="355" t="s">
        <v>84</v>
      </c>
      <c r="D2359">
        <v>20605</v>
      </c>
      <c r="E2359" s="143">
        <v>57273</v>
      </c>
      <c r="F2359" s="117">
        <v>1403</v>
      </c>
      <c r="G2359" s="360" t="s">
        <v>298</v>
      </c>
      <c r="H2359" s="144">
        <f>bargiri[[#This Row],[میزان بارگیری شده]]*bargiri[[#This Row],[فی]]</f>
        <v>1180110165</v>
      </c>
      <c r="I2359" s="360">
        <f>IF(year=bargiri[[#This Row],[سال]],1,0)</f>
        <v>0</v>
      </c>
      <c r="J2359" s="360" t="str">
        <f>VLOOKUP(bargiri[[#This Row],[شماره پیش فاکتور]],invoice[],16,0)</f>
        <v>عادی</v>
      </c>
      <c r="K2359" s="252">
        <f>bargiri[[#This Row],[فی]]*bargiri[[#This Row],[میزان بارگیری شده]]</f>
        <v>1180110165</v>
      </c>
      <c r="Z2359" s="1"/>
    </row>
    <row r="2360" spans="1:26" ht="18.600000000000001">
      <c r="A2360" s="360" t="s">
        <v>160</v>
      </c>
      <c r="B2360" s="360" t="s">
        <v>103</v>
      </c>
      <c r="C2360" s="355" t="s">
        <v>30</v>
      </c>
      <c r="D2360">
        <v>7535</v>
      </c>
      <c r="E2360" s="143">
        <v>70000</v>
      </c>
      <c r="F2360" s="117">
        <v>1403</v>
      </c>
      <c r="G2360" s="360" t="s">
        <v>298</v>
      </c>
      <c r="H2360" s="144">
        <f>bargiri[[#This Row],[میزان بارگیری شده]]*bargiri[[#This Row],[فی]]</f>
        <v>527450000</v>
      </c>
      <c r="I2360" s="360">
        <f>IF(year=bargiri[[#This Row],[سال]],1,0)</f>
        <v>0</v>
      </c>
      <c r="J2360" s="360" t="str">
        <f>VLOOKUP(bargiri[[#This Row],[شماره پیش فاکتور]],invoice[],16,0)</f>
        <v>عادی</v>
      </c>
      <c r="K2360" s="252">
        <f>bargiri[[#This Row],[فی]]*bargiri[[#This Row],[میزان بارگیری شده]]</f>
        <v>527450000</v>
      </c>
      <c r="Z2360" s="1"/>
    </row>
    <row r="2361" spans="1:26" ht="18.600000000000001">
      <c r="A2361" s="360" t="s">
        <v>160</v>
      </c>
      <c r="B2361" s="360" t="s">
        <v>120</v>
      </c>
      <c r="C2361" s="355" t="s">
        <v>88</v>
      </c>
      <c r="D2361">
        <v>8410</v>
      </c>
      <c r="E2361" s="143">
        <v>80000</v>
      </c>
      <c r="F2361" s="117">
        <v>1403</v>
      </c>
      <c r="G2361" s="360" t="s">
        <v>298</v>
      </c>
      <c r="H2361" s="144">
        <f>bargiri[[#This Row],[میزان بارگیری شده]]*bargiri[[#This Row],[فی]]</f>
        <v>672800000</v>
      </c>
      <c r="I2361" s="360">
        <f>IF(year=bargiri[[#This Row],[سال]],1,0)</f>
        <v>0</v>
      </c>
      <c r="J2361" s="360" t="str">
        <f>VLOOKUP(bargiri[[#This Row],[شماره پیش فاکتور]],invoice[],16,0)</f>
        <v>عادی</v>
      </c>
      <c r="K2361" s="252">
        <f>bargiri[[#This Row],[فی]]*bargiri[[#This Row],[میزان بارگیری شده]]</f>
        <v>672800000</v>
      </c>
      <c r="Z2361" s="1"/>
    </row>
    <row r="2362" spans="1:26" ht="18.600000000000001">
      <c r="A2362" s="360" t="s">
        <v>382</v>
      </c>
      <c r="B2362" s="360" t="s">
        <v>113</v>
      </c>
      <c r="C2362" s="355" t="s">
        <v>61</v>
      </c>
      <c r="D2362">
        <v>21145</v>
      </c>
      <c r="E2362" s="143">
        <v>75000</v>
      </c>
      <c r="F2362" s="117">
        <v>1403</v>
      </c>
      <c r="G2362" s="360" t="s">
        <v>298</v>
      </c>
      <c r="H2362" s="144">
        <f>bargiri[[#This Row],[میزان بارگیری شده]]*bargiri[[#This Row],[فی]]</f>
        <v>1585875000</v>
      </c>
      <c r="I2362" s="360">
        <f>IF(year=bargiri[[#This Row],[سال]],1,0)</f>
        <v>0</v>
      </c>
      <c r="J2362" s="360" t="str">
        <f>VLOOKUP(bargiri[[#This Row],[شماره پیش فاکتور]],invoice[],16,0)</f>
        <v>عادی</v>
      </c>
      <c r="K2362" s="252">
        <f>bargiri[[#This Row],[فی]]*bargiri[[#This Row],[میزان بارگیری شده]]</f>
        <v>1585875000</v>
      </c>
      <c r="Z2362" s="1"/>
    </row>
    <row r="2363" spans="1:26" ht="18.600000000000001">
      <c r="A2363" s="360" t="s">
        <v>382</v>
      </c>
      <c r="B2363" s="360" t="s">
        <v>120</v>
      </c>
      <c r="C2363" s="355" t="s">
        <v>88</v>
      </c>
      <c r="D2363">
        <v>9145</v>
      </c>
      <c r="E2363" s="143">
        <v>80000</v>
      </c>
      <c r="F2363" s="117">
        <v>1403</v>
      </c>
      <c r="G2363" s="360" t="s">
        <v>298</v>
      </c>
      <c r="H2363" s="144">
        <f>bargiri[[#This Row],[میزان بارگیری شده]]*bargiri[[#This Row],[فی]]</f>
        <v>731600000</v>
      </c>
      <c r="I2363" s="360">
        <f>IF(year=bargiri[[#This Row],[سال]],1,0)</f>
        <v>0</v>
      </c>
      <c r="J2363" s="360" t="str">
        <f>VLOOKUP(bargiri[[#This Row],[شماره پیش فاکتور]],invoice[],16,0)</f>
        <v>عادی</v>
      </c>
      <c r="K2363" s="252">
        <f>bargiri[[#This Row],[فی]]*bargiri[[#This Row],[میزان بارگیری شده]]</f>
        <v>731600000</v>
      </c>
      <c r="Z2363" s="1"/>
    </row>
    <row r="2364" spans="1:26" ht="18.600000000000001">
      <c r="A2364" s="360" t="s">
        <v>382</v>
      </c>
      <c r="B2364" s="360" t="s">
        <v>113</v>
      </c>
      <c r="C2364" s="355" t="s">
        <v>61</v>
      </c>
      <c r="D2364">
        <v>21440</v>
      </c>
      <c r="E2364" s="143">
        <v>75000</v>
      </c>
      <c r="F2364" s="117">
        <v>1403</v>
      </c>
      <c r="G2364" s="360" t="s">
        <v>298</v>
      </c>
      <c r="H2364" s="144">
        <f>bargiri[[#This Row],[میزان بارگیری شده]]*bargiri[[#This Row],[فی]]</f>
        <v>1608000000</v>
      </c>
      <c r="I2364" s="360">
        <f>IF(year=bargiri[[#This Row],[سال]],1,0)</f>
        <v>0</v>
      </c>
      <c r="J2364" s="360" t="str">
        <f>VLOOKUP(bargiri[[#This Row],[شماره پیش فاکتور]],invoice[],16,0)</f>
        <v>عادی</v>
      </c>
      <c r="K2364" s="252">
        <f>bargiri[[#This Row],[فی]]*bargiri[[#This Row],[میزان بارگیری شده]]</f>
        <v>1608000000</v>
      </c>
      <c r="Z2364" s="1"/>
    </row>
    <row r="2365" spans="1:26" ht="18.600000000000001">
      <c r="A2365" s="360" t="s">
        <v>382</v>
      </c>
      <c r="B2365" s="360" t="s">
        <v>107</v>
      </c>
      <c r="C2365" s="355" t="s">
        <v>50</v>
      </c>
      <c r="D2365">
        <v>20000</v>
      </c>
      <c r="E2365" s="143">
        <v>70000</v>
      </c>
      <c r="F2365" s="117">
        <v>1403</v>
      </c>
      <c r="G2365" s="360" t="s">
        <v>298</v>
      </c>
      <c r="H2365" s="144">
        <f>bargiri[[#This Row],[میزان بارگیری شده]]*bargiri[[#This Row],[فی]]</f>
        <v>1400000000</v>
      </c>
      <c r="I2365" s="360">
        <f>IF(year=bargiri[[#This Row],[سال]],1,0)</f>
        <v>0</v>
      </c>
      <c r="J2365" s="360" t="str">
        <f>VLOOKUP(bargiri[[#This Row],[شماره پیش فاکتور]],invoice[],16,0)</f>
        <v>عادی</v>
      </c>
      <c r="K2365" s="252">
        <f>bargiri[[#This Row],[فی]]*bargiri[[#This Row],[میزان بارگیری شده]]</f>
        <v>1400000000</v>
      </c>
      <c r="Z2365" s="1"/>
    </row>
    <row r="2366" spans="1:26" ht="18.600000000000001">
      <c r="A2366" s="360" t="s">
        <v>219</v>
      </c>
      <c r="B2366" s="360" t="s">
        <v>118</v>
      </c>
      <c r="C2366" s="355" t="s">
        <v>84</v>
      </c>
      <c r="D2366">
        <v>20900</v>
      </c>
      <c r="E2366" s="143">
        <v>57273</v>
      </c>
      <c r="F2366" s="117">
        <v>1403</v>
      </c>
      <c r="G2366" s="360" t="s">
        <v>298</v>
      </c>
      <c r="H2366" s="144">
        <f>bargiri[[#This Row],[میزان بارگیری شده]]*bargiri[[#This Row],[فی]]</f>
        <v>1197005700</v>
      </c>
      <c r="I2366" s="360">
        <f>IF(year=bargiri[[#This Row],[سال]],1,0)</f>
        <v>0</v>
      </c>
      <c r="J2366" s="360" t="str">
        <f>VLOOKUP(bargiri[[#This Row],[شماره پیش فاکتور]],invoice[],16,0)</f>
        <v>عادی</v>
      </c>
      <c r="K2366" s="252">
        <f>bargiri[[#This Row],[فی]]*bargiri[[#This Row],[میزان بارگیری شده]]</f>
        <v>1197005700</v>
      </c>
      <c r="Z2366" s="1"/>
    </row>
    <row r="2367" spans="1:26" ht="18.600000000000001">
      <c r="A2367" s="360" t="s">
        <v>219</v>
      </c>
      <c r="B2367" s="360" t="s">
        <v>118</v>
      </c>
      <c r="C2367" s="355" t="s">
        <v>84</v>
      </c>
      <c r="D2367">
        <v>21055</v>
      </c>
      <c r="E2367" s="143">
        <v>57273</v>
      </c>
      <c r="F2367" s="117">
        <v>1403</v>
      </c>
      <c r="G2367" s="360" t="s">
        <v>298</v>
      </c>
      <c r="H2367" s="144">
        <f>bargiri[[#This Row],[میزان بارگیری شده]]*bargiri[[#This Row],[فی]]</f>
        <v>1205883015</v>
      </c>
      <c r="I2367" s="360">
        <f>IF(year=bargiri[[#This Row],[سال]],1,0)</f>
        <v>0</v>
      </c>
      <c r="J2367" s="360" t="str">
        <f>VLOOKUP(bargiri[[#This Row],[شماره پیش فاکتور]],invoice[],16,0)</f>
        <v>عادی</v>
      </c>
      <c r="K2367" s="252">
        <f>bargiri[[#This Row],[فی]]*bargiri[[#This Row],[میزان بارگیری شده]]</f>
        <v>1205883015</v>
      </c>
      <c r="Z2367" s="1"/>
    </row>
    <row r="2368" spans="1:26" ht="18.600000000000001">
      <c r="A2368" s="360" t="s">
        <v>230</v>
      </c>
      <c r="B2368" s="360" t="s">
        <v>101</v>
      </c>
      <c r="C2368" s="355" t="s">
        <v>20</v>
      </c>
      <c r="D2368">
        <v>10720</v>
      </c>
      <c r="E2368" s="143">
        <v>68000</v>
      </c>
      <c r="F2368" s="117">
        <v>1403</v>
      </c>
      <c r="G2368" s="360" t="s">
        <v>298</v>
      </c>
      <c r="H2368" s="144">
        <f>bargiri[[#This Row],[میزان بارگیری شده]]*bargiri[[#This Row],[فی]]</f>
        <v>728960000</v>
      </c>
      <c r="I2368" s="360">
        <f>IF(year=bargiri[[#This Row],[سال]],1,0)</f>
        <v>0</v>
      </c>
      <c r="J2368" s="360" t="str">
        <f>VLOOKUP(bargiri[[#This Row],[شماره پیش فاکتور]],invoice[],16,0)</f>
        <v>عادی</v>
      </c>
      <c r="K2368" s="252">
        <f>bargiri[[#This Row],[فی]]*bargiri[[#This Row],[میزان بارگیری شده]]</f>
        <v>728960000</v>
      </c>
      <c r="Z2368" s="1"/>
    </row>
    <row r="2369" spans="1:26" ht="18.600000000000001">
      <c r="A2369" s="360" t="s">
        <v>230</v>
      </c>
      <c r="B2369" s="360" t="s">
        <v>101</v>
      </c>
      <c r="C2369" s="355" t="s">
        <v>18</v>
      </c>
      <c r="D2369">
        <v>9335</v>
      </c>
      <c r="E2369" s="143">
        <v>92000</v>
      </c>
      <c r="F2369" s="117">
        <v>1403</v>
      </c>
      <c r="G2369" s="360" t="s">
        <v>298</v>
      </c>
      <c r="H2369" s="144">
        <f>bargiri[[#This Row],[میزان بارگیری شده]]*bargiri[[#This Row],[فی]]</f>
        <v>858820000</v>
      </c>
      <c r="I2369" s="360">
        <f>IF(year=bargiri[[#This Row],[سال]],1,0)</f>
        <v>0</v>
      </c>
      <c r="J2369" s="360" t="str">
        <f>VLOOKUP(bargiri[[#This Row],[شماره پیش فاکتور]],invoice[],16,0)</f>
        <v>بورس</v>
      </c>
      <c r="K2369" s="252">
        <f>bargiri[[#This Row],[فی]]*bargiri[[#This Row],[میزان بارگیری شده]]</f>
        <v>858820000</v>
      </c>
      <c r="Z2369" s="1"/>
    </row>
    <row r="2370" spans="1:26" ht="18.600000000000001">
      <c r="A2370" s="360" t="s">
        <v>230</v>
      </c>
      <c r="B2370" s="360" t="s">
        <v>103</v>
      </c>
      <c r="C2370" s="355" t="s">
        <v>30</v>
      </c>
      <c r="D2370">
        <v>7050</v>
      </c>
      <c r="E2370" s="143">
        <v>70000</v>
      </c>
      <c r="F2370" s="117">
        <v>1403</v>
      </c>
      <c r="G2370" s="360" t="s">
        <v>298</v>
      </c>
      <c r="H2370" s="144">
        <f>bargiri[[#This Row],[میزان بارگیری شده]]*bargiri[[#This Row],[فی]]</f>
        <v>493500000</v>
      </c>
      <c r="I2370" s="360">
        <f>IF(year=bargiri[[#This Row],[سال]],1,0)</f>
        <v>0</v>
      </c>
      <c r="J2370" s="360" t="str">
        <f>VLOOKUP(bargiri[[#This Row],[شماره پیش فاکتور]],invoice[],16,0)</f>
        <v>عادی</v>
      </c>
      <c r="K2370" s="252">
        <f>bargiri[[#This Row],[فی]]*bargiri[[#This Row],[میزان بارگیری شده]]</f>
        <v>493500000</v>
      </c>
      <c r="Z2370" s="1"/>
    </row>
    <row r="2371" spans="1:26" ht="18.600000000000001">
      <c r="A2371" s="360" t="s">
        <v>230</v>
      </c>
      <c r="B2371" s="360" t="s">
        <v>108</v>
      </c>
      <c r="C2371" s="355" t="s">
        <v>53</v>
      </c>
      <c r="D2371">
        <v>20000</v>
      </c>
      <c r="E2371" s="143">
        <v>70000</v>
      </c>
      <c r="F2371" s="117">
        <v>1403</v>
      </c>
      <c r="G2371" s="360" t="s">
        <v>298</v>
      </c>
      <c r="H2371" s="144">
        <f>bargiri[[#This Row],[میزان بارگیری شده]]*bargiri[[#This Row],[فی]]</f>
        <v>1400000000</v>
      </c>
      <c r="I2371" s="360">
        <f>IF(year=bargiri[[#This Row],[سال]],1,0)</f>
        <v>0</v>
      </c>
      <c r="J2371" s="360" t="str">
        <f>VLOOKUP(bargiri[[#This Row],[شماره پیش فاکتور]],invoice[],16,0)</f>
        <v>عادی</v>
      </c>
      <c r="K2371" s="252">
        <f>bargiri[[#This Row],[فی]]*bargiri[[#This Row],[میزان بارگیری شده]]</f>
        <v>1400000000</v>
      </c>
      <c r="Z2371" s="1"/>
    </row>
    <row r="2372" spans="1:26" ht="18.600000000000001">
      <c r="A2372" s="360" t="s">
        <v>230</v>
      </c>
      <c r="B2372" s="360" t="s">
        <v>122</v>
      </c>
      <c r="C2372" s="355" t="s">
        <v>91</v>
      </c>
      <c r="D2372">
        <v>20205</v>
      </c>
      <c r="E2372" s="143">
        <v>75000</v>
      </c>
      <c r="F2372" s="117">
        <v>1403</v>
      </c>
      <c r="G2372" s="360" t="s">
        <v>298</v>
      </c>
      <c r="H2372" s="144">
        <f>bargiri[[#This Row],[میزان بارگیری شده]]*bargiri[[#This Row],[فی]]</f>
        <v>1515375000</v>
      </c>
      <c r="I2372" s="360">
        <f>IF(year=bargiri[[#This Row],[سال]],1,0)</f>
        <v>0</v>
      </c>
      <c r="J2372" s="360" t="str">
        <f>VLOOKUP(bargiri[[#This Row],[شماره پیش فاکتور]],invoice[],16,0)</f>
        <v>عادی</v>
      </c>
      <c r="K2372" s="252">
        <f>bargiri[[#This Row],[فی]]*bargiri[[#This Row],[میزان بارگیری شده]]</f>
        <v>1515375000</v>
      </c>
      <c r="Z2372" s="1"/>
    </row>
    <row r="2373" spans="1:26" ht="18.600000000000001">
      <c r="A2373" s="360" t="s">
        <v>230</v>
      </c>
      <c r="B2373" s="360" t="s">
        <v>103</v>
      </c>
      <c r="C2373" s="355" t="s">
        <v>30</v>
      </c>
      <c r="D2373">
        <v>7580</v>
      </c>
      <c r="E2373" s="143">
        <v>70000</v>
      </c>
      <c r="F2373" s="117">
        <v>1403</v>
      </c>
      <c r="G2373" s="360" t="s">
        <v>298</v>
      </c>
      <c r="H2373" s="144">
        <f>bargiri[[#This Row],[میزان بارگیری شده]]*bargiri[[#This Row],[فی]]</f>
        <v>530600000</v>
      </c>
      <c r="I2373" s="360">
        <f>IF(year=bargiri[[#This Row],[سال]],1,0)</f>
        <v>0</v>
      </c>
      <c r="J2373" s="360" t="str">
        <f>VLOOKUP(bargiri[[#This Row],[شماره پیش فاکتور]],invoice[],16,0)</f>
        <v>عادی</v>
      </c>
      <c r="K2373" s="252">
        <f>bargiri[[#This Row],[فی]]*bargiri[[#This Row],[میزان بارگیری شده]]</f>
        <v>530600000</v>
      </c>
      <c r="Z2373" s="1"/>
    </row>
    <row r="2374" spans="1:26" ht="18.600000000000001">
      <c r="A2374" s="360" t="s">
        <v>224</v>
      </c>
      <c r="B2374" s="360" t="s">
        <v>117</v>
      </c>
      <c r="C2374" s="355" t="s">
        <v>80</v>
      </c>
      <c r="D2374">
        <v>20290</v>
      </c>
      <c r="E2374" s="143">
        <v>73000</v>
      </c>
      <c r="F2374" s="117">
        <v>1403</v>
      </c>
      <c r="G2374" s="360" t="s">
        <v>298</v>
      </c>
      <c r="H2374" s="144">
        <f>bargiri[[#This Row],[میزان بارگیری شده]]*bargiri[[#This Row],[فی]]</f>
        <v>1481170000</v>
      </c>
      <c r="I2374" s="360">
        <f>IF(year=bargiri[[#This Row],[سال]],1,0)</f>
        <v>0</v>
      </c>
      <c r="J2374" s="360" t="str">
        <f>VLOOKUP(bargiri[[#This Row],[شماره پیش فاکتور]],invoice[],16,0)</f>
        <v>بورس</v>
      </c>
      <c r="K2374" s="252">
        <f>bargiri[[#This Row],[فی]]*bargiri[[#This Row],[میزان بارگیری شده]]</f>
        <v>1481170000</v>
      </c>
      <c r="Z2374" s="1"/>
    </row>
    <row r="2375" spans="1:26" ht="18.600000000000001">
      <c r="A2375" s="360" t="s">
        <v>224</v>
      </c>
      <c r="B2375" s="360" t="s">
        <v>107</v>
      </c>
      <c r="C2375" s="355" t="s">
        <v>50</v>
      </c>
      <c r="D2375">
        <v>19025</v>
      </c>
      <c r="E2375" s="143">
        <v>70000</v>
      </c>
      <c r="F2375" s="117">
        <v>1403</v>
      </c>
      <c r="G2375" s="360" t="s">
        <v>298</v>
      </c>
      <c r="H2375" s="144">
        <f>bargiri[[#This Row],[میزان بارگیری شده]]*bargiri[[#This Row],[فی]]</f>
        <v>1331750000</v>
      </c>
      <c r="I2375" s="360">
        <f>IF(year=bargiri[[#This Row],[سال]],1,0)</f>
        <v>0</v>
      </c>
      <c r="J2375" s="360" t="str">
        <f>VLOOKUP(bargiri[[#This Row],[شماره پیش فاکتور]],invoice[],16,0)</f>
        <v>عادی</v>
      </c>
      <c r="K2375" s="252">
        <f>bargiri[[#This Row],[فی]]*bargiri[[#This Row],[میزان بارگیری شده]]</f>
        <v>1331750000</v>
      </c>
      <c r="Z2375" s="1"/>
    </row>
    <row r="2376" spans="1:26" ht="18.600000000000001">
      <c r="A2376" s="360" t="s">
        <v>383</v>
      </c>
      <c r="B2376" s="360" t="s">
        <v>113</v>
      </c>
      <c r="C2376" s="355" t="s">
        <v>61</v>
      </c>
      <c r="D2376">
        <v>18875</v>
      </c>
      <c r="E2376" s="143">
        <v>75000</v>
      </c>
      <c r="F2376" s="117">
        <v>1403</v>
      </c>
      <c r="G2376" s="360" t="s">
        <v>298</v>
      </c>
      <c r="H2376" s="144">
        <f>bargiri[[#This Row],[میزان بارگیری شده]]*bargiri[[#This Row],[فی]]</f>
        <v>1415625000</v>
      </c>
      <c r="I2376" s="360">
        <f>IF(year=bargiri[[#This Row],[سال]],1,0)</f>
        <v>0</v>
      </c>
      <c r="J2376" s="360" t="str">
        <f>VLOOKUP(bargiri[[#This Row],[شماره پیش فاکتور]],invoice[],16,0)</f>
        <v>عادی</v>
      </c>
      <c r="K2376" s="252">
        <f>bargiri[[#This Row],[فی]]*bargiri[[#This Row],[میزان بارگیری شده]]</f>
        <v>1415625000</v>
      </c>
      <c r="Z2376" s="1"/>
    </row>
    <row r="2377" spans="1:26" ht="18.600000000000001">
      <c r="A2377" s="360" t="s">
        <v>383</v>
      </c>
      <c r="B2377" s="360" t="s">
        <v>123</v>
      </c>
      <c r="C2377" s="355" t="s">
        <v>93</v>
      </c>
      <c r="D2377">
        <v>7585</v>
      </c>
      <c r="E2377" s="143">
        <v>75000</v>
      </c>
      <c r="F2377" s="117">
        <v>1403</v>
      </c>
      <c r="G2377" s="360" t="s">
        <v>298</v>
      </c>
      <c r="H2377" s="144">
        <f>bargiri[[#This Row],[میزان بارگیری شده]]*bargiri[[#This Row],[فی]]</f>
        <v>568875000</v>
      </c>
      <c r="I2377" s="360">
        <f>IF(year=bargiri[[#This Row],[سال]],1,0)</f>
        <v>0</v>
      </c>
      <c r="J2377" s="360" t="str">
        <f>VLOOKUP(bargiri[[#This Row],[شماره پیش فاکتور]],invoice[],16,0)</f>
        <v>عادی</v>
      </c>
      <c r="K2377" s="252">
        <f>bargiri[[#This Row],[فی]]*bargiri[[#This Row],[میزان بارگیری شده]]</f>
        <v>568875000</v>
      </c>
      <c r="Z2377" s="1"/>
    </row>
    <row r="2378" spans="1:26" ht="18.600000000000001">
      <c r="A2378" s="360" t="s">
        <v>383</v>
      </c>
      <c r="B2378" s="360" t="s">
        <v>102</v>
      </c>
      <c r="C2378" s="355" t="s">
        <v>25</v>
      </c>
      <c r="D2378">
        <v>11085</v>
      </c>
      <c r="E2378" s="143">
        <v>65000</v>
      </c>
      <c r="F2378" s="117">
        <v>1403</v>
      </c>
      <c r="G2378" s="360" t="s">
        <v>298</v>
      </c>
      <c r="H2378" s="144">
        <f>bargiri[[#This Row],[میزان بارگیری شده]]*bargiri[[#This Row],[فی]]</f>
        <v>720525000</v>
      </c>
      <c r="I2378" s="360">
        <f>IF(year=bargiri[[#This Row],[سال]],1,0)</f>
        <v>0</v>
      </c>
      <c r="J2378" s="360" t="str">
        <f>VLOOKUP(bargiri[[#This Row],[شماره پیش فاکتور]],invoice[],16,0)</f>
        <v>عادی</v>
      </c>
      <c r="K2378" s="252">
        <f>bargiri[[#This Row],[فی]]*bargiri[[#This Row],[میزان بارگیری شده]]</f>
        <v>720525000</v>
      </c>
      <c r="Z2378" s="1"/>
    </row>
    <row r="2379" spans="1:26" ht="18.600000000000001">
      <c r="A2379" s="360" t="s">
        <v>383</v>
      </c>
      <c r="B2379" s="360" t="s">
        <v>111</v>
      </c>
      <c r="C2379" s="355" t="s">
        <v>59</v>
      </c>
      <c r="D2379">
        <v>10085</v>
      </c>
      <c r="E2379" s="143">
        <v>80000</v>
      </c>
      <c r="F2379" s="117">
        <v>1403</v>
      </c>
      <c r="G2379" s="360" t="s">
        <v>298</v>
      </c>
      <c r="H2379" s="144">
        <f>bargiri[[#This Row],[میزان بارگیری شده]]*bargiri[[#This Row],[فی]]</f>
        <v>806800000</v>
      </c>
      <c r="I2379" s="360">
        <f>IF(year=bargiri[[#This Row],[سال]],1,0)</f>
        <v>0</v>
      </c>
      <c r="J2379" s="360" t="str">
        <f>VLOOKUP(bargiri[[#This Row],[شماره پیش فاکتور]],invoice[],16,0)</f>
        <v>عادی</v>
      </c>
      <c r="K2379" s="252">
        <f>bargiri[[#This Row],[فی]]*bargiri[[#This Row],[میزان بارگیری شده]]</f>
        <v>806800000</v>
      </c>
      <c r="Z2379" s="1"/>
    </row>
    <row r="2380" spans="1:26" ht="18.600000000000001">
      <c r="A2380" s="360" t="s">
        <v>383</v>
      </c>
      <c r="B2380" s="360" t="s">
        <v>118</v>
      </c>
      <c r="C2380" s="355" t="s">
        <v>84</v>
      </c>
      <c r="D2380">
        <v>20620</v>
      </c>
      <c r="E2380" s="143">
        <v>57273</v>
      </c>
      <c r="F2380" s="117">
        <v>1403</v>
      </c>
      <c r="G2380" s="360" t="s">
        <v>298</v>
      </c>
      <c r="H2380" s="144">
        <f>bargiri[[#This Row],[میزان بارگیری شده]]*bargiri[[#This Row],[فی]]</f>
        <v>1180969260</v>
      </c>
      <c r="I2380" s="360">
        <f>IF(year=bargiri[[#This Row],[سال]],1,0)</f>
        <v>0</v>
      </c>
      <c r="J2380" s="360" t="str">
        <f>VLOOKUP(bargiri[[#This Row],[شماره پیش فاکتور]],invoice[],16,0)</f>
        <v>عادی</v>
      </c>
      <c r="K2380" s="252">
        <f>bargiri[[#This Row],[فی]]*bargiri[[#This Row],[میزان بارگیری شده]]</f>
        <v>1180969260</v>
      </c>
      <c r="Z2380" s="1"/>
    </row>
    <row r="2381" spans="1:26" ht="18.600000000000001">
      <c r="A2381" s="360" t="s">
        <v>383</v>
      </c>
      <c r="B2381" s="360" t="s">
        <v>118</v>
      </c>
      <c r="C2381" s="355" t="s">
        <v>84</v>
      </c>
      <c r="D2381">
        <v>20560</v>
      </c>
      <c r="E2381" s="143">
        <v>57273</v>
      </c>
      <c r="F2381" s="117">
        <v>1403</v>
      </c>
      <c r="G2381" s="360" t="s">
        <v>298</v>
      </c>
      <c r="H2381" s="144">
        <f>bargiri[[#This Row],[میزان بارگیری شده]]*bargiri[[#This Row],[فی]]</f>
        <v>1177532880</v>
      </c>
      <c r="I2381" s="360">
        <f>IF(year=bargiri[[#This Row],[سال]],1,0)</f>
        <v>0</v>
      </c>
      <c r="J2381" s="360" t="str">
        <f>VLOOKUP(bargiri[[#This Row],[شماره پیش فاکتور]],invoice[],16,0)</f>
        <v>عادی</v>
      </c>
      <c r="K2381" s="252">
        <f>bargiri[[#This Row],[فی]]*bargiri[[#This Row],[میزان بارگیری شده]]</f>
        <v>1177532880</v>
      </c>
      <c r="Z2381" s="1"/>
    </row>
    <row r="2382" spans="1:26" ht="18.600000000000001">
      <c r="A2382" s="360" t="s">
        <v>155</v>
      </c>
      <c r="B2382" s="360" t="s">
        <v>115</v>
      </c>
      <c r="C2382" s="355" t="s">
        <v>65</v>
      </c>
      <c r="D2382">
        <v>20075</v>
      </c>
      <c r="E2382" s="143">
        <v>75000</v>
      </c>
      <c r="F2382" s="117">
        <v>1403</v>
      </c>
      <c r="G2382" s="360" t="s">
        <v>298</v>
      </c>
      <c r="H2382" s="144">
        <f>bargiri[[#This Row],[میزان بارگیری شده]]*bargiri[[#This Row],[فی]]</f>
        <v>1505625000</v>
      </c>
      <c r="I2382" s="360">
        <f>IF(year=bargiri[[#This Row],[سال]],1,0)</f>
        <v>0</v>
      </c>
      <c r="J2382" s="360" t="str">
        <f>VLOOKUP(bargiri[[#This Row],[شماره پیش فاکتور]],invoice[],16,0)</f>
        <v>عادی</v>
      </c>
      <c r="K2382" s="252">
        <f>bargiri[[#This Row],[فی]]*bargiri[[#This Row],[میزان بارگیری شده]]</f>
        <v>1505625000</v>
      </c>
      <c r="Z2382" s="1"/>
    </row>
    <row r="2383" spans="1:26" ht="18.600000000000001">
      <c r="A2383" s="360" t="s">
        <v>155</v>
      </c>
      <c r="B2383" s="360" t="s">
        <v>107</v>
      </c>
      <c r="C2383" s="355" t="s">
        <v>50</v>
      </c>
      <c r="D2383">
        <v>19170</v>
      </c>
      <c r="E2383" s="143">
        <v>70000</v>
      </c>
      <c r="F2383" s="117">
        <v>1403</v>
      </c>
      <c r="G2383" s="360" t="s">
        <v>298</v>
      </c>
      <c r="H2383" s="144">
        <f>bargiri[[#This Row],[میزان بارگیری شده]]*bargiri[[#This Row],[فی]]</f>
        <v>1341900000</v>
      </c>
      <c r="I2383" s="360">
        <f>IF(year=bargiri[[#This Row],[سال]],1,0)</f>
        <v>0</v>
      </c>
      <c r="J2383" s="360" t="str">
        <f>VLOOKUP(bargiri[[#This Row],[شماره پیش فاکتور]],invoice[],16,0)</f>
        <v>عادی</v>
      </c>
      <c r="K2383" s="252">
        <f>bargiri[[#This Row],[فی]]*bargiri[[#This Row],[میزان بارگیری شده]]</f>
        <v>1341900000</v>
      </c>
      <c r="Z2383" s="1"/>
    </row>
    <row r="2384" spans="1:26" ht="18.600000000000001">
      <c r="A2384" s="360" t="s">
        <v>155</v>
      </c>
      <c r="B2384" s="360" t="s">
        <v>106</v>
      </c>
      <c r="C2384" s="355" t="s">
        <v>48</v>
      </c>
      <c r="D2384">
        <v>18025</v>
      </c>
      <c r="E2384" s="143">
        <v>65000</v>
      </c>
      <c r="F2384" s="117">
        <v>1403</v>
      </c>
      <c r="G2384" s="360" t="s">
        <v>298</v>
      </c>
      <c r="H2384" s="144">
        <f>bargiri[[#This Row],[میزان بارگیری شده]]*bargiri[[#This Row],[فی]]</f>
        <v>1171625000</v>
      </c>
      <c r="I2384" s="360">
        <f>IF(year=bargiri[[#This Row],[سال]],1,0)</f>
        <v>0</v>
      </c>
      <c r="J2384" s="360" t="str">
        <f>VLOOKUP(bargiri[[#This Row],[شماره پیش فاکتور]],invoice[],16,0)</f>
        <v>عادی</v>
      </c>
      <c r="K2384" s="252">
        <f>bargiri[[#This Row],[فی]]*bargiri[[#This Row],[میزان بارگیری شده]]</f>
        <v>1171625000</v>
      </c>
      <c r="Z2384" s="1"/>
    </row>
    <row r="2385" spans="1:26" ht="18.600000000000001">
      <c r="A2385" s="360" t="s">
        <v>220</v>
      </c>
      <c r="B2385" s="360" t="s">
        <v>123</v>
      </c>
      <c r="C2385" s="355" t="s">
        <v>93</v>
      </c>
      <c r="D2385">
        <v>7705</v>
      </c>
      <c r="E2385" s="143">
        <v>75000</v>
      </c>
      <c r="F2385" s="117">
        <v>1403</v>
      </c>
      <c r="G2385" s="360" t="s">
        <v>298</v>
      </c>
      <c r="H2385" s="144">
        <f>bargiri[[#This Row],[میزان بارگیری شده]]*bargiri[[#This Row],[فی]]</f>
        <v>577875000</v>
      </c>
      <c r="I2385" s="360">
        <f>IF(year=bargiri[[#This Row],[سال]],1,0)</f>
        <v>0</v>
      </c>
      <c r="J2385" s="360" t="str">
        <f>VLOOKUP(bargiri[[#This Row],[شماره پیش فاکتور]],invoice[],16,0)</f>
        <v>عادی</v>
      </c>
      <c r="K2385" s="252">
        <f>bargiri[[#This Row],[فی]]*bargiri[[#This Row],[میزان بارگیری شده]]</f>
        <v>577875000</v>
      </c>
      <c r="Z2385" s="1"/>
    </row>
    <row r="2386" spans="1:26" ht="18.600000000000001">
      <c r="A2386" s="360" t="s">
        <v>220</v>
      </c>
      <c r="B2386" s="360" t="s">
        <v>116</v>
      </c>
      <c r="C2386" s="355" t="s">
        <v>75</v>
      </c>
      <c r="D2386">
        <v>20020</v>
      </c>
      <c r="E2386" s="143">
        <v>78999</v>
      </c>
      <c r="F2386" s="117">
        <v>1403</v>
      </c>
      <c r="G2386" s="360" t="s">
        <v>298</v>
      </c>
      <c r="H2386" s="144">
        <f>bargiri[[#This Row],[میزان بارگیری شده]]*bargiri[[#This Row],[فی]]</f>
        <v>1581559980</v>
      </c>
      <c r="I2386" s="360">
        <f>IF(year=bargiri[[#This Row],[سال]],1,0)</f>
        <v>0</v>
      </c>
      <c r="J2386" s="360" t="str">
        <f>VLOOKUP(bargiri[[#This Row],[شماره پیش فاکتور]],invoice[],16,0)</f>
        <v>بورس</v>
      </c>
      <c r="K2386" s="252">
        <f>bargiri[[#This Row],[فی]]*bargiri[[#This Row],[میزان بارگیری شده]]</f>
        <v>1581559980</v>
      </c>
    </row>
    <row r="2387" spans="1:26" ht="18.600000000000001">
      <c r="A2387" s="360" t="s">
        <v>220</v>
      </c>
      <c r="B2387" s="360" t="s">
        <v>118</v>
      </c>
      <c r="C2387" s="355" t="s">
        <v>84</v>
      </c>
      <c r="D2387">
        <v>20595</v>
      </c>
      <c r="E2387" s="143">
        <v>57273</v>
      </c>
      <c r="F2387" s="117">
        <v>1403</v>
      </c>
      <c r="G2387" s="360" t="s">
        <v>298</v>
      </c>
      <c r="H2387" s="144">
        <f>bargiri[[#This Row],[میزان بارگیری شده]]*bargiri[[#This Row],[فی]]</f>
        <v>1179537435</v>
      </c>
      <c r="I2387" s="360">
        <f>IF(year=bargiri[[#This Row],[سال]],1,0)</f>
        <v>0</v>
      </c>
      <c r="J2387" s="360" t="str">
        <f>VLOOKUP(bargiri[[#This Row],[شماره پیش فاکتور]],invoice[],16,0)</f>
        <v>عادی</v>
      </c>
      <c r="K2387" s="252">
        <f>bargiri[[#This Row],[فی]]*bargiri[[#This Row],[میزان بارگیری شده]]</f>
        <v>1179537435</v>
      </c>
    </row>
    <row r="2388" spans="1:26" ht="18.600000000000001">
      <c r="A2388" s="360" t="s">
        <v>220</v>
      </c>
      <c r="B2388" s="360" t="s">
        <v>118</v>
      </c>
      <c r="C2388" s="355" t="s">
        <v>84</v>
      </c>
      <c r="D2388">
        <v>20685</v>
      </c>
      <c r="E2388" s="143">
        <v>57273</v>
      </c>
      <c r="F2388" s="117">
        <v>1403</v>
      </c>
      <c r="G2388" s="360" t="s">
        <v>298</v>
      </c>
      <c r="H2388" s="144">
        <f>bargiri[[#This Row],[میزان بارگیری شده]]*bargiri[[#This Row],[فی]]</f>
        <v>1184692005</v>
      </c>
      <c r="I2388" s="360">
        <f>IF(year=bargiri[[#This Row],[سال]],1,0)</f>
        <v>0</v>
      </c>
      <c r="J2388" s="360" t="str">
        <f>VLOOKUP(bargiri[[#This Row],[شماره پیش فاکتور]],invoice[],16,0)</f>
        <v>عادی</v>
      </c>
      <c r="K2388" s="252">
        <f>bargiri[[#This Row],[فی]]*bargiri[[#This Row],[میزان بارگیری شده]]</f>
        <v>1184692005</v>
      </c>
    </row>
    <row r="2389" spans="1:26" ht="18.600000000000001">
      <c r="A2389" s="360" t="s">
        <v>220</v>
      </c>
      <c r="B2389" s="360" t="s">
        <v>106</v>
      </c>
      <c r="C2389" s="355" t="s">
        <v>48</v>
      </c>
      <c r="D2389">
        <v>20170</v>
      </c>
      <c r="E2389" s="143">
        <v>65000</v>
      </c>
      <c r="F2389" s="117">
        <v>1403</v>
      </c>
      <c r="G2389" s="360" t="s">
        <v>298</v>
      </c>
      <c r="H2389" s="144">
        <f>bargiri[[#This Row],[میزان بارگیری شده]]*bargiri[[#This Row],[فی]]</f>
        <v>1311050000</v>
      </c>
      <c r="I2389" s="360">
        <f>IF(year=bargiri[[#This Row],[سال]],1,0)</f>
        <v>0</v>
      </c>
      <c r="J2389" s="360" t="str">
        <f>VLOOKUP(bargiri[[#This Row],[شماره پیش فاکتور]],invoice[],16,0)</f>
        <v>عادی</v>
      </c>
      <c r="K2389" s="252">
        <f>bargiri[[#This Row],[فی]]*bargiri[[#This Row],[میزان بارگیری شده]]</f>
        <v>1311050000</v>
      </c>
    </row>
    <row r="2390" spans="1:26" ht="18.600000000000001">
      <c r="A2390" s="360" t="s">
        <v>220</v>
      </c>
      <c r="B2390" s="360" t="s">
        <v>120</v>
      </c>
      <c r="C2390" s="355" t="s">
        <v>88</v>
      </c>
      <c r="D2390">
        <v>9075</v>
      </c>
      <c r="E2390" s="143">
        <v>80000</v>
      </c>
      <c r="F2390" s="117">
        <v>1403</v>
      </c>
      <c r="G2390" s="360" t="s">
        <v>298</v>
      </c>
      <c r="H2390" s="144">
        <f>bargiri[[#This Row],[میزان بارگیری شده]]*bargiri[[#This Row],[فی]]</f>
        <v>726000000</v>
      </c>
      <c r="I2390" s="360">
        <f>IF(year=bargiri[[#This Row],[سال]],1,0)</f>
        <v>0</v>
      </c>
      <c r="J2390" s="360" t="str">
        <f>VLOOKUP(bargiri[[#This Row],[شماره پیش فاکتور]],invoice[],16,0)</f>
        <v>عادی</v>
      </c>
      <c r="K2390" s="252">
        <f>bargiri[[#This Row],[فی]]*bargiri[[#This Row],[میزان بارگیری شده]]</f>
        <v>726000000</v>
      </c>
    </row>
    <row r="2391" spans="1:26" ht="18.600000000000001">
      <c r="A2391" s="360" t="s">
        <v>384</v>
      </c>
      <c r="B2391" s="360" t="s">
        <v>106</v>
      </c>
      <c r="C2391" s="355" t="s">
        <v>47</v>
      </c>
      <c r="D2391">
        <v>5410</v>
      </c>
      <c r="E2391" s="143">
        <v>50000</v>
      </c>
      <c r="F2391" s="117">
        <v>1403</v>
      </c>
      <c r="G2391" s="360" t="s">
        <v>304</v>
      </c>
      <c r="H2391" s="144">
        <f>bargiri[[#This Row],[میزان بارگیری شده]]*bargiri[[#This Row],[فی]]</f>
        <v>270500000</v>
      </c>
      <c r="I2391" s="360">
        <f>IF(year=bargiri[[#This Row],[سال]],1,0)</f>
        <v>0</v>
      </c>
      <c r="J2391" s="360" t="str">
        <f>VLOOKUP(bargiri[[#This Row],[شماره پیش فاکتور]],invoice[],16,0)</f>
        <v>عادی</v>
      </c>
      <c r="K2391" s="252">
        <f>bargiri[[#This Row],[فی]]*bargiri[[#This Row],[میزان بارگیری شده]]</f>
        <v>270500000</v>
      </c>
    </row>
    <row r="2392" spans="1:26" ht="18.600000000000001">
      <c r="A2392" s="360" t="s">
        <v>182</v>
      </c>
      <c r="B2392" s="360" t="s">
        <v>103</v>
      </c>
      <c r="C2392" s="355" t="s">
        <v>30</v>
      </c>
      <c r="D2392">
        <v>7425</v>
      </c>
      <c r="E2392" s="143">
        <v>70000</v>
      </c>
      <c r="F2392" s="117">
        <v>1403</v>
      </c>
      <c r="G2392" s="360" t="s">
        <v>298</v>
      </c>
      <c r="H2392" s="144">
        <f>bargiri[[#This Row],[میزان بارگیری شده]]*bargiri[[#This Row],[فی]]</f>
        <v>519750000</v>
      </c>
      <c r="I2392" s="360">
        <f>IF(year=bargiri[[#This Row],[سال]],1,0)</f>
        <v>0</v>
      </c>
      <c r="J2392" s="360" t="str">
        <f>VLOOKUP(bargiri[[#This Row],[شماره پیش فاکتور]],invoice[],16,0)</f>
        <v>عادی</v>
      </c>
      <c r="K2392" s="252">
        <f>bargiri[[#This Row],[فی]]*bargiri[[#This Row],[میزان بارگیری شده]]</f>
        <v>519750000</v>
      </c>
    </row>
    <row r="2393" spans="1:26" ht="18.600000000000001">
      <c r="A2393" s="360" t="s">
        <v>182</v>
      </c>
      <c r="B2393" s="360" t="s">
        <v>118</v>
      </c>
      <c r="C2393" s="355" t="s">
        <v>84</v>
      </c>
      <c r="D2393">
        <v>20635</v>
      </c>
      <c r="E2393" s="143">
        <v>57273</v>
      </c>
      <c r="F2393" s="117">
        <v>1403</v>
      </c>
      <c r="G2393" s="360" t="s">
        <v>298</v>
      </c>
      <c r="H2393" s="144">
        <f>bargiri[[#This Row],[میزان بارگیری شده]]*bargiri[[#This Row],[فی]]</f>
        <v>1181828355</v>
      </c>
      <c r="I2393" s="360">
        <f>IF(year=bargiri[[#This Row],[سال]],1,0)</f>
        <v>0</v>
      </c>
      <c r="J2393" s="360" t="str">
        <f>VLOOKUP(bargiri[[#This Row],[شماره پیش فاکتور]],invoice[],16,0)</f>
        <v>عادی</v>
      </c>
      <c r="K2393" s="252">
        <f>bargiri[[#This Row],[فی]]*bargiri[[#This Row],[میزان بارگیری شده]]</f>
        <v>1181828355</v>
      </c>
    </row>
    <row r="2394" spans="1:26" ht="18.600000000000001">
      <c r="A2394" s="360" t="s">
        <v>182</v>
      </c>
      <c r="B2394" s="360" t="s">
        <v>118</v>
      </c>
      <c r="C2394" s="355" t="s">
        <v>84</v>
      </c>
      <c r="D2394">
        <v>20525</v>
      </c>
      <c r="E2394" s="143">
        <v>57273</v>
      </c>
      <c r="F2394" s="117">
        <v>1403</v>
      </c>
      <c r="G2394" s="360" t="s">
        <v>298</v>
      </c>
      <c r="H2394" s="144">
        <f>bargiri[[#This Row],[میزان بارگیری شده]]*bargiri[[#This Row],[فی]]</f>
        <v>1175528325</v>
      </c>
      <c r="I2394" s="360">
        <f>IF(year=bargiri[[#This Row],[سال]],1,0)</f>
        <v>0</v>
      </c>
      <c r="J2394" s="360" t="str">
        <f>VLOOKUP(bargiri[[#This Row],[شماره پیش فاکتور]],invoice[],16,0)</f>
        <v>عادی</v>
      </c>
      <c r="K2394" s="252">
        <f>bargiri[[#This Row],[فی]]*bargiri[[#This Row],[میزان بارگیری شده]]</f>
        <v>1175528325</v>
      </c>
    </row>
    <row r="2395" spans="1:26" ht="18.600000000000001">
      <c r="A2395" s="360" t="s">
        <v>182</v>
      </c>
      <c r="B2395" s="360" t="s">
        <v>110</v>
      </c>
      <c r="C2395" s="355" t="s">
        <v>57</v>
      </c>
      <c r="D2395">
        <v>19040</v>
      </c>
      <c r="E2395" s="143">
        <v>78000</v>
      </c>
      <c r="F2395" s="117">
        <v>1403</v>
      </c>
      <c r="G2395" s="360" t="s">
        <v>298</v>
      </c>
      <c r="H2395" s="144">
        <f>bargiri[[#This Row],[میزان بارگیری شده]]*bargiri[[#This Row],[فی]]</f>
        <v>1485120000</v>
      </c>
      <c r="I2395" s="360">
        <f>IF(year=bargiri[[#This Row],[سال]],1,0)</f>
        <v>0</v>
      </c>
      <c r="J2395" s="360" t="str">
        <f>VLOOKUP(bargiri[[#This Row],[شماره پیش فاکتور]],invoice[],16,0)</f>
        <v>عادی</v>
      </c>
      <c r="K2395" s="252">
        <f>bargiri[[#This Row],[فی]]*bargiri[[#This Row],[میزان بارگیری شده]]</f>
        <v>1485120000</v>
      </c>
    </row>
    <row r="2396" spans="1:26" ht="18.600000000000001">
      <c r="A2396" s="360" t="s">
        <v>182</v>
      </c>
      <c r="B2396" s="360" t="s">
        <v>107</v>
      </c>
      <c r="C2396" s="355" t="s">
        <v>50</v>
      </c>
      <c r="D2396">
        <v>19160</v>
      </c>
      <c r="E2396" s="143">
        <v>70000</v>
      </c>
      <c r="F2396" s="117">
        <v>1403</v>
      </c>
      <c r="G2396" s="360" t="s">
        <v>298</v>
      </c>
      <c r="H2396" s="144">
        <f>bargiri[[#This Row],[میزان بارگیری شده]]*bargiri[[#This Row],[فی]]</f>
        <v>1341200000</v>
      </c>
      <c r="I2396" s="360">
        <f>IF(year=bargiri[[#This Row],[سال]],1,0)</f>
        <v>0</v>
      </c>
      <c r="J2396" s="360" t="str">
        <f>VLOOKUP(bargiri[[#This Row],[شماره پیش فاکتور]],invoice[],16,0)</f>
        <v>عادی</v>
      </c>
      <c r="K2396" s="252">
        <f>bargiri[[#This Row],[فی]]*bargiri[[#This Row],[میزان بارگیری شده]]</f>
        <v>1341200000</v>
      </c>
    </row>
    <row r="2397" spans="1:26" ht="18.600000000000001">
      <c r="A2397" s="360" t="s">
        <v>215</v>
      </c>
      <c r="B2397" s="360" t="s">
        <v>115</v>
      </c>
      <c r="C2397" s="355" t="s">
        <v>66</v>
      </c>
      <c r="D2397">
        <v>8500</v>
      </c>
      <c r="E2397" s="143">
        <v>45000</v>
      </c>
      <c r="F2397" s="117">
        <v>1403</v>
      </c>
      <c r="G2397" s="360" t="s">
        <v>304</v>
      </c>
      <c r="H2397" s="144">
        <f>bargiri[[#This Row],[میزان بارگیری شده]]*bargiri[[#This Row],[فی]]</f>
        <v>382500000</v>
      </c>
      <c r="I2397" s="360">
        <f>IF(year=bargiri[[#This Row],[سال]],1,0)</f>
        <v>0</v>
      </c>
      <c r="J2397" s="360" t="str">
        <f>VLOOKUP(bargiri[[#This Row],[شماره پیش فاکتور]],invoice[],16,0)</f>
        <v>عادی</v>
      </c>
      <c r="K2397" s="252">
        <f>bargiri[[#This Row],[فی]]*bargiri[[#This Row],[میزان بارگیری شده]]</f>
        <v>382500000</v>
      </c>
    </row>
    <row r="2398" spans="1:26" ht="18.600000000000001">
      <c r="A2398" s="360" t="s">
        <v>215</v>
      </c>
      <c r="B2398" s="360" t="s">
        <v>115</v>
      </c>
      <c r="C2398" s="355" t="s">
        <v>65</v>
      </c>
      <c r="D2398">
        <v>14640</v>
      </c>
      <c r="E2398" s="143">
        <v>75000</v>
      </c>
      <c r="F2398" s="117">
        <v>1403</v>
      </c>
      <c r="G2398" s="360" t="s">
        <v>304</v>
      </c>
      <c r="H2398" s="144">
        <f>bargiri[[#This Row],[میزان بارگیری شده]]*bargiri[[#This Row],[فی]]</f>
        <v>1098000000</v>
      </c>
      <c r="I2398" s="360">
        <f>IF(year=bargiri[[#This Row],[سال]],1,0)</f>
        <v>0</v>
      </c>
      <c r="J2398" s="360" t="str">
        <f>VLOOKUP(bargiri[[#This Row],[شماره پیش فاکتور]],invoice[],16,0)</f>
        <v>عادی</v>
      </c>
      <c r="K2398" s="252">
        <f>bargiri[[#This Row],[فی]]*bargiri[[#This Row],[میزان بارگیری شده]]</f>
        <v>1098000000</v>
      </c>
    </row>
    <row r="2399" spans="1:26" ht="18.600000000000001">
      <c r="A2399" s="360" t="s">
        <v>156</v>
      </c>
      <c r="B2399" s="360" t="s">
        <v>104</v>
      </c>
      <c r="C2399" s="355" t="s">
        <v>42</v>
      </c>
      <c r="D2399">
        <v>6910</v>
      </c>
      <c r="E2399" s="143">
        <v>75000</v>
      </c>
      <c r="F2399" s="117">
        <v>1403</v>
      </c>
      <c r="G2399" s="360" t="s">
        <v>304</v>
      </c>
      <c r="H2399" s="144">
        <f>bargiri[[#This Row],[میزان بارگیری شده]]*bargiri[[#This Row],[فی]]</f>
        <v>518250000</v>
      </c>
      <c r="I2399" s="360">
        <f>IF(year=bargiri[[#This Row],[سال]],1,0)</f>
        <v>0</v>
      </c>
      <c r="J2399" s="360" t="str">
        <f>VLOOKUP(bargiri[[#This Row],[شماره پیش فاکتور]],invoice[],16,0)</f>
        <v>عادی</v>
      </c>
      <c r="K2399" s="252">
        <f>bargiri[[#This Row],[فی]]*bargiri[[#This Row],[میزان بارگیری شده]]</f>
        <v>518250000</v>
      </c>
    </row>
    <row r="2400" spans="1:26" ht="18.600000000000001">
      <c r="A2400" s="360" t="s">
        <v>156</v>
      </c>
      <c r="B2400" s="360" t="s">
        <v>104</v>
      </c>
      <c r="C2400" s="355" t="s">
        <v>41</v>
      </c>
      <c r="D2400">
        <v>200</v>
      </c>
      <c r="E2400" s="143">
        <v>85000</v>
      </c>
      <c r="F2400" s="117">
        <v>1403</v>
      </c>
      <c r="G2400" s="360" t="s">
        <v>304</v>
      </c>
      <c r="H2400" s="144">
        <f>bargiri[[#This Row],[میزان بارگیری شده]]*bargiri[[#This Row],[فی]]</f>
        <v>17000000</v>
      </c>
      <c r="I2400" s="360">
        <f>IF(year=bargiri[[#This Row],[سال]],1,0)</f>
        <v>0</v>
      </c>
      <c r="J2400" s="360" t="str">
        <f>VLOOKUP(bargiri[[#This Row],[شماره پیش فاکتور]],invoice[],16,0)</f>
        <v>عادی</v>
      </c>
      <c r="K2400" s="252">
        <f>bargiri[[#This Row],[فی]]*bargiri[[#This Row],[میزان بارگیری شده]]</f>
        <v>17000000</v>
      </c>
    </row>
    <row r="2401" spans="1:11" ht="18.600000000000001">
      <c r="A2401" s="360" t="s">
        <v>186</v>
      </c>
      <c r="B2401" s="360" t="s">
        <v>98</v>
      </c>
      <c r="C2401" s="355" t="s">
        <v>10</v>
      </c>
      <c r="D2401">
        <v>7395</v>
      </c>
      <c r="E2401" s="143">
        <v>70000</v>
      </c>
      <c r="F2401" s="117">
        <v>1403</v>
      </c>
      <c r="G2401" s="360" t="s">
        <v>298</v>
      </c>
      <c r="H2401" s="144">
        <f>bargiri[[#This Row],[میزان بارگیری شده]]*bargiri[[#This Row],[فی]]</f>
        <v>517650000</v>
      </c>
      <c r="I2401" s="360">
        <f>IF(year=bargiri[[#This Row],[سال]],1,0)</f>
        <v>0</v>
      </c>
      <c r="J2401" s="360" t="str">
        <f>VLOOKUP(bargiri[[#This Row],[شماره پیش فاکتور]],invoice[],16,0)</f>
        <v>عادی</v>
      </c>
      <c r="K2401" s="252">
        <f>bargiri[[#This Row],[فی]]*bargiri[[#This Row],[میزان بارگیری شده]]</f>
        <v>517650000</v>
      </c>
    </row>
    <row r="2402" spans="1:11" ht="18.600000000000001">
      <c r="A2402" s="360" t="s">
        <v>186</v>
      </c>
      <c r="B2402" s="360" t="s">
        <v>98</v>
      </c>
      <c r="C2402" s="355" t="s">
        <v>8</v>
      </c>
      <c r="D2402">
        <v>12910</v>
      </c>
      <c r="E2402" s="143">
        <v>72000</v>
      </c>
      <c r="F2402" s="117">
        <v>1403</v>
      </c>
      <c r="G2402" s="360" t="s">
        <v>298</v>
      </c>
      <c r="H2402" s="144">
        <f>bargiri[[#This Row],[میزان بارگیری شده]]*bargiri[[#This Row],[فی]]</f>
        <v>929520000</v>
      </c>
      <c r="I2402" s="360">
        <f>IF(year=bargiri[[#This Row],[سال]],1,0)</f>
        <v>0</v>
      </c>
      <c r="J2402" s="360" t="str">
        <f>VLOOKUP(bargiri[[#This Row],[شماره پیش فاکتور]],invoice[],16,0)</f>
        <v>عادی</v>
      </c>
      <c r="K2402" s="252">
        <f>bargiri[[#This Row],[فی]]*bargiri[[#This Row],[میزان بارگیری شده]]</f>
        <v>929520000</v>
      </c>
    </row>
    <row r="2403" spans="1:11" ht="18.600000000000001">
      <c r="A2403" s="360" t="s">
        <v>186</v>
      </c>
      <c r="B2403" s="360" t="s">
        <v>102</v>
      </c>
      <c r="C2403" s="355" t="s">
        <v>25</v>
      </c>
      <c r="D2403">
        <v>10225</v>
      </c>
      <c r="E2403" s="143">
        <v>65000</v>
      </c>
      <c r="F2403" s="117">
        <v>1403</v>
      </c>
      <c r="G2403" s="360" t="s">
        <v>298</v>
      </c>
      <c r="H2403" s="144">
        <f>bargiri[[#This Row],[میزان بارگیری شده]]*bargiri[[#This Row],[فی]]</f>
        <v>664625000</v>
      </c>
      <c r="I2403" s="360">
        <f>IF(year=bargiri[[#This Row],[سال]],1,0)</f>
        <v>0</v>
      </c>
      <c r="J2403" s="360" t="str">
        <f>VLOOKUP(bargiri[[#This Row],[شماره پیش فاکتور]],invoice[],16,0)</f>
        <v>عادی</v>
      </c>
      <c r="K2403" s="252">
        <f>bargiri[[#This Row],[فی]]*bargiri[[#This Row],[میزان بارگیری شده]]</f>
        <v>664625000</v>
      </c>
    </row>
    <row r="2404" spans="1:11" ht="18.600000000000001">
      <c r="A2404" s="360" t="s">
        <v>186</v>
      </c>
      <c r="B2404" s="360" t="s">
        <v>120</v>
      </c>
      <c r="C2404" s="355" t="s">
        <v>88</v>
      </c>
      <c r="D2404">
        <v>9675</v>
      </c>
      <c r="E2404" s="143">
        <v>80000</v>
      </c>
      <c r="F2404" s="117">
        <v>1403</v>
      </c>
      <c r="G2404" s="360" t="s">
        <v>298</v>
      </c>
      <c r="H2404" s="144">
        <f>bargiri[[#This Row],[میزان بارگیری شده]]*bargiri[[#This Row],[فی]]</f>
        <v>774000000</v>
      </c>
      <c r="I2404" s="360">
        <f>IF(year=bargiri[[#This Row],[سال]],1,0)</f>
        <v>0</v>
      </c>
      <c r="J2404" s="360" t="str">
        <f>VLOOKUP(bargiri[[#This Row],[شماره پیش فاکتور]],invoice[],16,0)</f>
        <v>عادی</v>
      </c>
      <c r="K2404" s="252">
        <f>bargiri[[#This Row],[فی]]*bargiri[[#This Row],[میزان بارگیری شده]]</f>
        <v>774000000</v>
      </c>
    </row>
    <row r="2405" spans="1:11" ht="18.600000000000001">
      <c r="A2405" s="360" t="s">
        <v>385</v>
      </c>
      <c r="B2405" s="360" t="s">
        <v>116</v>
      </c>
      <c r="C2405" s="355" t="s">
        <v>77</v>
      </c>
      <c r="D2405">
        <v>20210</v>
      </c>
      <c r="E2405" s="143">
        <v>68500</v>
      </c>
      <c r="F2405" s="117">
        <v>1403</v>
      </c>
      <c r="G2405" s="360" t="s">
        <v>298</v>
      </c>
      <c r="H2405" s="144">
        <f>bargiri[[#This Row],[میزان بارگیری شده]]*bargiri[[#This Row],[فی]]</f>
        <v>1384385000</v>
      </c>
      <c r="I2405" s="360">
        <f>IF(year=bargiri[[#This Row],[سال]],1,0)</f>
        <v>0</v>
      </c>
      <c r="J2405" s="360" t="str">
        <f>VLOOKUP(bargiri[[#This Row],[شماره پیش فاکتور]],invoice[],16,0)</f>
        <v>عادی</v>
      </c>
      <c r="K2405" s="252">
        <f>bargiri[[#This Row],[فی]]*bargiri[[#This Row],[میزان بارگیری شده]]</f>
        <v>1384385000</v>
      </c>
    </row>
    <row r="2406" spans="1:11" ht="18.600000000000001">
      <c r="A2406" s="360" t="s">
        <v>385</v>
      </c>
      <c r="B2406" s="360" t="s">
        <v>101</v>
      </c>
      <c r="C2406" s="355" t="s">
        <v>20</v>
      </c>
      <c r="D2406">
        <v>20180</v>
      </c>
      <c r="E2406" s="143">
        <v>68000</v>
      </c>
      <c r="F2406" s="117">
        <v>1403</v>
      </c>
      <c r="G2406" s="360" t="s">
        <v>298</v>
      </c>
      <c r="H2406" s="144">
        <f>bargiri[[#This Row],[میزان بارگیری شده]]*bargiri[[#This Row],[فی]]</f>
        <v>1372240000</v>
      </c>
      <c r="I2406" s="360">
        <f>IF(year=bargiri[[#This Row],[سال]],1,0)</f>
        <v>0</v>
      </c>
      <c r="J2406" s="360" t="str">
        <f>VLOOKUP(bargiri[[#This Row],[شماره پیش فاکتور]],invoice[],16,0)</f>
        <v>عادی</v>
      </c>
      <c r="K2406" s="252">
        <f>bargiri[[#This Row],[فی]]*bargiri[[#This Row],[میزان بارگیری شده]]</f>
        <v>1372240000</v>
      </c>
    </row>
    <row r="2407" spans="1:11" ht="18.600000000000001">
      <c r="A2407" s="360" t="s">
        <v>385</v>
      </c>
      <c r="B2407" s="360" t="s">
        <v>103</v>
      </c>
      <c r="C2407" s="355" t="s">
        <v>30</v>
      </c>
      <c r="D2407">
        <v>7390</v>
      </c>
      <c r="E2407" s="143">
        <v>70000</v>
      </c>
      <c r="F2407" s="117">
        <v>1403</v>
      </c>
      <c r="G2407" s="360" t="s">
        <v>298</v>
      </c>
      <c r="H2407" s="144">
        <f>bargiri[[#This Row],[میزان بارگیری شده]]*bargiri[[#This Row],[فی]]</f>
        <v>517300000</v>
      </c>
      <c r="I2407" s="360">
        <f>IF(year=bargiri[[#This Row],[سال]],1,0)</f>
        <v>0</v>
      </c>
      <c r="J2407" s="360" t="str">
        <f>VLOOKUP(bargiri[[#This Row],[شماره پیش فاکتور]],invoice[],16,0)</f>
        <v>عادی</v>
      </c>
      <c r="K2407" s="252">
        <f>bargiri[[#This Row],[فی]]*bargiri[[#This Row],[میزان بارگیری شده]]</f>
        <v>517300000</v>
      </c>
    </row>
    <row r="2408" spans="1:11" ht="18.600000000000001">
      <c r="A2408" s="360" t="s">
        <v>226</v>
      </c>
      <c r="B2408" s="360" t="s">
        <v>116</v>
      </c>
      <c r="C2408" s="355" t="s">
        <v>77</v>
      </c>
      <c r="D2408">
        <v>20020</v>
      </c>
      <c r="E2408" s="143">
        <v>68500</v>
      </c>
      <c r="F2408" s="117">
        <v>1403</v>
      </c>
      <c r="G2408" s="360" t="s">
        <v>304</v>
      </c>
      <c r="H2408" s="144">
        <f>bargiri[[#This Row],[میزان بارگیری شده]]*bargiri[[#This Row],[فی]]</f>
        <v>1371370000</v>
      </c>
      <c r="I2408" s="360">
        <f>IF(year=bargiri[[#This Row],[سال]],1,0)</f>
        <v>0</v>
      </c>
      <c r="J2408" s="360" t="str">
        <f>VLOOKUP(bargiri[[#This Row],[شماره پیش فاکتور]],invoice[],16,0)</f>
        <v>عادی</v>
      </c>
      <c r="K2408" s="252">
        <f>bargiri[[#This Row],[فی]]*bargiri[[#This Row],[میزان بارگیری شده]]</f>
        <v>1371370000</v>
      </c>
    </row>
    <row r="2409" spans="1:11" ht="18.600000000000001">
      <c r="A2409" s="360" t="s">
        <v>386</v>
      </c>
      <c r="B2409" s="360" t="s">
        <v>107</v>
      </c>
      <c r="C2409" s="355" t="s">
        <v>50</v>
      </c>
      <c r="D2409">
        <v>19090</v>
      </c>
      <c r="E2409" s="143">
        <v>70000</v>
      </c>
      <c r="F2409" s="117">
        <v>1403</v>
      </c>
      <c r="G2409" s="360" t="s">
        <v>299</v>
      </c>
      <c r="H2409" s="144">
        <f>bargiri[[#This Row],[میزان بارگیری شده]]*bargiri[[#This Row],[فی]]</f>
        <v>1336300000</v>
      </c>
      <c r="I2409" s="360">
        <f>IF(year=bargiri[[#This Row],[سال]],1,0)</f>
        <v>0</v>
      </c>
      <c r="J2409" s="360" t="str">
        <f>VLOOKUP(bargiri[[#This Row],[شماره پیش فاکتور]],invoice[],16,0)</f>
        <v>عادی</v>
      </c>
      <c r="K2409" s="252">
        <f>bargiri[[#This Row],[فی]]*bargiri[[#This Row],[میزان بارگیری شده]]</f>
        <v>1336300000</v>
      </c>
    </row>
    <row r="2410" spans="1:11" ht="18.600000000000001">
      <c r="A2410" s="360" t="s">
        <v>141</v>
      </c>
      <c r="B2410" s="360" t="s">
        <v>116</v>
      </c>
      <c r="C2410" s="355" t="s">
        <v>77</v>
      </c>
      <c r="D2410">
        <v>19120</v>
      </c>
      <c r="E2410" s="143">
        <v>68500</v>
      </c>
      <c r="F2410" s="117">
        <v>1403</v>
      </c>
      <c r="G2410" s="360" t="s">
        <v>299</v>
      </c>
      <c r="H2410" s="144">
        <f>bargiri[[#This Row],[میزان بارگیری شده]]*bargiri[[#This Row],[فی]]</f>
        <v>1309720000</v>
      </c>
      <c r="I2410" s="360">
        <f>IF(year=bargiri[[#This Row],[سال]],1,0)</f>
        <v>0</v>
      </c>
      <c r="J2410" s="360" t="str">
        <f>VLOOKUP(bargiri[[#This Row],[شماره پیش فاکتور]],invoice[],16,0)</f>
        <v>عادی</v>
      </c>
      <c r="K2410" s="252">
        <f>bargiri[[#This Row],[فی]]*bargiri[[#This Row],[میزان بارگیری شده]]</f>
        <v>1309720000</v>
      </c>
    </row>
    <row r="2411" spans="1:11" ht="18.600000000000001">
      <c r="A2411" s="360" t="s">
        <v>141</v>
      </c>
      <c r="B2411" s="360" t="s">
        <v>118</v>
      </c>
      <c r="C2411" s="355" t="s">
        <v>84</v>
      </c>
      <c r="D2411">
        <v>20435</v>
      </c>
      <c r="E2411" s="143">
        <v>57273</v>
      </c>
      <c r="F2411" s="117">
        <v>1403</v>
      </c>
      <c r="G2411" s="360" t="s">
        <v>299</v>
      </c>
      <c r="H2411" s="144">
        <f>bargiri[[#This Row],[میزان بارگیری شده]]*bargiri[[#This Row],[فی]]</f>
        <v>1170373755</v>
      </c>
      <c r="I2411" s="360">
        <f>IF(year=bargiri[[#This Row],[سال]],1,0)</f>
        <v>0</v>
      </c>
      <c r="J2411" s="360" t="str">
        <f>VLOOKUP(bargiri[[#This Row],[شماره پیش فاکتور]],invoice[],16,0)</f>
        <v>عادی</v>
      </c>
      <c r="K2411" s="252">
        <f>bargiri[[#This Row],[فی]]*bargiri[[#This Row],[میزان بارگیری شده]]</f>
        <v>1170373755</v>
      </c>
    </row>
    <row r="2412" spans="1:11" ht="18.600000000000001">
      <c r="A2412" s="360" t="s">
        <v>141</v>
      </c>
      <c r="B2412" s="360" t="s">
        <v>118</v>
      </c>
      <c r="C2412" s="355" t="s">
        <v>84</v>
      </c>
      <c r="D2412">
        <v>20745</v>
      </c>
      <c r="E2412" s="143">
        <v>57273</v>
      </c>
      <c r="F2412" s="117">
        <v>1403</v>
      </c>
      <c r="G2412" s="360" t="s">
        <v>299</v>
      </c>
      <c r="H2412" s="144">
        <f>bargiri[[#This Row],[میزان بارگیری شده]]*bargiri[[#This Row],[فی]]</f>
        <v>1188128385</v>
      </c>
      <c r="I2412" s="360">
        <f>IF(year=bargiri[[#This Row],[سال]],1,0)</f>
        <v>0</v>
      </c>
      <c r="J2412" s="360" t="str">
        <f>VLOOKUP(bargiri[[#This Row],[شماره پیش فاکتور]],invoice[],16,0)</f>
        <v>عادی</v>
      </c>
      <c r="K2412" s="252">
        <f>bargiri[[#This Row],[فی]]*bargiri[[#This Row],[میزان بارگیری شده]]</f>
        <v>1188128385</v>
      </c>
    </row>
    <row r="2413" spans="1:11" ht="18.600000000000001">
      <c r="A2413" s="360" t="s">
        <v>141</v>
      </c>
      <c r="B2413" s="360" t="s">
        <v>101</v>
      </c>
      <c r="C2413" s="355" t="s">
        <v>18</v>
      </c>
      <c r="D2413">
        <v>12260</v>
      </c>
      <c r="E2413" s="143">
        <v>92000</v>
      </c>
      <c r="F2413" s="117">
        <v>1403</v>
      </c>
      <c r="G2413" s="360" t="s">
        <v>299</v>
      </c>
      <c r="H2413" s="144">
        <f>bargiri[[#This Row],[میزان بارگیری شده]]*bargiri[[#This Row],[فی]]</f>
        <v>1127920000</v>
      </c>
      <c r="I2413" s="360">
        <f>IF(year=bargiri[[#This Row],[سال]],1,0)</f>
        <v>0</v>
      </c>
      <c r="J2413" s="360" t="str">
        <f>VLOOKUP(bargiri[[#This Row],[شماره پیش فاکتور]],invoice[],16,0)</f>
        <v>بورس</v>
      </c>
      <c r="K2413" s="252">
        <f>bargiri[[#This Row],[فی]]*bargiri[[#This Row],[میزان بارگیری شده]]</f>
        <v>1127920000</v>
      </c>
    </row>
    <row r="2414" spans="1:11" ht="18.600000000000001">
      <c r="A2414" s="360" t="s">
        <v>387</v>
      </c>
      <c r="B2414" s="360" t="s">
        <v>118</v>
      </c>
      <c r="C2414" s="355" t="s">
        <v>84</v>
      </c>
      <c r="D2414">
        <v>20665</v>
      </c>
      <c r="E2414" s="143">
        <v>57273</v>
      </c>
      <c r="F2414" s="117">
        <v>1403</v>
      </c>
      <c r="G2414" s="360" t="s">
        <v>299</v>
      </c>
      <c r="H2414" s="144">
        <f>bargiri[[#This Row],[میزان بارگیری شده]]*bargiri[[#This Row],[فی]]</f>
        <v>1183546545</v>
      </c>
      <c r="I2414" s="360">
        <f>IF(year=bargiri[[#This Row],[سال]],1,0)</f>
        <v>0</v>
      </c>
      <c r="J2414" s="360" t="str">
        <f>VLOOKUP(bargiri[[#This Row],[شماره پیش فاکتور]],invoice[],16,0)</f>
        <v>عادی</v>
      </c>
      <c r="K2414" s="252">
        <f>bargiri[[#This Row],[فی]]*bargiri[[#This Row],[میزان بارگیری شده]]</f>
        <v>1183546545</v>
      </c>
    </row>
    <row r="2415" spans="1:11" ht="18.600000000000001">
      <c r="A2415" s="360" t="s">
        <v>387</v>
      </c>
      <c r="B2415" s="360" t="s">
        <v>118</v>
      </c>
      <c r="C2415" s="355" t="s">
        <v>84</v>
      </c>
      <c r="D2415">
        <v>21120</v>
      </c>
      <c r="E2415" s="143">
        <v>57273</v>
      </c>
      <c r="F2415" s="117">
        <v>1403</v>
      </c>
      <c r="G2415" s="360" t="s">
        <v>299</v>
      </c>
      <c r="H2415" s="144">
        <f>bargiri[[#This Row],[میزان بارگیری شده]]*bargiri[[#This Row],[فی]]</f>
        <v>1209605760</v>
      </c>
      <c r="I2415" s="360">
        <f>IF(year=bargiri[[#This Row],[سال]],1,0)</f>
        <v>0</v>
      </c>
      <c r="J2415" s="360" t="str">
        <f>VLOOKUP(bargiri[[#This Row],[شماره پیش فاکتور]],invoice[],16,0)</f>
        <v>عادی</v>
      </c>
      <c r="K2415" s="252">
        <f>bargiri[[#This Row],[فی]]*bargiri[[#This Row],[میزان بارگیری شده]]</f>
        <v>1209605760</v>
      </c>
    </row>
    <row r="2416" spans="1:11" ht="18.600000000000001">
      <c r="A2416" s="360" t="s">
        <v>388</v>
      </c>
      <c r="B2416" s="360" t="s">
        <v>118</v>
      </c>
      <c r="C2416" s="355" t="s">
        <v>84</v>
      </c>
      <c r="D2416">
        <v>20185</v>
      </c>
      <c r="E2416" s="143">
        <v>57273</v>
      </c>
      <c r="F2416" s="117">
        <v>1403</v>
      </c>
      <c r="G2416" s="360" t="s">
        <v>299</v>
      </c>
      <c r="H2416" s="144">
        <f>bargiri[[#This Row],[میزان بارگیری شده]]*bargiri[[#This Row],[فی]]</f>
        <v>1156055505</v>
      </c>
      <c r="I2416" s="360">
        <f>IF(year=bargiri[[#This Row],[سال]],1,0)</f>
        <v>0</v>
      </c>
      <c r="J2416" s="360" t="str">
        <f>VLOOKUP(bargiri[[#This Row],[شماره پیش فاکتور]],invoice[],16,0)</f>
        <v>عادی</v>
      </c>
      <c r="K2416" s="252">
        <f>bargiri[[#This Row],[فی]]*bargiri[[#This Row],[میزان بارگیری شده]]</f>
        <v>1156055505</v>
      </c>
    </row>
    <row r="2417" spans="1:11" ht="18.600000000000001">
      <c r="A2417" s="360" t="s">
        <v>388</v>
      </c>
      <c r="B2417" s="360" t="s">
        <v>118</v>
      </c>
      <c r="C2417" s="355" t="s">
        <v>84</v>
      </c>
      <c r="D2417">
        <v>20245</v>
      </c>
      <c r="E2417" s="143">
        <v>57273</v>
      </c>
      <c r="F2417" s="117">
        <v>1403</v>
      </c>
      <c r="G2417" s="360" t="s">
        <v>299</v>
      </c>
      <c r="H2417" s="144">
        <f>bargiri[[#This Row],[میزان بارگیری شده]]*bargiri[[#This Row],[فی]]</f>
        <v>1159491885</v>
      </c>
      <c r="I2417" s="360">
        <f>IF(year=bargiri[[#This Row],[سال]],1,0)</f>
        <v>0</v>
      </c>
      <c r="J2417" s="360" t="str">
        <f>VLOOKUP(bargiri[[#This Row],[شماره پیش فاکتور]],invoice[],16,0)</f>
        <v>عادی</v>
      </c>
      <c r="K2417" s="252">
        <f>bargiri[[#This Row],[فی]]*bargiri[[#This Row],[میزان بارگیری شده]]</f>
        <v>1159491885</v>
      </c>
    </row>
    <row r="2418" spans="1:11" ht="18.600000000000001">
      <c r="A2418" s="360" t="s">
        <v>388</v>
      </c>
      <c r="B2418" s="360" t="s">
        <v>118</v>
      </c>
      <c r="C2418" s="355" t="s">
        <v>84</v>
      </c>
      <c r="D2418">
        <v>20255</v>
      </c>
      <c r="E2418" s="143">
        <v>57273</v>
      </c>
      <c r="F2418" s="117">
        <v>1403</v>
      </c>
      <c r="G2418" s="360" t="s">
        <v>299</v>
      </c>
      <c r="H2418" s="144">
        <f>bargiri[[#This Row],[میزان بارگیری شده]]*bargiri[[#This Row],[فی]]</f>
        <v>1160064615</v>
      </c>
      <c r="I2418" s="360">
        <f>IF(year=bargiri[[#This Row],[سال]],1,0)</f>
        <v>0</v>
      </c>
      <c r="J2418" s="360" t="str">
        <f>VLOOKUP(bargiri[[#This Row],[شماره پیش فاکتور]],invoice[],16,0)</f>
        <v>عادی</v>
      </c>
      <c r="K2418" s="252">
        <f>bargiri[[#This Row],[فی]]*bargiri[[#This Row],[میزان بارگیری شده]]</f>
        <v>1160064615</v>
      </c>
    </row>
    <row r="2419" spans="1:11" ht="18.600000000000001">
      <c r="A2419" s="360" t="s">
        <v>388</v>
      </c>
      <c r="B2419" s="360" t="s">
        <v>118</v>
      </c>
      <c r="C2419" s="355" t="s">
        <v>84</v>
      </c>
      <c r="D2419">
        <v>20260</v>
      </c>
      <c r="E2419" s="143">
        <v>57273</v>
      </c>
      <c r="F2419" s="117">
        <v>1403</v>
      </c>
      <c r="G2419" s="360" t="s">
        <v>299</v>
      </c>
      <c r="H2419" s="144">
        <f>bargiri[[#This Row],[میزان بارگیری شده]]*bargiri[[#This Row],[فی]]</f>
        <v>1160350980</v>
      </c>
      <c r="I2419" s="360">
        <f>IF(year=bargiri[[#This Row],[سال]],1,0)</f>
        <v>0</v>
      </c>
      <c r="J2419" s="360" t="str">
        <f>VLOOKUP(bargiri[[#This Row],[شماره پیش فاکتور]],invoice[],16,0)</f>
        <v>عادی</v>
      </c>
      <c r="K2419" s="252">
        <f>bargiri[[#This Row],[فی]]*bargiri[[#This Row],[میزان بارگیری شده]]</f>
        <v>1160350980</v>
      </c>
    </row>
    <row r="2420" spans="1:11" ht="18.600000000000001">
      <c r="A2420" s="360" t="s">
        <v>388</v>
      </c>
      <c r="B2420" s="360" t="s">
        <v>118</v>
      </c>
      <c r="C2420" s="355" t="s">
        <v>84</v>
      </c>
      <c r="D2420">
        <v>19895</v>
      </c>
      <c r="E2420" s="143">
        <v>57273</v>
      </c>
      <c r="F2420" s="117">
        <v>1403</v>
      </c>
      <c r="G2420" s="360" t="s">
        <v>299</v>
      </c>
      <c r="H2420" s="144">
        <f>bargiri[[#This Row],[میزان بارگیری شده]]*bargiri[[#This Row],[فی]]</f>
        <v>1139446335</v>
      </c>
      <c r="I2420" s="360">
        <f>IF(year=bargiri[[#This Row],[سال]],1,0)</f>
        <v>0</v>
      </c>
      <c r="J2420" s="360" t="str">
        <f>VLOOKUP(bargiri[[#This Row],[شماره پیش فاکتور]],invoice[],16,0)</f>
        <v>عادی</v>
      </c>
      <c r="K2420" s="252">
        <f>bargiri[[#This Row],[فی]]*bargiri[[#This Row],[میزان بارگیری شده]]</f>
        <v>1139446335</v>
      </c>
    </row>
    <row r="2421" spans="1:11" ht="18.600000000000001">
      <c r="A2421" s="360" t="s">
        <v>388</v>
      </c>
      <c r="B2421" s="360" t="s">
        <v>118</v>
      </c>
      <c r="C2421" s="355" t="s">
        <v>84</v>
      </c>
      <c r="D2421">
        <v>20055</v>
      </c>
      <c r="E2421" s="143">
        <v>57273</v>
      </c>
      <c r="F2421" s="117">
        <v>1403</v>
      </c>
      <c r="G2421" s="360" t="s">
        <v>299</v>
      </c>
      <c r="H2421" s="144">
        <f>bargiri[[#This Row],[میزان بارگیری شده]]*bargiri[[#This Row],[فی]]</f>
        <v>1148610015</v>
      </c>
      <c r="I2421" s="360">
        <f>IF(year=bargiri[[#This Row],[سال]],1,0)</f>
        <v>0</v>
      </c>
      <c r="J2421" s="360" t="str">
        <f>VLOOKUP(bargiri[[#This Row],[شماره پیش فاکتور]],invoice[],16,0)</f>
        <v>عادی</v>
      </c>
      <c r="K2421" s="252">
        <f>bargiri[[#This Row],[فی]]*bargiri[[#This Row],[میزان بارگیری شده]]</f>
        <v>1148610015</v>
      </c>
    </row>
    <row r="2422" spans="1:11" ht="18.600000000000001">
      <c r="A2422" s="360" t="s">
        <v>389</v>
      </c>
      <c r="B2422" s="360" t="s">
        <v>118</v>
      </c>
      <c r="C2422" s="355" t="s">
        <v>84</v>
      </c>
      <c r="D2422">
        <v>20220</v>
      </c>
      <c r="E2422" s="143">
        <v>57273</v>
      </c>
      <c r="F2422" s="117">
        <v>1403</v>
      </c>
      <c r="G2422" s="360" t="s">
        <v>299</v>
      </c>
      <c r="H2422" s="144">
        <f>bargiri[[#This Row],[میزان بارگیری شده]]*bargiri[[#This Row],[فی]]</f>
        <v>1158060060</v>
      </c>
      <c r="I2422" s="360">
        <f>IF(year=bargiri[[#This Row],[سال]],1,0)</f>
        <v>0</v>
      </c>
      <c r="J2422" s="360" t="str">
        <f>VLOOKUP(bargiri[[#This Row],[شماره پیش فاکتور]],invoice[],16,0)</f>
        <v>عادی</v>
      </c>
      <c r="K2422" s="252">
        <f>bargiri[[#This Row],[فی]]*bargiri[[#This Row],[میزان بارگیری شده]]</f>
        <v>1158060060</v>
      </c>
    </row>
    <row r="2423" spans="1:11" ht="18.600000000000001">
      <c r="A2423" s="360" t="s">
        <v>389</v>
      </c>
      <c r="B2423" s="360" t="s">
        <v>118</v>
      </c>
      <c r="C2423" s="355" t="s">
        <v>84</v>
      </c>
      <c r="D2423">
        <v>20280</v>
      </c>
      <c r="E2423" s="143">
        <v>57273</v>
      </c>
      <c r="F2423" s="117">
        <v>1403</v>
      </c>
      <c r="G2423" s="360" t="s">
        <v>299</v>
      </c>
      <c r="H2423" s="144">
        <f>bargiri[[#This Row],[میزان بارگیری شده]]*bargiri[[#This Row],[فی]]</f>
        <v>1161496440</v>
      </c>
      <c r="I2423" s="360">
        <f>IF(year=bargiri[[#This Row],[سال]],1,0)</f>
        <v>0</v>
      </c>
      <c r="J2423" s="360" t="str">
        <f>VLOOKUP(bargiri[[#This Row],[شماره پیش فاکتور]],invoice[],16,0)</f>
        <v>عادی</v>
      </c>
      <c r="K2423" s="252">
        <f>bargiri[[#This Row],[فی]]*bargiri[[#This Row],[میزان بارگیری شده]]</f>
        <v>1161496440</v>
      </c>
    </row>
    <row r="2424" spans="1:11" ht="18.600000000000001">
      <c r="A2424" s="360" t="s">
        <v>389</v>
      </c>
      <c r="B2424" s="360" t="s">
        <v>118</v>
      </c>
      <c r="C2424" s="355" t="s">
        <v>84</v>
      </c>
      <c r="D2424">
        <v>20210</v>
      </c>
      <c r="E2424" s="143">
        <v>57273</v>
      </c>
      <c r="F2424" s="117">
        <v>1403</v>
      </c>
      <c r="G2424" s="360" t="s">
        <v>299</v>
      </c>
      <c r="H2424" s="144">
        <f>bargiri[[#This Row],[میزان بارگیری شده]]*bargiri[[#This Row],[فی]]</f>
        <v>1157487330</v>
      </c>
      <c r="I2424" s="360">
        <f>IF(year=bargiri[[#This Row],[سال]],1,0)</f>
        <v>0</v>
      </c>
      <c r="J2424" s="360" t="str">
        <f>VLOOKUP(bargiri[[#This Row],[شماره پیش فاکتور]],invoice[],16,0)</f>
        <v>عادی</v>
      </c>
      <c r="K2424" s="252">
        <f>bargiri[[#This Row],[فی]]*bargiri[[#This Row],[میزان بارگیری شده]]</f>
        <v>1157487330</v>
      </c>
    </row>
    <row r="2425" spans="1:11" ht="18.600000000000001">
      <c r="A2425" s="360" t="s">
        <v>390</v>
      </c>
      <c r="B2425" s="360" t="s">
        <v>118</v>
      </c>
      <c r="C2425" s="355" t="s">
        <v>84</v>
      </c>
      <c r="D2425">
        <v>20575</v>
      </c>
      <c r="E2425" s="143">
        <v>57273</v>
      </c>
      <c r="F2425" s="117">
        <v>1403</v>
      </c>
      <c r="G2425" s="360" t="s">
        <v>299</v>
      </c>
      <c r="H2425" s="144">
        <f>bargiri[[#This Row],[میزان بارگیری شده]]*bargiri[[#This Row],[فی]]</f>
        <v>1178391975</v>
      </c>
      <c r="I2425" s="360">
        <f>IF(year=bargiri[[#This Row],[سال]],1,0)</f>
        <v>0</v>
      </c>
      <c r="J2425" s="360" t="str">
        <f>VLOOKUP(bargiri[[#This Row],[شماره پیش فاکتور]],invoice[],16,0)</f>
        <v>عادی</v>
      </c>
      <c r="K2425" s="252">
        <f>bargiri[[#This Row],[فی]]*bargiri[[#This Row],[میزان بارگیری شده]]</f>
        <v>1178391975</v>
      </c>
    </row>
    <row r="2426" spans="1:11" ht="18.600000000000001">
      <c r="A2426" s="360" t="s">
        <v>391</v>
      </c>
      <c r="B2426" s="360" t="s">
        <v>118</v>
      </c>
      <c r="C2426" s="355" t="s">
        <v>84</v>
      </c>
      <c r="D2426">
        <v>21325</v>
      </c>
      <c r="E2426" s="143">
        <v>57273</v>
      </c>
      <c r="F2426" s="117">
        <v>1403</v>
      </c>
      <c r="G2426" s="360" t="s">
        <v>299</v>
      </c>
      <c r="H2426" s="144">
        <f>bargiri[[#This Row],[میزان بارگیری شده]]*bargiri[[#This Row],[فی]]</f>
        <v>1221346725</v>
      </c>
      <c r="I2426" s="360">
        <f>IF(year=bargiri[[#This Row],[سال]],1,0)</f>
        <v>0</v>
      </c>
      <c r="J2426" s="360" t="str">
        <f>VLOOKUP(bargiri[[#This Row],[شماره پیش فاکتور]],invoice[],16,0)</f>
        <v>عادی</v>
      </c>
      <c r="K2426" s="252">
        <f>bargiri[[#This Row],[فی]]*bargiri[[#This Row],[میزان بارگیری شده]]</f>
        <v>1221346725</v>
      </c>
    </row>
    <row r="2427" spans="1:11" ht="18.600000000000001">
      <c r="A2427" s="360" t="s">
        <v>391</v>
      </c>
      <c r="B2427" s="360" t="s">
        <v>118</v>
      </c>
      <c r="C2427" s="355" t="s">
        <v>84</v>
      </c>
      <c r="D2427">
        <v>20850</v>
      </c>
      <c r="E2427" s="143">
        <v>57273</v>
      </c>
      <c r="F2427" s="117">
        <v>1403</v>
      </c>
      <c r="G2427" s="360" t="s">
        <v>299</v>
      </c>
      <c r="H2427" s="144">
        <f>bargiri[[#This Row],[میزان بارگیری شده]]*bargiri[[#This Row],[فی]]</f>
        <v>1194142050</v>
      </c>
      <c r="I2427" s="360">
        <f>IF(year=bargiri[[#This Row],[سال]],1,0)</f>
        <v>0</v>
      </c>
      <c r="J2427" s="360" t="str">
        <f>VLOOKUP(bargiri[[#This Row],[شماره پیش فاکتور]],invoice[],16,0)</f>
        <v>عادی</v>
      </c>
      <c r="K2427" s="252">
        <f>bargiri[[#This Row],[فی]]*bargiri[[#This Row],[میزان بارگیری شده]]</f>
        <v>1194142050</v>
      </c>
    </row>
    <row r="2428" spans="1:11" ht="18.600000000000001">
      <c r="A2428" s="360" t="s">
        <v>392</v>
      </c>
      <c r="B2428" s="360" t="s">
        <v>118</v>
      </c>
      <c r="C2428" s="355" t="s">
        <v>84</v>
      </c>
      <c r="D2428">
        <v>21235</v>
      </c>
      <c r="E2428" s="143">
        <v>57273</v>
      </c>
      <c r="F2428" s="117">
        <v>1403</v>
      </c>
      <c r="G2428" s="360" t="s">
        <v>299</v>
      </c>
      <c r="H2428" s="144">
        <f>bargiri[[#This Row],[میزان بارگیری شده]]*bargiri[[#This Row],[فی]]</f>
        <v>1216192155</v>
      </c>
      <c r="I2428" s="360">
        <f>IF(year=bargiri[[#This Row],[سال]],1,0)</f>
        <v>0</v>
      </c>
      <c r="J2428" s="360" t="str">
        <f>VLOOKUP(bargiri[[#This Row],[شماره پیش فاکتور]],invoice[],16,0)</f>
        <v>عادی</v>
      </c>
      <c r="K2428" s="252">
        <f>bargiri[[#This Row],[فی]]*bargiri[[#This Row],[میزان بارگیری شده]]</f>
        <v>1216192155</v>
      </c>
    </row>
    <row r="2429" spans="1:11" ht="18.600000000000001">
      <c r="A2429" s="360" t="s">
        <v>392</v>
      </c>
      <c r="B2429" s="360" t="s">
        <v>118</v>
      </c>
      <c r="C2429" s="355" t="s">
        <v>84</v>
      </c>
      <c r="D2429">
        <v>20775</v>
      </c>
      <c r="E2429" s="143">
        <v>57273</v>
      </c>
      <c r="F2429" s="117">
        <v>1403</v>
      </c>
      <c r="G2429" s="360" t="s">
        <v>299</v>
      </c>
      <c r="H2429" s="144">
        <f>bargiri[[#This Row],[میزان بارگیری شده]]*bargiri[[#This Row],[فی]]</f>
        <v>1189846575</v>
      </c>
      <c r="I2429" s="360">
        <f>IF(year=bargiri[[#This Row],[سال]],1,0)</f>
        <v>0</v>
      </c>
      <c r="J2429" s="360" t="str">
        <f>VLOOKUP(bargiri[[#This Row],[شماره پیش فاکتور]],invoice[],16,0)</f>
        <v>عادی</v>
      </c>
      <c r="K2429" s="252">
        <f>bargiri[[#This Row],[فی]]*bargiri[[#This Row],[میزان بارگیری شده]]</f>
        <v>1189846575</v>
      </c>
    </row>
    <row r="2430" spans="1:11" ht="18.600000000000001">
      <c r="A2430" s="360" t="s">
        <v>392</v>
      </c>
      <c r="B2430" s="360" t="s">
        <v>118</v>
      </c>
      <c r="C2430" s="355" t="s">
        <v>84</v>
      </c>
      <c r="D2430">
        <v>21375</v>
      </c>
      <c r="E2430" s="143">
        <v>57273</v>
      </c>
      <c r="F2430" s="117">
        <v>1403</v>
      </c>
      <c r="G2430" s="360" t="s">
        <v>299</v>
      </c>
      <c r="H2430" s="144">
        <f>bargiri[[#This Row],[میزان بارگیری شده]]*bargiri[[#This Row],[فی]]</f>
        <v>1224210375</v>
      </c>
      <c r="I2430" s="360">
        <f>IF(year=bargiri[[#This Row],[سال]],1,0)</f>
        <v>0</v>
      </c>
      <c r="J2430" s="360" t="str">
        <f>VLOOKUP(bargiri[[#This Row],[شماره پیش فاکتور]],invoice[],16,0)</f>
        <v>عادی</v>
      </c>
      <c r="K2430" s="252">
        <f>bargiri[[#This Row],[فی]]*bargiri[[#This Row],[میزان بارگیری شده]]</f>
        <v>1224210375</v>
      </c>
    </row>
    <row r="2431" spans="1:11" ht="18.600000000000001">
      <c r="A2431" s="360" t="s">
        <v>393</v>
      </c>
      <c r="B2431" s="360" t="s">
        <v>118</v>
      </c>
      <c r="C2431" s="355" t="s">
        <v>84</v>
      </c>
      <c r="D2431">
        <v>20555</v>
      </c>
      <c r="E2431" s="143">
        <v>57273</v>
      </c>
      <c r="F2431" s="117">
        <v>1403</v>
      </c>
      <c r="G2431" s="360" t="s">
        <v>299</v>
      </c>
      <c r="H2431" s="144">
        <f>bargiri[[#This Row],[میزان بارگیری شده]]*bargiri[[#This Row],[فی]]</f>
        <v>1177246515</v>
      </c>
      <c r="I2431" s="360">
        <f>IF(year=bargiri[[#This Row],[سال]],1,0)</f>
        <v>0</v>
      </c>
      <c r="J2431" s="360" t="str">
        <f>VLOOKUP(bargiri[[#This Row],[شماره پیش فاکتور]],invoice[],16,0)</f>
        <v>عادی</v>
      </c>
      <c r="K2431" s="252">
        <f>bargiri[[#This Row],[فی]]*bargiri[[#This Row],[میزان بارگیری شده]]</f>
        <v>1177246515</v>
      </c>
    </row>
    <row r="2432" spans="1:11" ht="18.600000000000001">
      <c r="A2432" s="360" t="s">
        <v>393</v>
      </c>
      <c r="B2432" s="360" t="s">
        <v>118</v>
      </c>
      <c r="C2432" s="355" t="s">
        <v>84</v>
      </c>
      <c r="D2432">
        <v>21350</v>
      </c>
      <c r="E2432" s="143">
        <v>57273</v>
      </c>
      <c r="F2432" s="117">
        <v>1403</v>
      </c>
      <c r="G2432" s="360" t="s">
        <v>299</v>
      </c>
      <c r="H2432" s="144">
        <f>bargiri[[#This Row],[میزان بارگیری شده]]*bargiri[[#This Row],[فی]]</f>
        <v>1222778550</v>
      </c>
      <c r="I2432" s="360">
        <f>IF(year=bargiri[[#This Row],[سال]],1,0)</f>
        <v>0</v>
      </c>
      <c r="J2432" s="360" t="str">
        <f>VLOOKUP(bargiri[[#This Row],[شماره پیش فاکتور]],invoice[],16,0)</f>
        <v>عادی</v>
      </c>
      <c r="K2432" s="252">
        <f>bargiri[[#This Row],[فی]]*bargiri[[#This Row],[میزان بارگیری شده]]</f>
        <v>1222778550</v>
      </c>
    </row>
    <row r="2433" spans="1:11" ht="18.600000000000001">
      <c r="A2433" s="360" t="s">
        <v>393</v>
      </c>
      <c r="B2433" s="360" t="s">
        <v>118</v>
      </c>
      <c r="C2433" s="355" t="s">
        <v>84</v>
      </c>
      <c r="D2433">
        <v>20165</v>
      </c>
      <c r="E2433" s="143">
        <v>57273</v>
      </c>
      <c r="F2433" s="117">
        <v>1403</v>
      </c>
      <c r="G2433" s="360" t="s">
        <v>299</v>
      </c>
      <c r="H2433" s="144">
        <f>bargiri[[#This Row],[میزان بارگیری شده]]*bargiri[[#This Row],[فی]]</f>
        <v>1154910045</v>
      </c>
      <c r="I2433" s="360">
        <f>IF(year=bargiri[[#This Row],[سال]],1,0)</f>
        <v>0</v>
      </c>
      <c r="J2433" s="360" t="str">
        <f>VLOOKUP(bargiri[[#This Row],[شماره پیش فاکتور]],invoice[],16,0)</f>
        <v>عادی</v>
      </c>
      <c r="K2433" s="252">
        <f>bargiri[[#This Row],[فی]]*bargiri[[#This Row],[میزان بارگیری شده]]</f>
        <v>1154910045</v>
      </c>
    </row>
    <row r="2434" spans="1:11" ht="18.600000000000001">
      <c r="A2434" s="360" t="s">
        <v>394</v>
      </c>
      <c r="B2434" s="360" t="s">
        <v>118</v>
      </c>
      <c r="C2434" s="355" t="s">
        <v>84</v>
      </c>
      <c r="D2434">
        <v>20535</v>
      </c>
      <c r="E2434" s="143">
        <v>57273</v>
      </c>
      <c r="F2434" s="117">
        <v>1403</v>
      </c>
      <c r="G2434" s="360" t="s">
        <v>300</v>
      </c>
      <c r="H2434" s="144">
        <f>bargiri[[#This Row],[میزان بارگیری شده]]*bargiri[[#This Row],[فی]]</f>
        <v>1176101055</v>
      </c>
      <c r="I2434" s="360">
        <f>IF(year=bargiri[[#This Row],[سال]],1,0)</f>
        <v>0</v>
      </c>
      <c r="J2434" s="360" t="str">
        <f>VLOOKUP(bargiri[[#This Row],[شماره پیش فاکتور]],invoice[],16,0)</f>
        <v>عادی</v>
      </c>
      <c r="K2434" s="252">
        <f>bargiri[[#This Row],[فی]]*bargiri[[#This Row],[میزان بارگیری شده]]</f>
        <v>1176101055</v>
      </c>
    </row>
    <row r="2435" spans="1:11" ht="18.600000000000001">
      <c r="A2435" s="360" t="s">
        <v>394</v>
      </c>
      <c r="B2435" s="360" t="s">
        <v>118</v>
      </c>
      <c r="C2435" s="355" t="s">
        <v>84</v>
      </c>
      <c r="D2435">
        <v>21115</v>
      </c>
      <c r="E2435" s="143">
        <v>57273</v>
      </c>
      <c r="F2435" s="117">
        <v>1403</v>
      </c>
      <c r="G2435" s="360" t="s">
        <v>300</v>
      </c>
      <c r="H2435" s="144">
        <f>bargiri[[#This Row],[میزان بارگیری شده]]*bargiri[[#This Row],[فی]]</f>
        <v>1209319395</v>
      </c>
      <c r="I2435" s="360">
        <f>IF(year=bargiri[[#This Row],[سال]],1,0)</f>
        <v>0</v>
      </c>
      <c r="J2435" s="360" t="str">
        <f>VLOOKUP(bargiri[[#This Row],[شماره پیش فاکتور]],invoice[],16,0)</f>
        <v>عادی</v>
      </c>
      <c r="K2435" s="252">
        <f>bargiri[[#This Row],[فی]]*bargiri[[#This Row],[میزان بارگیری شده]]</f>
        <v>1209319395</v>
      </c>
    </row>
    <row r="2436" spans="1:11" ht="18.600000000000001">
      <c r="A2436" s="360" t="s">
        <v>395</v>
      </c>
      <c r="B2436" s="360" t="s">
        <v>118</v>
      </c>
      <c r="C2436" s="355" t="s">
        <v>84</v>
      </c>
      <c r="D2436">
        <v>21290</v>
      </c>
      <c r="E2436" s="143">
        <v>57273</v>
      </c>
      <c r="F2436" s="117">
        <v>1403</v>
      </c>
      <c r="G2436" s="360" t="s">
        <v>300</v>
      </c>
      <c r="H2436" s="144">
        <f>bargiri[[#This Row],[میزان بارگیری شده]]*bargiri[[#This Row],[فی]]</f>
        <v>1219342170</v>
      </c>
      <c r="I2436" s="360">
        <f>IF(year=bargiri[[#This Row],[سال]],1,0)</f>
        <v>0</v>
      </c>
      <c r="J2436" s="360" t="str">
        <f>VLOOKUP(bargiri[[#This Row],[شماره پیش فاکتور]],invoice[],16,0)</f>
        <v>عادی</v>
      </c>
      <c r="K2436" s="252">
        <f>bargiri[[#This Row],[فی]]*bargiri[[#This Row],[میزان بارگیری شده]]</f>
        <v>1219342170</v>
      </c>
    </row>
    <row r="2437" spans="1:11" ht="18.600000000000001">
      <c r="A2437" s="360" t="s">
        <v>395</v>
      </c>
      <c r="B2437" s="360" t="s">
        <v>118</v>
      </c>
      <c r="C2437" s="355" t="s">
        <v>84</v>
      </c>
      <c r="D2437">
        <v>21130</v>
      </c>
      <c r="E2437" s="143">
        <v>57273</v>
      </c>
      <c r="F2437" s="117">
        <v>1403</v>
      </c>
      <c r="G2437" s="360" t="s">
        <v>300</v>
      </c>
      <c r="H2437" s="144">
        <f>bargiri[[#This Row],[میزان بارگیری شده]]*bargiri[[#This Row],[فی]]</f>
        <v>1210178490</v>
      </c>
      <c r="I2437" s="360">
        <f>IF(year=bargiri[[#This Row],[سال]],1,0)</f>
        <v>0</v>
      </c>
      <c r="J2437" s="360" t="str">
        <f>VLOOKUP(bargiri[[#This Row],[شماره پیش فاکتور]],invoice[],16,0)</f>
        <v>عادی</v>
      </c>
      <c r="K2437" s="252">
        <f>bargiri[[#This Row],[فی]]*bargiri[[#This Row],[میزان بارگیری شده]]</f>
        <v>1210178490</v>
      </c>
    </row>
    <row r="2438" spans="1:11" ht="18.600000000000001">
      <c r="A2438" s="360" t="s">
        <v>395</v>
      </c>
      <c r="B2438" s="360" t="s">
        <v>118</v>
      </c>
      <c r="C2438" s="355" t="s">
        <v>84</v>
      </c>
      <c r="D2438">
        <v>20615</v>
      </c>
      <c r="E2438" s="143">
        <v>57273</v>
      </c>
      <c r="F2438" s="117">
        <v>1403</v>
      </c>
      <c r="G2438" s="360" t="s">
        <v>300</v>
      </c>
      <c r="H2438" s="144">
        <f>bargiri[[#This Row],[میزان بارگیری شده]]*bargiri[[#This Row],[فی]]</f>
        <v>1180682895</v>
      </c>
      <c r="I2438" s="360">
        <f>IF(year=bargiri[[#This Row],[سال]],1,0)</f>
        <v>0</v>
      </c>
      <c r="J2438" s="360" t="str">
        <f>VLOOKUP(bargiri[[#This Row],[شماره پیش فاکتور]],invoice[],16,0)</f>
        <v>عادی</v>
      </c>
      <c r="K2438" s="252">
        <f>bargiri[[#This Row],[فی]]*bargiri[[#This Row],[میزان بارگیری شده]]</f>
        <v>1180682895</v>
      </c>
    </row>
    <row r="2439" spans="1:11" ht="18.600000000000001">
      <c r="A2439" s="360" t="s">
        <v>396</v>
      </c>
      <c r="B2439" s="360" t="s">
        <v>118</v>
      </c>
      <c r="C2439" s="355" t="s">
        <v>84</v>
      </c>
      <c r="D2439">
        <v>20635</v>
      </c>
      <c r="E2439" s="143">
        <v>57273</v>
      </c>
      <c r="F2439" s="117">
        <v>1403</v>
      </c>
      <c r="G2439" s="360" t="s">
        <v>300</v>
      </c>
      <c r="H2439" s="144">
        <f>bargiri[[#This Row],[میزان بارگیری شده]]*bargiri[[#This Row],[فی]]</f>
        <v>1181828355</v>
      </c>
      <c r="I2439" s="360">
        <f>IF(year=bargiri[[#This Row],[سال]],1,0)</f>
        <v>0</v>
      </c>
      <c r="J2439" s="360" t="str">
        <f>VLOOKUP(bargiri[[#This Row],[شماره پیش فاکتور]],invoice[],16,0)</f>
        <v>عادی</v>
      </c>
      <c r="K2439" s="252">
        <f>bargiri[[#This Row],[فی]]*bargiri[[#This Row],[میزان بارگیری شده]]</f>
        <v>1181828355</v>
      </c>
    </row>
    <row r="2440" spans="1:11" ht="18.600000000000001">
      <c r="A2440" s="360" t="s">
        <v>396</v>
      </c>
      <c r="B2440" s="360" t="s">
        <v>118</v>
      </c>
      <c r="C2440" s="355" t="s">
        <v>84</v>
      </c>
      <c r="D2440">
        <v>21110</v>
      </c>
      <c r="E2440" s="143">
        <v>57273</v>
      </c>
      <c r="F2440" s="117">
        <v>1403</v>
      </c>
      <c r="G2440" s="360" t="s">
        <v>300</v>
      </c>
      <c r="H2440" s="144">
        <f>bargiri[[#This Row],[میزان بارگیری شده]]*bargiri[[#This Row],[فی]]</f>
        <v>1209033030</v>
      </c>
      <c r="I2440" s="360">
        <f>IF(year=bargiri[[#This Row],[سال]],1,0)</f>
        <v>0</v>
      </c>
      <c r="J2440" s="360" t="str">
        <f>VLOOKUP(bargiri[[#This Row],[شماره پیش فاکتور]],invoice[],16,0)</f>
        <v>عادی</v>
      </c>
      <c r="K2440" s="252">
        <f>bargiri[[#This Row],[فی]]*bargiri[[#This Row],[میزان بارگیری شده]]</f>
        <v>1209033030</v>
      </c>
    </row>
    <row r="2441" spans="1:11" ht="18.600000000000001">
      <c r="A2441" s="360" t="s">
        <v>396</v>
      </c>
      <c r="B2441" s="360" t="s">
        <v>118</v>
      </c>
      <c r="C2441" s="355" t="s">
        <v>84</v>
      </c>
      <c r="D2441">
        <v>20870</v>
      </c>
      <c r="E2441" s="143">
        <v>57273</v>
      </c>
      <c r="F2441" s="117">
        <v>1403</v>
      </c>
      <c r="G2441" s="360" t="s">
        <v>300</v>
      </c>
      <c r="H2441" s="144">
        <f>bargiri[[#This Row],[میزان بارگیری شده]]*bargiri[[#This Row],[فی]]</f>
        <v>1195287510</v>
      </c>
      <c r="I2441" s="360">
        <f>IF(year=bargiri[[#This Row],[سال]],1,0)</f>
        <v>0</v>
      </c>
      <c r="J2441" s="360" t="str">
        <f>VLOOKUP(bargiri[[#This Row],[شماره پیش فاکتور]],invoice[],16,0)</f>
        <v>عادی</v>
      </c>
      <c r="K2441" s="252">
        <f>bargiri[[#This Row],[فی]]*bargiri[[#This Row],[میزان بارگیری شده]]</f>
        <v>1195287510</v>
      </c>
    </row>
    <row r="2442" spans="1:11" ht="18.600000000000001">
      <c r="A2442" s="360" t="s">
        <v>396</v>
      </c>
      <c r="B2442" s="360" t="s">
        <v>118</v>
      </c>
      <c r="C2442" s="355" t="s">
        <v>84</v>
      </c>
      <c r="D2442">
        <v>20830</v>
      </c>
      <c r="E2442" s="143">
        <v>57273</v>
      </c>
      <c r="F2442" s="117">
        <v>1403</v>
      </c>
      <c r="G2442" s="360" t="s">
        <v>300</v>
      </c>
      <c r="H2442" s="144">
        <f>bargiri[[#This Row],[میزان بارگیری شده]]*bargiri[[#This Row],[فی]]</f>
        <v>1192996590</v>
      </c>
      <c r="I2442" s="360">
        <f>IF(year=bargiri[[#This Row],[سال]],1,0)</f>
        <v>0</v>
      </c>
      <c r="J2442" s="360" t="str">
        <f>VLOOKUP(bargiri[[#This Row],[شماره پیش فاکتور]],invoice[],16,0)</f>
        <v>عادی</v>
      </c>
      <c r="K2442" s="252">
        <f>bargiri[[#This Row],[فی]]*bargiri[[#This Row],[میزان بارگیری شده]]</f>
        <v>1192996590</v>
      </c>
    </row>
    <row r="2443" spans="1:11" ht="18.600000000000001">
      <c r="A2443" s="360" t="s">
        <v>397</v>
      </c>
      <c r="B2443" s="360" t="s">
        <v>118</v>
      </c>
      <c r="C2443" s="355" t="s">
        <v>84</v>
      </c>
      <c r="D2443">
        <v>21050</v>
      </c>
      <c r="E2443" s="143">
        <v>57273</v>
      </c>
      <c r="F2443" s="117">
        <v>1403</v>
      </c>
      <c r="G2443" s="360" t="s">
        <v>300</v>
      </c>
      <c r="H2443" s="144">
        <f>bargiri[[#This Row],[میزان بارگیری شده]]*bargiri[[#This Row],[فی]]</f>
        <v>1205596650</v>
      </c>
      <c r="I2443" s="360">
        <f>IF(year=bargiri[[#This Row],[سال]],1,0)</f>
        <v>0</v>
      </c>
      <c r="J2443" s="360" t="str">
        <f>VLOOKUP(bargiri[[#This Row],[شماره پیش فاکتور]],invoice[],16,0)</f>
        <v>عادی</v>
      </c>
      <c r="K2443" s="252">
        <f>bargiri[[#This Row],[فی]]*bargiri[[#This Row],[میزان بارگیری شده]]</f>
        <v>1205596650</v>
      </c>
    </row>
    <row r="2444" spans="1:11" ht="18.600000000000001">
      <c r="A2444" s="360" t="s">
        <v>397</v>
      </c>
      <c r="B2444" s="360" t="s">
        <v>118</v>
      </c>
      <c r="C2444" s="355" t="s">
        <v>84</v>
      </c>
      <c r="D2444">
        <v>21005</v>
      </c>
      <c r="E2444" s="143">
        <v>57273</v>
      </c>
      <c r="F2444" s="117">
        <v>1403</v>
      </c>
      <c r="G2444" s="360" t="s">
        <v>300</v>
      </c>
      <c r="H2444" s="144">
        <f>bargiri[[#This Row],[میزان بارگیری شده]]*bargiri[[#This Row],[فی]]</f>
        <v>1203019365</v>
      </c>
      <c r="I2444" s="360">
        <f>IF(year=bargiri[[#This Row],[سال]],1,0)</f>
        <v>0</v>
      </c>
      <c r="J2444" s="360" t="str">
        <f>VLOOKUP(bargiri[[#This Row],[شماره پیش فاکتور]],invoice[],16,0)</f>
        <v>عادی</v>
      </c>
      <c r="K2444" s="252">
        <f>bargiri[[#This Row],[فی]]*bargiri[[#This Row],[میزان بارگیری شده]]</f>
        <v>1203019365</v>
      </c>
    </row>
    <row r="2445" spans="1:11" ht="18.600000000000001">
      <c r="A2445" s="360" t="s">
        <v>397</v>
      </c>
      <c r="B2445" s="360" t="s">
        <v>118</v>
      </c>
      <c r="C2445" s="355" t="s">
        <v>84</v>
      </c>
      <c r="D2445">
        <v>21135</v>
      </c>
      <c r="E2445" s="143">
        <v>57273</v>
      </c>
      <c r="F2445" s="117">
        <v>1403</v>
      </c>
      <c r="G2445" s="360" t="s">
        <v>300</v>
      </c>
      <c r="H2445" s="144">
        <f>bargiri[[#This Row],[میزان بارگیری شده]]*bargiri[[#This Row],[فی]]</f>
        <v>1210464855</v>
      </c>
      <c r="I2445" s="360">
        <f>IF(year=bargiri[[#This Row],[سال]],1,0)</f>
        <v>0</v>
      </c>
      <c r="J2445" s="360" t="str">
        <f>VLOOKUP(bargiri[[#This Row],[شماره پیش فاکتور]],invoice[],16,0)</f>
        <v>عادی</v>
      </c>
      <c r="K2445" s="252">
        <f>bargiri[[#This Row],[فی]]*bargiri[[#This Row],[میزان بارگیری شده]]</f>
        <v>1210464855</v>
      </c>
    </row>
    <row r="2446" spans="1:11" ht="18.600000000000001">
      <c r="A2446" s="360" t="s">
        <v>228</v>
      </c>
      <c r="B2446" s="360" t="s">
        <v>118</v>
      </c>
      <c r="C2446" s="355" t="s">
        <v>84</v>
      </c>
      <c r="D2446">
        <v>21450</v>
      </c>
      <c r="E2446" s="143">
        <v>57273</v>
      </c>
      <c r="F2446" s="117">
        <v>1403</v>
      </c>
      <c r="G2446" s="360" t="s">
        <v>301</v>
      </c>
      <c r="H2446" s="144">
        <f>bargiri[[#This Row],[میزان بارگیری شده]]*bargiri[[#This Row],[فی]]</f>
        <v>1228505850</v>
      </c>
      <c r="I2446" s="360">
        <f>IF(year=bargiri[[#This Row],[سال]],1,0)</f>
        <v>0</v>
      </c>
      <c r="J2446" s="360" t="str">
        <f>VLOOKUP(bargiri[[#This Row],[شماره پیش فاکتور]],invoice[],16,0)</f>
        <v>عادی</v>
      </c>
      <c r="K2446" s="252">
        <f>bargiri[[#This Row],[فی]]*bargiri[[#This Row],[میزان بارگیری شده]]</f>
        <v>1228505850</v>
      </c>
    </row>
    <row r="2447" spans="1:11" ht="18.600000000000001">
      <c r="A2447" s="360" t="s">
        <v>176</v>
      </c>
      <c r="B2447" s="360" t="s">
        <v>118</v>
      </c>
      <c r="C2447" s="355" t="s">
        <v>84</v>
      </c>
      <c r="D2447">
        <v>20635</v>
      </c>
      <c r="E2447" s="143">
        <v>57273</v>
      </c>
      <c r="F2447" s="117">
        <v>1403</v>
      </c>
      <c r="G2447" s="360" t="s">
        <v>301</v>
      </c>
      <c r="H2447" s="144">
        <f>bargiri[[#This Row],[میزان بارگیری شده]]*bargiri[[#This Row],[فی]]</f>
        <v>1181828355</v>
      </c>
      <c r="I2447" s="360">
        <f>IF(year=bargiri[[#This Row],[سال]],1,0)</f>
        <v>0</v>
      </c>
      <c r="J2447" s="360" t="str">
        <f>VLOOKUP(bargiri[[#This Row],[شماره پیش فاکتور]],invoice[],16,0)</f>
        <v>عادی</v>
      </c>
      <c r="K2447" s="252">
        <f>bargiri[[#This Row],[فی]]*bargiri[[#This Row],[میزان بارگیری شده]]</f>
        <v>1181828355</v>
      </c>
    </row>
    <row r="2448" spans="1:11" ht="18.600000000000001">
      <c r="A2448" s="360" t="s">
        <v>176</v>
      </c>
      <c r="B2448" s="360" t="s">
        <v>118</v>
      </c>
      <c r="C2448" s="355" t="s">
        <v>84</v>
      </c>
      <c r="D2448">
        <v>20980</v>
      </c>
      <c r="E2448" s="143">
        <v>57273</v>
      </c>
      <c r="F2448" s="117">
        <v>1403</v>
      </c>
      <c r="G2448" s="360" t="s">
        <v>301</v>
      </c>
      <c r="H2448" s="144">
        <f>bargiri[[#This Row],[میزان بارگیری شده]]*bargiri[[#This Row],[فی]]</f>
        <v>1201587540</v>
      </c>
      <c r="I2448" s="360">
        <f>IF(year=bargiri[[#This Row],[سال]],1,0)</f>
        <v>0</v>
      </c>
      <c r="J2448" s="360" t="str">
        <f>VLOOKUP(bargiri[[#This Row],[شماره پیش فاکتور]],invoice[],16,0)</f>
        <v>عادی</v>
      </c>
      <c r="K2448" s="252">
        <f>bargiri[[#This Row],[فی]]*bargiri[[#This Row],[میزان بارگیری شده]]</f>
        <v>1201587540</v>
      </c>
    </row>
    <row r="2449" spans="1:11" ht="18.600000000000001">
      <c r="A2449" s="360" t="s">
        <v>176</v>
      </c>
      <c r="B2449" s="360" t="s">
        <v>118</v>
      </c>
      <c r="C2449" s="355" t="s">
        <v>84</v>
      </c>
      <c r="D2449">
        <v>20980</v>
      </c>
      <c r="E2449" s="143">
        <v>57273</v>
      </c>
      <c r="F2449" s="117">
        <v>1403</v>
      </c>
      <c r="G2449" s="360" t="s">
        <v>301</v>
      </c>
      <c r="H2449" s="144">
        <f>bargiri[[#This Row],[میزان بارگیری شده]]*bargiri[[#This Row],[فی]]</f>
        <v>1201587540</v>
      </c>
      <c r="I2449" s="360">
        <f>IF(year=bargiri[[#This Row],[سال]],1,0)</f>
        <v>0</v>
      </c>
      <c r="J2449" s="360" t="str">
        <f>VLOOKUP(bargiri[[#This Row],[شماره پیش فاکتور]],invoice[],16,0)</f>
        <v>عادی</v>
      </c>
      <c r="K2449" s="252">
        <f>bargiri[[#This Row],[فی]]*bargiri[[#This Row],[میزان بارگیری شده]]</f>
        <v>1201587540</v>
      </c>
    </row>
    <row r="2450" spans="1:11" ht="18.600000000000001">
      <c r="A2450" s="360" t="s">
        <v>225</v>
      </c>
      <c r="B2450" s="360" t="s">
        <v>118</v>
      </c>
      <c r="C2450" s="355" t="s">
        <v>85</v>
      </c>
      <c r="D2450">
        <v>21110</v>
      </c>
      <c r="E2450" s="143">
        <v>57273</v>
      </c>
      <c r="F2450" s="117">
        <v>1403</v>
      </c>
      <c r="G2450" s="360" t="s">
        <v>301</v>
      </c>
      <c r="H2450" s="144">
        <f>bargiri[[#This Row],[میزان بارگیری شده]]*bargiri[[#This Row],[فی]]</f>
        <v>1209033030</v>
      </c>
      <c r="I2450" s="360">
        <f>IF(year=bargiri[[#This Row],[سال]],1,0)</f>
        <v>0</v>
      </c>
      <c r="J2450" s="360" t="str">
        <f>VLOOKUP(bargiri[[#This Row],[شماره پیش فاکتور]],invoice[],16,0)</f>
        <v>عادی</v>
      </c>
      <c r="K2450" s="252">
        <f>bargiri[[#This Row],[فی]]*bargiri[[#This Row],[میزان بارگیری شده]]</f>
        <v>1209033030</v>
      </c>
    </row>
    <row r="2451" spans="1:11" ht="18.600000000000001">
      <c r="A2451" s="360" t="s">
        <v>225</v>
      </c>
      <c r="B2451" s="360" t="s">
        <v>118</v>
      </c>
      <c r="C2451" s="355" t="s">
        <v>85</v>
      </c>
      <c r="D2451">
        <v>21135</v>
      </c>
      <c r="E2451" s="143">
        <v>57273</v>
      </c>
      <c r="F2451" s="117">
        <v>1403</v>
      </c>
      <c r="G2451" s="360" t="s">
        <v>301</v>
      </c>
      <c r="H2451" s="144">
        <f>bargiri[[#This Row],[میزان بارگیری شده]]*bargiri[[#This Row],[فی]]</f>
        <v>1210464855</v>
      </c>
      <c r="I2451" s="360">
        <f>IF(year=bargiri[[#This Row],[سال]],1,0)</f>
        <v>0</v>
      </c>
      <c r="J2451" s="360" t="str">
        <f>VLOOKUP(bargiri[[#This Row],[شماره پیش فاکتور]],invoice[],16,0)</f>
        <v>عادی</v>
      </c>
      <c r="K2451" s="252">
        <f>bargiri[[#This Row],[فی]]*bargiri[[#This Row],[میزان بارگیری شده]]</f>
        <v>1210464855</v>
      </c>
    </row>
    <row r="2452" spans="1:11" ht="18.600000000000001">
      <c r="A2452" s="360" t="s">
        <v>225</v>
      </c>
      <c r="B2452" s="360" t="s">
        <v>118</v>
      </c>
      <c r="C2452" s="355" t="s">
        <v>85</v>
      </c>
      <c r="D2452">
        <v>20825</v>
      </c>
      <c r="E2452" s="143">
        <v>57273</v>
      </c>
      <c r="F2452" s="117">
        <v>1403</v>
      </c>
      <c r="G2452" s="360" t="s">
        <v>301</v>
      </c>
      <c r="H2452" s="144">
        <f>bargiri[[#This Row],[میزان بارگیری شده]]*bargiri[[#This Row],[فی]]</f>
        <v>1192710225</v>
      </c>
      <c r="I2452" s="360">
        <f>IF(year=bargiri[[#This Row],[سال]],1,0)</f>
        <v>0</v>
      </c>
      <c r="J2452" s="360" t="str">
        <f>VLOOKUP(bargiri[[#This Row],[شماره پیش فاکتور]],invoice[],16,0)</f>
        <v>عادی</v>
      </c>
      <c r="K2452" s="252">
        <f>bargiri[[#This Row],[فی]]*bargiri[[#This Row],[میزان بارگیری شده]]</f>
        <v>1192710225</v>
      </c>
    </row>
    <row r="2453" spans="1:11" ht="18.600000000000001">
      <c r="A2453" s="360" t="s">
        <v>225</v>
      </c>
      <c r="B2453" s="360" t="s">
        <v>118</v>
      </c>
      <c r="C2453" s="355" t="s">
        <v>85</v>
      </c>
      <c r="D2453">
        <v>20700</v>
      </c>
      <c r="E2453" s="143">
        <v>57273</v>
      </c>
      <c r="F2453" s="117">
        <v>1403</v>
      </c>
      <c r="G2453" s="360" t="s">
        <v>301</v>
      </c>
      <c r="H2453" s="144">
        <f>bargiri[[#This Row],[میزان بارگیری شده]]*bargiri[[#This Row],[فی]]</f>
        <v>1185551100</v>
      </c>
      <c r="I2453" s="360">
        <f>IF(year=bargiri[[#This Row],[سال]],1,0)</f>
        <v>0</v>
      </c>
      <c r="J2453" s="360" t="str">
        <f>VLOOKUP(bargiri[[#This Row],[شماره پیش فاکتور]],invoice[],16,0)</f>
        <v>عادی</v>
      </c>
      <c r="K2453" s="252">
        <f>bargiri[[#This Row],[فی]]*bargiri[[#This Row],[میزان بارگیری شده]]</f>
        <v>1185551100</v>
      </c>
    </row>
    <row r="2454" spans="1:11" ht="18.600000000000001">
      <c r="A2454" s="360" t="s">
        <v>398</v>
      </c>
      <c r="B2454" s="360" t="s">
        <v>106</v>
      </c>
      <c r="C2454" s="355" t="s">
        <v>48</v>
      </c>
      <c r="D2454">
        <v>15010</v>
      </c>
      <c r="E2454" s="143">
        <v>65000</v>
      </c>
      <c r="F2454" s="117">
        <v>1403</v>
      </c>
      <c r="G2454" s="360" t="s">
        <v>299</v>
      </c>
      <c r="H2454" s="144">
        <f>bargiri[[#This Row],[میزان بارگیری شده]]*bargiri[[#This Row],[فی]]</f>
        <v>975650000</v>
      </c>
      <c r="I2454" s="360">
        <f>IF(year=bargiri[[#This Row],[سال]],1,0)</f>
        <v>0</v>
      </c>
      <c r="J2454" s="360" t="str">
        <f>VLOOKUP(bargiri[[#This Row],[شماره پیش فاکتور]],invoice[],16,0)</f>
        <v>عادی</v>
      </c>
      <c r="K2454" s="252">
        <f>bargiri[[#This Row],[فی]]*bargiri[[#This Row],[میزان بارگیری شده]]</f>
        <v>975650000</v>
      </c>
    </row>
    <row r="2455" spans="1:11" ht="18.600000000000001">
      <c r="A2455" s="360" t="s">
        <v>398</v>
      </c>
      <c r="B2455" s="360" t="s">
        <v>107</v>
      </c>
      <c r="C2455" s="355" t="s">
        <v>50</v>
      </c>
      <c r="D2455">
        <v>19165</v>
      </c>
      <c r="E2455" s="143">
        <v>70000</v>
      </c>
      <c r="F2455" s="117">
        <v>1403</v>
      </c>
      <c r="G2455" s="360" t="s">
        <v>299</v>
      </c>
      <c r="H2455" s="144">
        <f>bargiri[[#This Row],[میزان بارگیری شده]]*bargiri[[#This Row],[فی]]</f>
        <v>1341550000</v>
      </c>
      <c r="I2455" s="360">
        <f>IF(year=bargiri[[#This Row],[سال]],1,0)</f>
        <v>0</v>
      </c>
      <c r="J2455" s="360" t="str">
        <f>VLOOKUP(bargiri[[#This Row],[شماره پیش فاکتور]],invoice[],16,0)</f>
        <v>عادی</v>
      </c>
      <c r="K2455" s="252">
        <f>bargiri[[#This Row],[فی]]*bargiri[[#This Row],[میزان بارگیری شده]]</f>
        <v>1341550000</v>
      </c>
    </row>
    <row r="2456" spans="1:11" ht="18.600000000000001">
      <c r="A2456" s="360" t="s">
        <v>398</v>
      </c>
      <c r="B2456" s="360" t="s">
        <v>120</v>
      </c>
      <c r="C2456" s="355" t="s">
        <v>88</v>
      </c>
      <c r="D2456">
        <v>8620</v>
      </c>
      <c r="E2456" s="143">
        <v>80000</v>
      </c>
      <c r="F2456" s="117">
        <v>1403</v>
      </c>
      <c r="G2456" s="360" t="s">
        <v>299</v>
      </c>
      <c r="H2456" s="144">
        <f>bargiri[[#This Row],[میزان بارگیری شده]]*bargiri[[#This Row],[فی]]</f>
        <v>689600000</v>
      </c>
      <c r="I2456" s="360">
        <f>IF(year=bargiri[[#This Row],[سال]],1,0)</f>
        <v>0</v>
      </c>
      <c r="J2456" s="360" t="str">
        <f>VLOOKUP(bargiri[[#This Row],[شماره پیش فاکتور]],invoice[],16,0)</f>
        <v>عادی</v>
      </c>
      <c r="K2456" s="252">
        <f>bargiri[[#This Row],[فی]]*bargiri[[#This Row],[میزان بارگیری شده]]</f>
        <v>689600000</v>
      </c>
    </row>
    <row r="2457" spans="1:11" ht="18.600000000000001">
      <c r="A2457" s="360" t="s">
        <v>398</v>
      </c>
      <c r="B2457" s="360" t="s">
        <v>113</v>
      </c>
      <c r="C2457" s="355" t="s">
        <v>61</v>
      </c>
      <c r="D2457">
        <v>13030</v>
      </c>
      <c r="E2457" s="143">
        <v>75000</v>
      </c>
      <c r="F2457" s="117">
        <v>1403</v>
      </c>
      <c r="G2457" s="360" t="s">
        <v>299</v>
      </c>
      <c r="H2457" s="144">
        <f>bargiri[[#This Row],[میزان بارگیری شده]]*bargiri[[#This Row],[فی]]</f>
        <v>977250000</v>
      </c>
      <c r="I2457" s="360">
        <f>IF(year=bargiri[[#This Row],[سال]],1,0)</f>
        <v>0</v>
      </c>
      <c r="J2457" s="360" t="str">
        <f>VLOOKUP(bargiri[[#This Row],[شماره پیش فاکتور]],invoice[],16,0)</f>
        <v>عادی</v>
      </c>
      <c r="K2457" s="252">
        <f>bargiri[[#This Row],[فی]]*bargiri[[#This Row],[میزان بارگیری شده]]</f>
        <v>977250000</v>
      </c>
    </row>
    <row r="2458" spans="1:11" ht="18.600000000000001">
      <c r="A2458" s="360" t="s">
        <v>148</v>
      </c>
      <c r="B2458" s="360" t="s">
        <v>103</v>
      </c>
      <c r="C2458" s="355" t="s">
        <v>30</v>
      </c>
      <c r="D2458">
        <v>7615</v>
      </c>
      <c r="E2458" s="143">
        <v>70000</v>
      </c>
      <c r="F2458" s="117">
        <v>1403</v>
      </c>
      <c r="G2458" s="360" t="s">
        <v>299</v>
      </c>
      <c r="H2458" s="144">
        <f>bargiri[[#This Row],[میزان بارگیری شده]]*bargiri[[#This Row],[فی]]</f>
        <v>533050000</v>
      </c>
      <c r="I2458" s="360">
        <f>IF(year=bargiri[[#This Row],[سال]],1,0)</f>
        <v>0</v>
      </c>
      <c r="J2458" s="360" t="str">
        <f>VLOOKUP(bargiri[[#This Row],[شماره پیش فاکتور]],invoice[],16,0)</f>
        <v>عادی</v>
      </c>
      <c r="K2458" s="252">
        <f>bargiri[[#This Row],[فی]]*bargiri[[#This Row],[میزان بارگیری شده]]</f>
        <v>533050000</v>
      </c>
    </row>
    <row r="2459" spans="1:11" ht="18.600000000000001">
      <c r="A2459" s="360" t="s">
        <v>148</v>
      </c>
      <c r="B2459" s="360" t="s">
        <v>102</v>
      </c>
      <c r="C2459" s="355" t="s">
        <v>25</v>
      </c>
      <c r="D2459">
        <v>11130</v>
      </c>
      <c r="E2459" s="143">
        <v>65000</v>
      </c>
      <c r="F2459" s="117">
        <v>1403</v>
      </c>
      <c r="G2459" s="360" t="s">
        <v>299</v>
      </c>
      <c r="H2459" s="144">
        <f>bargiri[[#This Row],[میزان بارگیری شده]]*bargiri[[#This Row],[فی]]</f>
        <v>723450000</v>
      </c>
      <c r="I2459" s="360">
        <f>IF(year=bargiri[[#This Row],[سال]],1,0)</f>
        <v>0</v>
      </c>
      <c r="J2459" s="360" t="str">
        <f>VLOOKUP(bargiri[[#This Row],[شماره پیش فاکتور]],invoice[],16,0)</f>
        <v>عادی</v>
      </c>
      <c r="K2459" s="252">
        <f>bargiri[[#This Row],[فی]]*bargiri[[#This Row],[میزان بارگیری شده]]</f>
        <v>723450000</v>
      </c>
    </row>
    <row r="2460" spans="1:11" ht="18.600000000000001">
      <c r="A2460" s="360" t="s">
        <v>148</v>
      </c>
      <c r="B2460" s="360" t="s">
        <v>113</v>
      </c>
      <c r="C2460" s="355" t="s">
        <v>61</v>
      </c>
      <c r="D2460">
        <v>19060</v>
      </c>
      <c r="E2460" s="143">
        <v>75000</v>
      </c>
      <c r="F2460" s="117">
        <v>1403</v>
      </c>
      <c r="G2460" s="360" t="s">
        <v>299</v>
      </c>
      <c r="H2460" s="144">
        <f>bargiri[[#This Row],[میزان بارگیری شده]]*bargiri[[#This Row],[فی]]</f>
        <v>1429500000</v>
      </c>
      <c r="I2460" s="360">
        <f>IF(year=bargiri[[#This Row],[سال]],1,0)</f>
        <v>0</v>
      </c>
      <c r="J2460" s="360" t="str">
        <f>VLOOKUP(bargiri[[#This Row],[شماره پیش فاکتور]],invoice[],16,0)</f>
        <v>عادی</v>
      </c>
      <c r="K2460" s="252">
        <f>bargiri[[#This Row],[فی]]*bargiri[[#This Row],[میزان بارگیری شده]]</f>
        <v>1429500000</v>
      </c>
    </row>
    <row r="2461" spans="1:11" ht="18.600000000000001">
      <c r="A2461" s="360" t="s">
        <v>399</v>
      </c>
      <c r="B2461" s="360" t="s">
        <v>101</v>
      </c>
      <c r="C2461" s="355" t="s">
        <v>20</v>
      </c>
      <c r="D2461">
        <v>20250</v>
      </c>
      <c r="E2461" s="143">
        <v>68000</v>
      </c>
      <c r="F2461" s="117">
        <v>1403</v>
      </c>
      <c r="G2461" s="360" t="s">
        <v>299</v>
      </c>
      <c r="H2461" s="144">
        <f>bargiri[[#This Row],[میزان بارگیری شده]]*bargiri[[#This Row],[فی]]</f>
        <v>1377000000</v>
      </c>
      <c r="I2461" s="360">
        <f>IF(year=bargiri[[#This Row],[سال]],1,0)</f>
        <v>0</v>
      </c>
      <c r="J2461" s="360" t="str">
        <f>VLOOKUP(bargiri[[#This Row],[شماره پیش فاکتور]],invoice[],16,0)</f>
        <v>عادی</v>
      </c>
      <c r="K2461" s="252">
        <f>bargiri[[#This Row],[فی]]*bargiri[[#This Row],[میزان بارگیری شده]]</f>
        <v>1377000000</v>
      </c>
    </row>
    <row r="2462" spans="1:11" ht="18.600000000000001">
      <c r="A2462" s="360" t="s">
        <v>142</v>
      </c>
      <c r="B2462" s="360" t="s">
        <v>98</v>
      </c>
      <c r="C2462" s="355" t="s">
        <v>10</v>
      </c>
      <c r="D2462">
        <v>10185</v>
      </c>
      <c r="E2462" s="143">
        <v>70000</v>
      </c>
      <c r="F2462" s="117">
        <v>1403</v>
      </c>
      <c r="G2462" s="360" t="s">
        <v>299</v>
      </c>
      <c r="H2462" s="144">
        <f>bargiri[[#This Row],[میزان بارگیری شده]]*bargiri[[#This Row],[فی]]</f>
        <v>712950000</v>
      </c>
      <c r="I2462" s="360">
        <f>IF(year=bargiri[[#This Row],[سال]],1,0)</f>
        <v>0</v>
      </c>
      <c r="J2462" s="360" t="str">
        <f>VLOOKUP(bargiri[[#This Row],[شماره پیش فاکتور]],invoice[],16,0)</f>
        <v>عادی</v>
      </c>
      <c r="K2462" s="252">
        <f>bargiri[[#This Row],[فی]]*bargiri[[#This Row],[میزان بارگیری شده]]</f>
        <v>712950000</v>
      </c>
    </row>
    <row r="2463" spans="1:11" ht="18.600000000000001">
      <c r="A2463" s="360" t="s">
        <v>142</v>
      </c>
      <c r="B2463" s="360" t="s">
        <v>116</v>
      </c>
      <c r="C2463" s="355" t="s">
        <v>77</v>
      </c>
      <c r="D2463">
        <v>19325</v>
      </c>
      <c r="E2463" s="143">
        <v>68500</v>
      </c>
      <c r="F2463" s="117">
        <v>1403</v>
      </c>
      <c r="G2463" s="360" t="s">
        <v>299</v>
      </c>
      <c r="H2463" s="144">
        <f>bargiri[[#This Row],[میزان بارگیری شده]]*bargiri[[#This Row],[فی]]</f>
        <v>1323762500</v>
      </c>
      <c r="I2463" s="360">
        <f>IF(year=bargiri[[#This Row],[سال]],1,0)</f>
        <v>0</v>
      </c>
      <c r="J2463" s="360" t="str">
        <f>VLOOKUP(bargiri[[#This Row],[شماره پیش فاکتور]],invoice[],16,0)</f>
        <v>عادی</v>
      </c>
      <c r="K2463" s="252">
        <f>bargiri[[#This Row],[فی]]*bargiri[[#This Row],[میزان بارگیری شده]]</f>
        <v>1323762500</v>
      </c>
    </row>
    <row r="2464" spans="1:11" ht="18.600000000000001">
      <c r="A2464" s="360" t="s">
        <v>142</v>
      </c>
      <c r="B2464" s="360" t="s">
        <v>107</v>
      </c>
      <c r="C2464" s="355" t="s">
        <v>50</v>
      </c>
      <c r="D2464">
        <v>19035</v>
      </c>
      <c r="E2464" s="143">
        <v>70000</v>
      </c>
      <c r="F2464" s="117">
        <v>1403</v>
      </c>
      <c r="G2464" s="360" t="s">
        <v>299</v>
      </c>
      <c r="H2464" s="144">
        <f>bargiri[[#This Row],[میزان بارگیری شده]]*bargiri[[#This Row],[فی]]</f>
        <v>1332450000</v>
      </c>
      <c r="I2464" s="360">
        <f>IF(year=bargiri[[#This Row],[سال]],1,0)</f>
        <v>0</v>
      </c>
      <c r="J2464" s="360" t="str">
        <f>VLOOKUP(bargiri[[#This Row],[شماره پیش فاکتور]],invoice[],16,0)</f>
        <v>عادی</v>
      </c>
      <c r="K2464" s="252">
        <f>bargiri[[#This Row],[فی]]*bargiri[[#This Row],[میزان بارگیری شده]]</f>
        <v>1332450000</v>
      </c>
    </row>
    <row r="2465" spans="1:11" ht="18.600000000000001">
      <c r="A2465" s="360" t="s">
        <v>142</v>
      </c>
      <c r="B2465" s="360" t="s">
        <v>120</v>
      </c>
      <c r="C2465" s="355" t="s">
        <v>88</v>
      </c>
      <c r="D2465">
        <v>9170</v>
      </c>
      <c r="E2465" s="143">
        <v>80000</v>
      </c>
      <c r="F2465" s="117">
        <v>1403</v>
      </c>
      <c r="G2465" s="360" t="s">
        <v>299</v>
      </c>
      <c r="H2465" s="144">
        <f>bargiri[[#This Row],[میزان بارگیری شده]]*bargiri[[#This Row],[فی]]</f>
        <v>733600000</v>
      </c>
      <c r="I2465" s="360">
        <f>IF(year=bargiri[[#This Row],[سال]],1,0)</f>
        <v>0</v>
      </c>
      <c r="J2465" s="360" t="str">
        <f>VLOOKUP(bargiri[[#This Row],[شماره پیش فاکتور]],invoice[],16,0)</f>
        <v>عادی</v>
      </c>
      <c r="K2465" s="252">
        <f>bargiri[[#This Row],[فی]]*bargiri[[#This Row],[میزان بارگیری شده]]</f>
        <v>733600000</v>
      </c>
    </row>
    <row r="2466" spans="1:11" ht="18.600000000000001">
      <c r="A2466" s="360" t="s">
        <v>400</v>
      </c>
      <c r="B2466" s="360" t="s">
        <v>106</v>
      </c>
      <c r="C2466" s="355" t="s">
        <v>48</v>
      </c>
      <c r="D2466">
        <v>5130</v>
      </c>
      <c r="E2466" s="143">
        <v>65000</v>
      </c>
      <c r="F2466" s="117">
        <v>1403</v>
      </c>
      <c r="G2466" s="360" t="s">
        <v>299</v>
      </c>
      <c r="H2466" s="144">
        <f>bargiri[[#This Row],[میزان بارگیری شده]]*bargiri[[#This Row],[فی]]</f>
        <v>333450000</v>
      </c>
      <c r="I2466" s="360">
        <f>IF(year=bargiri[[#This Row],[سال]],1,0)</f>
        <v>0</v>
      </c>
      <c r="J2466" s="360" t="str">
        <f>VLOOKUP(bargiri[[#This Row],[شماره پیش فاکتور]],invoice[],16,0)</f>
        <v>عادی</v>
      </c>
      <c r="K2466" s="252">
        <f>bargiri[[#This Row],[فی]]*bargiri[[#This Row],[میزان بارگیری شده]]</f>
        <v>333450000</v>
      </c>
    </row>
    <row r="2467" spans="1:11" ht="18.600000000000001">
      <c r="A2467" s="360" t="s">
        <v>400</v>
      </c>
      <c r="B2467" s="360" t="s">
        <v>110</v>
      </c>
      <c r="C2467" s="355" t="s">
        <v>57</v>
      </c>
      <c r="D2467">
        <v>20140</v>
      </c>
      <c r="E2467" s="143">
        <v>78000</v>
      </c>
      <c r="F2467" s="117">
        <v>1403</v>
      </c>
      <c r="G2467" s="360" t="s">
        <v>299</v>
      </c>
      <c r="H2467" s="144">
        <f>bargiri[[#This Row],[میزان بارگیری شده]]*bargiri[[#This Row],[فی]]</f>
        <v>1570920000</v>
      </c>
      <c r="I2467" s="360">
        <f>IF(year=bargiri[[#This Row],[سال]],1,0)</f>
        <v>0</v>
      </c>
      <c r="J2467" s="360" t="str">
        <f>VLOOKUP(bargiri[[#This Row],[شماره پیش فاکتور]],invoice[],16,0)</f>
        <v>عادی</v>
      </c>
      <c r="K2467" s="252">
        <f>bargiri[[#This Row],[فی]]*bargiri[[#This Row],[میزان بارگیری شده]]</f>
        <v>1570920000</v>
      </c>
    </row>
    <row r="2468" spans="1:11" ht="18.600000000000001">
      <c r="A2468" s="360" t="s">
        <v>400</v>
      </c>
      <c r="B2468" s="360" t="s">
        <v>119</v>
      </c>
      <c r="C2468" s="355" t="s">
        <v>86</v>
      </c>
      <c r="D2468">
        <v>14265</v>
      </c>
      <c r="E2468" s="143">
        <v>79301</v>
      </c>
      <c r="F2468" s="117">
        <v>1403</v>
      </c>
      <c r="G2468" s="360" t="s">
        <v>299</v>
      </c>
      <c r="H2468" s="144">
        <f>bargiri[[#This Row],[میزان بارگیری شده]]*bargiri[[#This Row],[فی]]</f>
        <v>1131228765</v>
      </c>
      <c r="I2468" s="360">
        <f>IF(year=bargiri[[#This Row],[سال]],1,0)</f>
        <v>0</v>
      </c>
      <c r="J2468" s="360" t="str">
        <f>VLOOKUP(bargiri[[#This Row],[شماره پیش فاکتور]],invoice[],16,0)</f>
        <v>بورس</v>
      </c>
      <c r="K2468" s="252">
        <f>bargiri[[#This Row],[فی]]*bargiri[[#This Row],[میزان بارگیری شده]]</f>
        <v>1131228765</v>
      </c>
    </row>
    <row r="2469" spans="1:11" ht="18.600000000000001">
      <c r="A2469" s="360" t="s">
        <v>400</v>
      </c>
      <c r="B2469" s="360" t="s">
        <v>106</v>
      </c>
      <c r="C2469" s="355" t="s">
        <v>48</v>
      </c>
      <c r="D2469">
        <v>5140</v>
      </c>
      <c r="E2469" s="143">
        <v>65000</v>
      </c>
      <c r="F2469" s="117">
        <v>1403</v>
      </c>
      <c r="G2469" s="360" t="s">
        <v>299</v>
      </c>
      <c r="H2469" s="144">
        <f>bargiri[[#This Row],[میزان بارگیری شده]]*bargiri[[#This Row],[فی]]</f>
        <v>334100000</v>
      </c>
      <c r="I2469" s="360">
        <f>IF(year=bargiri[[#This Row],[سال]],1,0)</f>
        <v>0</v>
      </c>
      <c r="J2469" s="360" t="str">
        <f>VLOOKUP(bargiri[[#This Row],[شماره پیش فاکتور]],invoice[],16,0)</f>
        <v>عادی</v>
      </c>
      <c r="K2469" s="252">
        <f>bargiri[[#This Row],[فی]]*bargiri[[#This Row],[میزان بارگیری شده]]</f>
        <v>334100000</v>
      </c>
    </row>
    <row r="2470" spans="1:11" ht="18.600000000000001">
      <c r="A2470" s="360" t="s">
        <v>400</v>
      </c>
      <c r="B2470" s="360" t="s">
        <v>117</v>
      </c>
      <c r="C2470" s="355" t="s">
        <v>82</v>
      </c>
      <c r="D2470">
        <v>20165</v>
      </c>
      <c r="E2470" s="143">
        <v>70000</v>
      </c>
      <c r="F2470" s="117">
        <v>1403</v>
      </c>
      <c r="G2470" s="360" t="s">
        <v>299</v>
      </c>
      <c r="H2470" s="144">
        <f>bargiri[[#This Row],[میزان بارگیری شده]]*bargiri[[#This Row],[فی]]</f>
        <v>1411550000</v>
      </c>
      <c r="I2470" s="360">
        <f>IF(year=bargiri[[#This Row],[سال]],1,0)</f>
        <v>0</v>
      </c>
      <c r="J2470" s="360" t="str">
        <f>VLOOKUP(bargiri[[#This Row],[شماره پیش فاکتور]],invoice[],16,0)</f>
        <v>عادی</v>
      </c>
      <c r="K2470" s="252">
        <f>bargiri[[#This Row],[فی]]*bargiri[[#This Row],[میزان بارگیری شده]]</f>
        <v>1411550000</v>
      </c>
    </row>
    <row r="2471" spans="1:11" ht="18.600000000000001">
      <c r="A2471" s="360" t="s">
        <v>399</v>
      </c>
      <c r="B2471" s="360" t="s">
        <v>116</v>
      </c>
      <c r="C2471" s="355" t="s">
        <v>77</v>
      </c>
      <c r="D2471">
        <v>22280</v>
      </c>
      <c r="E2471" s="143">
        <v>68500</v>
      </c>
      <c r="F2471" s="117">
        <v>1403</v>
      </c>
      <c r="G2471" s="360" t="s">
        <v>299</v>
      </c>
      <c r="H2471" s="144">
        <f>bargiri[[#This Row],[میزان بارگیری شده]]*bargiri[[#This Row],[فی]]</f>
        <v>1526180000</v>
      </c>
      <c r="I2471" s="360">
        <f>IF(year=bargiri[[#This Row],[سال]],1,0)</f>
        <v>0</v>
      </c>
      <c r="J2471" s="360" t="str">
        <f>VLOOKUP(bargiri[[#This Row],[شماره پیش فاکتور]],invoice[],16,0)</f>
        <v>عادی</v>
      </c>
      <c r="K2471" s="252">
        <f>bargiri[[#This Row],[فی]]*bargiri[[#This Row],[میزان بارگیری شده]]</f>
        <v>1526180000</v>
      </c>
    </row>
    <row r="2472" spans="1:11" ht="18.600000000000001">
      <c r="A2472" s="360" t="s">
        <v>399</v>
      </c>
      <c r="B2472" s="360" t="s">
        <v>102</v>
      </c>
      <c r="C2472" s="355" t="s">
        <v>25</v>
      </c>
      <c r="D2472">
        <v>10250</v>
      </c>
      <c r="E2472" s="143">
        <v>65000</v>
      </c>
      <c r="F2472" s="117">
        <v>1403</v>
      </c>
      <c r="G2472" s="360" t="s">
        <v>299</v>
      </c>
      <c r="H2472" s="144">
        <f>bargiri[[#This Row],[میزان بارگیری شده]]*bargiri[[#This Row],[فی]]</f>
        <v>666250000</v>
      </c>
      <c r="I2472" s="360">
        <f>IF(year=bargiri[[#This Row],[سال]],1,0)</f>
        <v>0</v>
      </c>
      <c r="J2472" s="360" t="str">
        <f>VLOOKUP(bargiri[[#This Row],[شماره پیش فاکتور]],invoice[],16,0)</f>
        <v>عادی</v>
      </c>
      <c r="K2472" s="252">
        <f>bargiri[[#This Row],[فی]]*bargiri[[#This Row],[میزان بارگیری شده]]</f>
        <v>666250000</v>
      </c>
    </row>
    <row r="2473" spans="1:11" ht="18.600000000000001">
      <c r="A2473" s="360" t="s">
        <v>401</v>
      </c>
      <c r="B2473" s="360" t="s">
        <v>107</v>
      </c>
      <c r="C2473" s="355" t="s">
        <v>50</v>
      </c>
      <c r="D2473">
        <v>19160</v>
      </c>
      <c r="E2473" s="143">
        <v>70000</v>
      </c>
      <c r="F2473" s="117">
        <v>1403</v>
      </c>
      <c r="G2473" s="360" t="s">
        <v>299</v>
      </c>
      <c r="H2473" s="144">
        <f>bargiri[[#This Row],[میزان بارگیری شده]]*bargiri[[#This Row],[فی]]</f>
        <v>1341200000</v>
      </c>
      <c r="I2473" s="360">
        <f>IF(year=bargiri[[#This Row],[سال]],1,0)</f>
        <v>0</v>
      </c>
      <c r="J2473" s="360" t="str">
        <f>VLOOKUP(bargiri[[#This Row],[شماره پیش فاکتور]],invoice[],16,0)</f>
        <v>عادی</v>
      </c>
      <c r="K2473" s="252">
        <f>bargiri[[#This Row],[فی]]*bargiri[[#This Row],[میزان بارگیری شده]]</f>
        <v>1341200000</v>
      </c>
    </row>
    <row r="2474" spans="1:11" ht="18.600000000000001">
      <c r="A2474" s="360" t="s">
        <v>387</v>
      </c>
      <c r="B2474" s="360" t="s">
        <v>103</v>
      </c>
      <c r="C2474" s="355" t="s">
        <v>30</v>
      </c>
      <c r="D2474">
        <v>7200</v>
      </c>
      <c r="E2474" s="143">
        <v>70000</v>
      </c>
      <c r="F2474" s="117">
        <v>1403</v>
      </c>
      <c r="G2474" s="360" t="s">
        <v>299</v>
      </c>
      <c r="H2474" s="144">
        <f>bargiri[[#This Row],[میزان بارگیری شده]]*bargiri[[#This Row],[فی]]</f>
        <v>504000000</v>
      </c>
      <c r="I2474" s="360">
        <f>IF(year=bargiri[[#This Row],[سال]],1,0)</f>
        <v>0</v>
      </c>
      <c r="J2474" s="360" t="str">
        <f>VLOOKUP(bargiri[[#This Row],[شماره پیش فاکتور]],invoice[],16,0)</f>
        <v>عادی</v>
      </c>
      <c r="K2474" s="252">
        <f>bargiri[[#This Row],[فی]]*bargiri[[#This Row],[میزان بارگیری شده]]</f>
        <v>504000000</v>
      </c>
    </row>
    <row r="2475" spans="1:11" ht="18.600000000000001">
      <c r="A2475" s="360" t="s">
        <v>387</v>
      </c>
      <c r="B2475" s="360" t="s">
        <v>116</v>
      </c>
      <c r="C2475" s="355" t="s">
        <v>77</v>
      </c>
      <c r="D2475">
        <v>20100</v>
      </c>
      <c r="E2475" s="143">
        <v>68500</v>
      </c>
      <c r="F2475" s="117">
        <v>1403</v>
      </c>
      <c r="G2475" s="360" t="s">
        <v>299</v>
      </c>
      <c r="H2475" s="144">
        <f>bargiri[[#This Row],[میزان بارگیری شده]]*bargiri[[#This Row],[فی]]</f>
        <v>1376850000</v>
      </c>
      <c r="I2475" s="360">
        <f>IF(year=bargiri[[#This Row],[سال]],1,0)</f>
        <v>0</v>
      </c>
      <c r="J2475" s="360" t="str">
        <f>VLOOKUP(bargiri[[#This Row],[شماره پیش فاکتور]],invoice[],16,0)</f>
        <v>عادی</v>
      </c>
      <c r="K2475" s="252">
        <f>bargiri[[#This Row],[فی]]*bargiri[[#This Row],[میزان بارگیری شده]]</f>
        <v>1376850000</v>
      </c>
    </row>
    <row r="2476" spans="1:11" ht="18.600000000000001">
      <c r="A2476" s="360" t="s">
        <v>402</v>
      </c>
      <c r="B2476" s="360" t="s">
        <v>107</v>
      </c>
      <c r="C2476" s="355" t="s">
        <v>50</v>
      </c>
      <c r="D2476">
        <v>19090</v>
      </c>
      <c r="E2476" s="143">
        <v>70000</v>
      </c>
      <c r="F2476" s="117">
        <v>1403</v>
      </c>
      <c r="G2476" s="360" t="s">
        <v>299</v>
      </c>
      <c r="H2476" s="144">
        <f>bargiri[[#This Row],[میزان بارگیری شده]]*bargiri[[#This Row],[فی]]</f>
        <v>1336300000</v>
      </c>
      <c r="I2476" s="360">
        <f>IF(year=bargiri[[#This Row],[سال]],1,0)</f>
        <v>0</v>
      </c>
      <c r="J2476" s="360" t="str">
        <f>VLOOKUP(bargiri[[#This Row],[شماره پیش فاکتور]],invoice[],16,0)</f>
        <v>عادی</v>
      </c>
      <c r="K2476" s="252">
        <f>bargiri[[#This Row],[فی]]*bargiri[[#This Row],[میزان بارگیری شده]]</f>
        <v>1336300000</v>
      </c>
    </row>
    <row r="2477" spans="1:11" ht="18.600000000000001">
      <c r="A2477" s="360" t="s">
        <v>402</v>
      </c>
      <c r="B2477" s="360" t="s">
        <v>116</v>
      </c>
      <c r="C2477" s="355" t="s">
        <v>77</v>
      </c>
      <c r="D2477">
        <v>12080</v>
      </c>
      <c r="E2477" s="143">
        <v>68500</v>
      </c>
      <c r="F2477" s="117">
        <v>1403</v>
      </c>
      <c r="G2477" s="360" t="s">
        <v>299</v>
      </c>
      <c r="H2477" s="144">
        <f>bargiri[[#This Row],[میزان بارگیری شده]]*bargiri[[#This Row],[فی]]</f>
        <v>827480000</v>
      </c>
      <c r="I2477" s="360">
        <f>IF(year=bargiri[[#This Row],[سال]],1,0)</f>
        <v>0</v>
      </c>
      <c r="J2477" s="360" t="str">
        <f>VLOOKUP(bargiri[[#This Row],[شماره پیش فاکتور]],invoice[],16,0)</f>
        <v>عادی</v>
      </c>
      <c r="K2477" s="252">
        <f>bargiri[[#This Row],[فی]]*bargiri[[#This Row],[میزان بارگیری شده]]</f>
        <v>827480000</v>
      </c>
    </row>
    <row r="2478" spans="1:11" ht="18.600000000000001">
      <c r="A2478" s="360" t="s">
        <v>403</v>
      </c>
      <c r="B2478" s="360" t="s">
        <v>116</v>
      </c>
      <c r="C2478" s="355" t="s">
        <v>77</v>
      </c>
      <c r="D2478">
        <v>17350</v>
      </c>
      <c r="E2478" s="143">
        <v>68500</v>
      </c>
      <c r="F2478" s="117">
        <v>1403</v>
      </c>
      <c r="G2478" s="360" t="s">
        <v>299</v>
      </c>
      <c r="H2478" s="144">
        <f>bargiri[[#This Row],[میزان بارگیری شده]]*bargiri[[#This Row],[فی]]</f>
        <v>1188475000</v>
      </c>
      <c r="I2478" s="360">
        <f>IF(year=bargiri[[#This Row],[سال]],1,0)</f>
        <v>0</v>
      </c>
      <c r="J2478" s="360" t="str">
        <f>VLOOKUP(bargiri[[#This Row],[شماره پیش فاکتور]],invoice[],16,0)</f>
        <v>عادی</v>
      </c>
      <c r="K2478" s="252">
        <f>bargiri[[#This Row],[فی]]*bargiri[[#This Row],[میزان بارگیری شده]]</f>
        <v>1188475000</v>
      </c>
    </row>
    <row r="2479" spans="1:11" ht="18.600000000000001">
      <c r="A2479" s="360" t="s">
        <v>403</v>
      </c>
      <c r="B2479" s="360" t="s">
        <v>106</v>
      </c>
      <c r="C2479" s="355" t="s">
        <v>48</v>
      </c>
      <c r="D2479">
        <v>19060</v>
      </c>
      <c r="E2479" s="143">
        <v>65000</v>
      </c>
      <c r="F2479" s="117">
        <v>1403</v>
      </c>
      <c r="G2479" s="360" t="s">
        <v>299</v>
      </c>
      <c r="H2479" s="144">
        <f>bargiri[[#This Row],[میزان بارگیری شده]]*bargiri[[#This Row],[فی]]</f>
        <v>1238900000</v>
      </c>
      <c r="I2479" s="360">
        <f>IF(year=bargiri[[#This Row],[سال]],1,0)</f>
        <v>0</v>
      </c>
      <c r="J2479" s="360" t="str">
        <f>VLOOKUP(bargiri[[#This Row],[شماره پیش فاکتور]],invoice[],16,0)</f>
        <v>عادی</v>
      </c>
      <c r="K2479" s="252">
        <f>bargiri[[#This Row],[فی]]*bargiri[[#This Row],[میزان بارگیری شده]]</f>
        <v>1238900000</v>
      </c>
    </row>
    <row r="2480" spans="1:11" ht="18.600000000000001">
      <c r="A2480" s="360" t="s">
        <v>403</v>
      </c>
      <c r="B2480" s="360" t="s">
        <v>113</v>
      </c>
      <c r="C2480" s="355" t="s">
        <v>61</v>
      </c>
      <c r="D2480">
        <v>18710</v>
      </c>
      <c r="E2480" s="143">
        <v>75000</v>
      </c>
      <c r="F2480" s="117">
        <v>1403</v>
      </c>
      <c r="G2480" s="360" t="s">
        <v>299</v>
      </c>
      <c r="H2480" s="144">
        <f>bargiri[[#This Row],[میزان بارگیری شده]]*bargiri[[#This Row],[فی]]</f>
        <v>1403250000</v>
      </c>
      <c r="I2480" s="360">
        <f>IF(year=bargiri[[#This Row],[سال]],1,0)</f>
        <v>0</v>
      </c>
      <c r="J2480" s="360" t="str">
        <f>VLOOKUP(bargiri[[#This Row],[شماره پیش فاکتور]],invoice[],16,0)</f>
        <v>عادی</v>
      </c>
      <c r="K2480" s="252">
        <f>bargiri[[#This Row],[فی]]*bargiri[[#This Row],[میزان بارگیری شده]]</f>
        <v>1403250000</v>
      </c>
    </row>
    <row r="2481" spans="1:11" ht="18.600000000000001">
      <c r="A2481" s="360" t="s">
        <v>229</v>
      </c>
      <c r="B2481" s="360" t="s">
        <v>120</v>
      </c>
      <c r="C2481" s="355" t="s">
        <v>88</v>
      </c>
      <c r="D2481">
        <v>8110</v>
      </c>
      <c r="E2481" s="143">
        <v>80000</v>
      </c>
      <c r="F2481" s="117">
        <v>1403</v>
      </c>
      <c r="G2481" s="360" t="s">
        <v>299</v>
      </c>
      <c r="H2481" s="144">
        <f>bargiri[[#This Row],[میزان بارگیری شده]]*bargiri[[#This Row],[فی]]</f>
        <v>648800000</v>
      </c>
      <c r="I2481" s="360">
        <f>IF(year=bargiri[[#This Row],[سال]],1,0)</f>
        <v>0</v>
      </c>
      <c r="J2481" s="360" t="str">
        <f>VLOOKUP(bargiri[[#This Row],[شماره پیش فاکتور]],invoice[],16,0)</f>
        <v>عادی</v>
      </c>
      <c r="K2481" s="252">
        <f>bargiri[[#This Row],[فی]]*bargiri[[#This Row],[میزان بارگیری شده]]</f>
        <v>648800000</v>
      </c>
    </row>
    <row r="2482" spans="1:11" ht="18.600000000000001">
      <c r="A2482" s="360" t="s">
        <v>229</v>
      </c>
      <c r="B2482" s="360" t="s">
        <v>116</v>
      </c>
      <c r="C2482" s="355" t="s">
        <v>77</v>
      </c>
      <c r="D2482">
        <v>20095</v>
      </c>
      <c r="E2482" s="143">
        <v>68500</v>
      </c>
      <c r="F2482" s="117">
        <v>1403</v>
      </c>
      <c r="G2482" s="360" t="s">
        <v>299</v>
      </c>
      <c r="H2482" s="144">
        <f>bargiri[[#This Row],[میزان بارگیری شده]]*bargiri[[#This Row],[فی]]</f>
        <v>1376507500</v>
      </c>
      <c r="I2482" s="360">
        <f>IF(year=bargiri[[#This Row],[سال]],1,0)</f>
        <v>0</v>
      </c>
      <c r="J2482" s="360" t="str">
        <f>VLOOKUP(bargiri[[#This Row],[شماره پیش فاکتور]],invoice[],16,0)</f>
        <v>عادی</v>
      </c>
      <c r="K2482" s="252">
        <f>bargiri[[#This Row],[فی]]*bargiri[[#This Row],[میزان بارگیری شده]]</f>
        <v>1376507500</v>
      </c>
    </row>
    <row r="2483" spans="1:11" ht="18.600000000000001">
      <c r="A2483" s="360" t="s">
        <v>229</v>
      </c>
      <c r="B2483" s="360" t="s">
        <v>108</v>
      </c>
      <c r="C2483" s="355" t="s">
        <v>53</v>
      </c>
      <c r="D2483">
        <v>20100</v>
      </c>
      <c r="E2483" s="143">
        <v>70000</v>
      </c>
      <c r="F2483" s="117">
        <v>1403</v>
      </c>
      <c r="G2483" s="360" t="s">
        <v>299</v>
      </c>
      <c r="H2483" s="144">
        <f>bargiri[[#This Row],[میزان بارگیری شده]]*bargiri[[#This Row],[فی]]</f>
        <v>1407000000</v>
      </c>
      <c r="I2483" s="360">
        <f>IF(year=bargiri[[#This Row],[سال]],1,0)</f>
        <v>0</v>
      </c>
      <c r="J2483" s="360" t="str">
        <f>VLOOKUP(bargiri[[#This Row],[شماره پیش فاکتور]],invoice[],16,0)</f>
        <v>عادی</v>
      </c>
      <c r="K2483" s="252">
        <f>bargiri[[#This Row],[فی]]*bargiri[[#This Row],[میزان بارگیری شده]]</f>
        <v>1407000000</v>
      </c>
    </row>
    <row r="2484" spans="1:11" ht="18.600000000000001">
      <c r="A2484" s="360" t="s">
        <v>404</v>
      </c>
      <c r="B2484" s="360" t="s">
        <v>116</v>
      </c>
      <c r="C2484" s="355" t="s">
        <v>77</v>
      </c>
      <c r="D2484">
        <v>20240</v>
      </c>
      <c r="E2484" s="143">
        <v>68500</v>
      </c>
      <c r="F2484" s="117">
        <v>1403</v>
      </c>
      <c r="G2484" s="360" t="s">
        <v>299</v>
      </c>
      <c r="H2484" s="144">
        <f>bargiri[[#This Row],[میزان بارگیری شده]]*bargiri[[#This Row],[فی]]</f>
        <v>1386440000</v>
      </c>
      <c r="I2484" s="360">
        <f>IF(year=bargiri[[#This Row],[سال]],1,0)</f>
        <v>0</v>
      </c>
      <c r="J2484" s="360" t="str">
        <f>VLOOKUP(bargiri[[#This Row],[شماره پیش فاکتور]],invoice[],16,0)</f>
        <v>عادی</v>
      </c>
      <c r="K2484" s="252">
        <f>bargiri[[#This Row],[فی]]*bargiri[[#This Row],[میزان بارگیری شده]]</f>
        <v>1386440000</v>
      </c>
    </row>
    <row r="2485" spans="1:11" ht="18.600000000000001">
      <c r="A2485" s="360" t="s">
        <v>404</v>
      </c>
      <c r="B2485" s="360" t="s">
        <v>116</v>
      </c>
      <c r="C2485" s="355" t="s">
        <v>77</v>
      </c>
      <c r="D2485">
        <v>20180</v>
      </c>
      <c r="E2485" s="143">
        <v>68500</v>
      </c>
      <c r="F2485" s="117">
        <v>1403</v>
      </c>
      <c r="G2485" s="360" t="s">
        <v>299</v>
      </c>
      <c r="H2485" s="144">
        <f>bargiri[[#This Row],[میزان بارگیری شده]]*bargiri[[#This Row],[فی]]</f>
        <v>1382330000</v>
      </c>
      <c r="I2485" s="360">
        <f>IF(year=bargiri[[#This Row],[سال]],1,0)</f>
        <v>0</v>
      </c>
      <c r="J2485" s="360" t="str">
        <f>VLOOKUP(bargiri[[#This Row],[شماره پیش فاکتور]],invoice[],16,0)</f>
        <v>عادی</v>
      </c>
      <c r="K2485" s="252">
        <f>bargiri[[#This Row],[فی]]*bargiri[[#This Row],[میزان بارگیری شده]]</f>
        <v>1382330000</v>
      </c>
    </row>
    <row r="2486" spans="1:11" ht="18.600000000000001">
      <c r="A2486" s="360" t="s">
        <v>404</v>
      </c>
      <c r="B2486" s="360" t="s">
        <v>117</v>
      </c>
      <c r="C2486" s="355" t="s">
        <v>82</v>
      </c>
      <c r="D2486">
        <v>20205</v>
      </c>
      <c r="E2486" s="143">
        <v>70000</v>
      </c>
      <c r="F2486" s="117">
        <v>1403</v>
      </c>
      <c r="G2486" s="360" t="s">
        <v>299</v>
      </c>
      <c r="H2486" s="144">
        <f>bargiri[[#This Row],[میزان بارگیری شده]]*bargiri[[#This Row],[فی]]</f>
        <v>1414350000</v>
      </c>
      <c r="I2486" s="360">
        <f>IF(year=bargiri[[#This Row],[سال]],1,0)</f>
        <v>0</v>
      </c>
      <c r="J2486" s="360" t="str">
        <f>VLOOKUP(bargiri[[#This Row],[شماره پیش فاکتور]],invoice[],16,0)</f>
        <v>عادی</v>
      </c>
      <c r="K2486" s="252">
        <f>bargiri[[#This Row],[فی]]*bargiri[[#This Row],[میزان بارگیری شده]]</f>
        <v>1414350000</v>
      </c>
    </row>
    <row r="2487" spans="1:11" ht="18.600000000000001">
      <c r="A2487" s="360" t="s">
        <v>389</v>
      </c>
      <c r="B2487" s="360" t="s">
        <v>117</v>
      </c>
      <c r="C2487" s="355" t="s">
        <v>82</v>
      </c>
      <c r="D2487">
        <v>5570</v>
      </c>
      <c r="E2487" s="143">
        <v>70000</v>
      </c>
      <c r="F2487" s="117">
        <v>1403</v>
      </c>
      <c r="G2487" s="360" t="s">
        <v>299</v>
      </c>
      <c r="H2487" s="144">
        <f>bargiri[[#This Row],[میزان بارگیری شده]]*bargiri[[#This Row],[فی]]</f>
        <v>389900000</v>
      </c>
      <c r="I2487" s="360">
        <f>IF(year=bargiri[[#This Row],[سال]],1,0)</f>
        <v>0</v>
      </c>
      <c r="J2487" s="360" t="str">
        <f>VLOOKUP(bargiri[[#This Row],[شماره پیش فاکتور]],invoice[],16,0)</f>
        <v>عادی</v>
      </c>
      <c r="K2487" s="252">
        <f>bargiri[[#This Row],[فی]]*bargiri[[#This Row],[میزان بارگیری شده]]</f>
        <v>389900000</v>
      </c>
    </row>
    <row r="2488" spans="1:11" ht="18.600000000000001">
      <c r="A2488" s="360" t="s">
        <v>389</v>
      </c>
      <c r="B2488" s="360" t="s">
        <v>104</v>
      </c>
      <c r="C2488" s="355" t="s">
        <v>41</v>
      </c>
      <c r="D2488">
        <v>18130</v>
      </c>
      <c r="E2488" s="143">
        <v>85000</v>
      </c>
      <c r="F2488" s="117">
        <v>1403</v>
      </c>
      <c r="G2488" s="360" t="s">
        <v>299</v>
      </c>
      <c r="H2488" s="144">
        <f>bargiri[[#This Row],[میزان بارگیری شده]]*bargiri[[#This Row],[فی]]</f>
        <v>1541050000</v>
      </c>
      <c r="I2488" s="360">
        <f>IF(year=bargiri[[#This Row],[سال]],1,0)</f>
        <v>0</v>
      </c>
      <c r="J2488" s="360" t="str">
        <f>VLOOKUP(bargiri[[#This Row],[شماره پیش فاکتور]],invoice[],16,0)</f>
        <v>عادی</v>
      </c>
      <c r="K2488" s="252">
        <f>bargiri[[#This Row],[فی]]*bargiri[[#This Row],[میزان بارگیری شده]]</f>
        <v>1541050000</v>
      </c>
    </row>
    <row r="2489" spans="1:11" ht="18.600000000000001">
      <c r="A2489" s="360" t="s">
        <v>389</v>
      </c>
      <c r="B2489" s="360" t="s">
        <v>107</v>
      </c>
      <c r="C2489" s="355" t="s">
        <v>50</v>
      </c>
      <c r="D2489">
        <v>18650</v>
      </c>
      <c r="E2489" s="143">
        <v>70000</v>
      </c>
      <c r="F2489" s="117">
        <v>1403</v>
      </c>
      <c r="G2489" s="360" t="s">
        <v>299</v>
      </c>
      <c r="H2489" s="144">
        <f>bargiri[[#This Row],[میزان بارگیری شده]]*bargiri[[#This Row],[فی]]</f>
        <v>1305500000</v>
      </c>
      <c r="I2489" s="360">
        <f>IF(year=bargiri[[#This Row],[سال]],1,0)</f>
        <v>0</v>
      </c>
      <c r="J2489" s="360" t="str">
        <f>VLOOKUP(bargiri[[#This Row],[شماره پیش فاکتور]],invoice[],16,0)</f>
        <v>عادی</v>
      </c>
      <c r="K2489" s="252">
        <f>bargiri[[#This Row],[فی]]*bargiri[[#This Row],[میزان بارگیری شده]]</f>
        <v>1305500000</v>
      </c>
    </row>
    <row r="2490" spans="1:11" ht="18.600000000000001">
      <c r="A2490" s="360" t="s">
        <v>390</v>
      </c>
      <c r="B2490" s="360" t="s">
        <v>116</v>
      </c>
      <c r="C2490" s="355" t="s">
        <v>77</v>
      </c>
      <c r="D2490">
        <v>15150</v>
      </c>
      <c r="E2490" s="143">
        <v>68500</v>
      </c>
      <c r="F2490" s="117">
        <v>1403</v>
      </c>
      <c r="G2490" s="360" t="s">
        <v>299</v>
      </c>
      <c r="H2490" s="144">
        <f>bargiri[[#This Row],[میزان بارگیری شده]]*bargiri[[#This Row],[فی]]</f>
        <v>1037775000</v>
      </c>
      <c r="I2490" s="360">
        <f>IF(year=bargiri[[#This Row],[سال]],1,0)</f>
        <v>0</v>
      </c>
      <c r="J2490" s="360" t="str">
        <f>VLOOKUP(bargiri[[#This Row],[شماره پیش فاکتور]],invoice[],16,0)</f>
        <v>عادی</v>
      </c>
      <c r="K2490" s="252">
        <f>bargiri[[#This Row],[فی]]*bargiri[[#This Row],[میزان بارگیری شده]]</f>
        <v>1037775000</v>
      </c>
    </row>
    <row r="2491" spans="1:11" ht="18.600000000000001">
      <c r="A2491" s="360" t="s">
        <v>390</v>
      </c>
      <c r="B2491" s="360" t="s">
        <v>116</v>
      </c>
      <c r="C2491" s="355" t="s">
        <v>77</v>
      </c>
      <c r="D2491">
        <v>15430</v>
      </c>
      <c r="E2491" s="143">
        <v>68500</v>
      </c>
      <c r="F2491" s="117">
        <v>1403</v>
      </c>
      <c r="G2491" s="360" t="s">
        <v>299</v>
      </c>
      <c r="H2491" s="144">
        <f>bargiri[[#This Row],[میزان بارگیری شده]]*bargiri[[#This Row],[فی]]</f>
        <v>1056955000</v>
      </c>
      <c r="I2491" s="360">
        <f>IF(year=bargiri[[#This Row],[سال]],1,0)</f>
        <v>0</v>
      </c>
      <c r="J2491" s="360" t="str">
        <f>VLOOKUP(bargiri[[#This Row],[شماره پیش فاکتور]],invoice[],16,0)</f>
        <v>عادی</v>
      </c>
      <c r="K2491" s="252">
        <f>bargiri[[#This Row],[فی]]*bargiri[[#This Row],[میزان بارگیری شده]]</f>
        <v>1056955000</v>
      </c>
    </row>
    <row r="2492" spans="1:11" ht="18.600000000000001">
      <c r="A2492" s="360" t="s">
        <v>390</v>
      </c>
      <c r="B2492" s="360" t="s">
        <v>102</v>
      </c>
      <c r="C2492" s="355" t="s">
        <v>25</v>
      </c>
      <c r="D2492">
        <v>11975</v>
      </c>
      <c r="E2492" s="143">
        <v>65000</v>
      </c>
      <c r="F2492" s="117">
        <v>1403</v>
      </c>
      <c r="G2492" s="360" t="s">
        <v>299</v>
      </c>
      <c r="H2492" s="144">
        <f>bargiri[[#This Row],[میزان بارگیری شده]]*bargiri[[#This Row],[فی]]</f>
        <v>778375000</v>
      </c>
      <c r="I2492" s="360">
        <f>IF(year=bargiri[[#This Row],[سال]],1,0)</f>
        <v>0</v>
      </c>
      <c r="J2492" s="360" t="str">
        <f>VLOOKUP(bargiri[[#This Row],[شماره پیش فاکتور]],invoice[],16,0)</f>
        <v>عادی</v>
      </c>
      <c r="K2492" s="252">
        <f>bargiri[[#This Row],[فی]]*bargiri[[#This Row],[میزان بارگیری شده]]</f>
        <v>778375000</v>
      </c>
    </row>
    <row r="2493" spans="1:11" ht="18.600000000000001">
      <c r="A2493" s="360" t="s">
        <v>390</v>
      </c>
      <c r="B2493" s="360" t="s">
        <v>98</v>
      </c>
      <c r="C2493" s="355" t="s">
        <v>10</v>
      </c>
      <c r="D2493">
        <v>21075</v>
      </c>
      <c r="E2493" s="143">
        <v>70000</v>
      </c>
      <c r="F2493" s="117">
        <v>1403</v>
      </c>
      <c r="G2493" s="360" t="s">
        <v>299</v>
      </c>
      <c r="H2493" s="144">
        <f>bargiri[[#This Row],[میزان بارگیری شده]]*bargiri[[#This Row],[فی]]</f>
        <v>1475250000</v>
      </c>
      <c r="I2493" s="360">
        <f>IF(year=bargiri[[#This Row],[سال]],1,0)</f>
        <v>0</v>
      </c>
      <c r="J2493" s="360" t="str">
        <f>VLOOKUP(bargiri[[#This Row],[شماره پیش فاکتور]],invoice[],16,0)</f>
        <v>عادی</v>
      </c>
      <c r="K2493" s="252">
        <f>bargiri[[#This Row],[فی]]*bargiri[[#This Row],[میزان بارگیری شده]]</f>
        <v>1475250000</v>
      </c>
    </row>
    <row r="2494" spans="1:11" ht="18.600000000000001">
      <c r="A2494" s="360" t="s">
        <v>390</v>
      </c>
      <c r="B2494" s="360" t="s">
        <v>111</v>
      </c>
      <c r="C2494" s="355" t="s">
        <v>59</v>
      </c>
      <c r="D2494">
        <v>10025</v>
      </c>
      <c r="E2494" s="143">
        <v>80000</v>
      </c>
      <c r="F2494" s="117">
        <v>1403</v>
      </c>
      <c r="G2494" s="360" t="s">
        <v>299</v>
      </c>
      <c r="H2494" s="144">
        <f>bargiri[[#This Row],[میزان بارگیری شده]]*bargiri[[#This Row],[فی]]</f>
        <v>802000000</v>
      </c>
      <c r="I2494" s="360">
        <f>IF(year=bargiri[[#This Row],[سال]],1,0)</f>
        <v>0</v>
      </c>
      <c r="J2494" s="360" t="str">
        <f>VLOOKUP(bargiri[[#This Row],[شماره پیش فاکتور]],invoice[],16,0)</f>
        <v>عادی</v>
      </c>
      <c r="K2494" s="252">
        <f>bargiri[[#This Row],[فی]]*bargiri[[#This Row],[میزان بارگیری شده]]</f>
        <v>802000000</v>
      </c>
    </row>
    <row r="2495" spans="1:11" ht="18.600000000000001">
      <c r="A2495" s="360" t="s">
        <v>405</v>
      </c>
      <c r="B2495" s="360" t="s">
        <v>116</v>
      </c>
      <c r="C2495" s="355" t="s">
        <v>77</v>
      </c>
      <c r="D2495">
        <v>19680</v>
      </c>
      <c r="E2495" s="143">
        <v>68500</v>
      </c>
      <c r="F2495" s="117">
        <v>1403</v>
      </c>
      <c r="G2495" s="360" t="s">
        <v>299</v>
      </c>
      <c r="H2495" s="144">
        <f>bargiri[[#This Row],[میزان بارگیری شده]]*bargiri[[#This Row],[فی]]</f>
        <v>1348080000</v>
      </c>
      <c r="I2495" s="360">
        <f>IF(year=bargiri[[#This Row],[سال]],1,0)</f>
        <v>0</v>
      </c>
      <c r="J2495" s="360" t="str">
        <f>VLOOKUP(bargiri[[#This Row],[شماره پیش فاکتور]],invoice[],16,0)</f>
        <v>عادی</v>
      </c>
      <c r="K2495" s="252">
        <f>bargiri[[#This Row],[فی]]*bargiri[[#This Row],[میزان بارگیری شده]]</f>
        <v>1348080000</v>
      </c>
    </row>
    <row r="2496" spans="1:11" ht="18.600000000000001">
      <c r="A2496" s="360" t="s">
        <v>405</v>
      </c>
      <c r="B2496" s="360" t="s">
        <v>116</v>
      </c>
      <c r="C2496" s="355" t="s">
        <v>77</v>
      </c>
      <c r="D2496">
        <v>20080</v>
      </c>
      <c r="E2496" s="143">
        <v>68500</v>
      </c>
      <c r="F2496" s="117">
        <v>1403</v>
      </c>
      <c r="G2496" s="360" t="s">
        <v>299</v>
      </c>
      <c r="H2496" s="144">
        <f>bargiri[[#This Row],[میزان بارگیری شده]]*bargiri[[#This Row],[فی]]</f>
        <v>1375480000</v>
      </c>
      <c r="I2496" s="360">
        <f>IF(year=bargiri[[#This Row],[سال]],1,0)</f>
        <v>0</v>
      </c>
      <c r="J2496" s="360" t="str">
        <f>VLOOKUP(bargiri[[#This Row],[شماره پیش فاکتور]],invoice[],16,0)</f>
        <v>عادی</v>
      </c>
      <c r="K2496" s="252">
        <f>bargiri[[#This Row],[فی]]*bargiri[[#This Row],[میزان بارگیری شده]]</f>
        <v>1375480000</v>
      </c>
    </row>
    <row r="2497" spans="1:11" ht="18.600000000000001">
      <c r="A2497" s="360" t="s">
        <v>405</v>
      </c>
      <c r="B2497" s="360" t="s">
        <v>107</v>
      </c>
      <c r="C2497" s="355" t="s">
        <v>50</v>
      </c>
      <c r="D2497">
        <v>19190</v>
      </c>
      <c r="E2497" s="143">
        <v>70000</v>
      </c>
      <c r="F2497" s="117">
        <v>1403</v>
      </c>
      <c r="G2497" s="360" t="s">
        <v>299</v>
      </c>
      <c r="H2497" s="144">
        <f>bargiri[[#This Row],[میزان بارگیری شده]]*bargiri[[#This Row],[فی]]</f>
        <v>1343300000</v>
      </c>
      <c r="I2497" s="360">
        <f>IF(year=bargiri[[#This Row],[سال]],1,0)</f>
        <v>0</v>
      </c>
      <c r="J2497" s="360" t="str">
        <f>VLOOKUP(bargiri[[#This Row],[شماره پیش فاکتور]],invoice[],16,0)</f>
        <v>عادی</v>
      </c>
      <c r="K2497" s="252">
        <f>bargiri[[#This Row],[فی]]*bargiri[[#This Row],[میزان بارگیری شده]]</f>
        <v>1343300000</v>
      </c>
    </row>
    <row r="2498" spans="1:11" ht="18.600000000000001">
      <c r="A2498" s="360" t="s">
        <v>391</v>
      </c>
      <c r="B2498" s="360" t="s">
        <v>110</v>
      </c>
      <c r="C2498" s="355" t="s">
        <v>57</v>
      </c>
      <c r="D2498">
        <v>10065</v>
      </c>
      <c r="E2498" s="143">
        <v>78000</v>
      </c>
      <c r="F2498" s="117">
        <v>1403</v>
      </c>
      <c r="G2498" s="360" t="s">
        <v>299</v>
      </c>
      <c r="H2498" s="144">
        <f>bargiri[[#This Row],[میزان بارگیری شده]]*bargiri[[#This Row],[فی]]</f>
        <v>785070000</v>
      </c>
      <c r="I2498" s="360">
        <f>IF(year=bargiri[[#This Row],[سال]],1,0)</f>
        <v>0</v>
      </c>
      <c r="J2498" s="360" t="str">
        <f>VLOOKUP(bargiri[[#This Row],[شماره پیش فاکتور]],invoice[],16,0)</f>
        <v>عادی</v>
      </c>
      <c r="K2498" s="252">
        <f>bargiri[[#This Row],[فی]]*bargiri[[#This Row],[میزان بارگیری شده]]</f>
        <v>785070000</v>
      </c>
    </row>
    <row r="2499" spans="1:11" ht="18.600000000000001">
      <c r="A2499" s="360" t="s">
        <v>391</v>
      </c>
      <c r="B2499" s="360" t="s">
        <v>116</v>
      </c>
      <c r="C2499" s="355" t="s">
        <v>77</v>
      </c>
      <c r="D2499">
        <v>20210</v>
      </c>
      <c r="E2499" s="143">
        <v>68500</v>
      </c>
      <c r="F2499" s="117">
        <v>1403</v>
      </c>
      <c r="G2499" s="360" t="s">
        <v>299</v>
      </c>
      <c r="H2499" s="144">
        <f>bargiri[[#This Row],[میزان بارگیری شده]]*bargiri[[#This Row],[فی]]</f>
        <v>1384385000</v>
      </c>
      <c r="I2499" s="360">
        <f>IF(year=bargiri[[#This Row],[سال]],1,0)</f>
        <v>0</v>
      </c>
      <c r="J2499" s="360" t="str">
        <f>VLOOKUP(bargiri[[#This Row],[شماره پیش فاکتور]],invoice[],16,0)</f>
        <v>عادی</v>
      </c>
      <c r="K2499" s="252">
        <f>bargiri[[#This Row],[فی]]*bargiri[[#This Row],[میزان بارگیری شده]]</f>
        <v>1384385000</v>
      </c>
    </row>
    <row r="2500" spans="1:11" ht="18.600000000000001">
      <c r="A2500" s="360" t="s">
        <v>391</v>
      </c>
      <c r="B2500" s="360" t="s">
        <v>111</v>
      </c>
      <c r="C2500" s="355" t="s">
        <v>59</v>
      </c>
      <c r="D2500">
        <v>10050</v>
      </c>
      <c r="E2500" s="143">
        <v>80000</v>
      </c>
      <c r="F2500" s="117">
        <v>1403</v>
      </c>
      <c r="G2500" s="360" t="s">
        <v>299</v>
      </c>
      <c r="H2500" s="144">
        <f>bargiri[[#This Row],[میزان بارگیری شده]]*bargiri[[#This Row],[فی]]</f>
        <v>804000000</v>
      </c>
      <c r="I2500" s="360">
        <f>IF(year=bargiri[[#This Row],[سال]],1,0)</f>
        <v>0</v>
      </c>
      <c r="J2500" s="360" t="str">
        <f>VLOOKUP(bargiri[[#This Row],[شماره پیش فاکتور]],invoice[],16,0)</f>
        <v>عادی</v>
      </c>
      <c r="K2500" s="252">
        <f>bargiri[[#This Row],[فی]]*bargiri[[#This Row],[میزان بارگیری شده]]</f>
        <v>804000000</v>
      </c>
    </row>
    <row r="2501" spans="1:11" ht="18.600000000000001">
      <c r="A2501" s="360" t="s">
        <v>406</v>
      </c>
      <c r="B2501" s="360" t="s">
        <v>101</v>
      </c>
      <c r="C2501" s="355" t="s">
        <v>20</v>
      </c>
      <c r="D2501">
        <v>22845</v>
      </c>
      <c r="E2501" s="143">
        <v>68000</v>
      </c>
      <c r="F2501" s="117">
        <v>1403</v>
      </c>
      <c r="G2501" s="360" t="s">
        <v>299</v>
      </c>
      <c r="H2501" s="144">
        <f>bargiri[[#This Row],[میزان بارگیری شده]]*bargiri[[#This Row],[فی]]</f>
        <v>1553460000</v>
      </c>
      <c r="I2501" s="360">
        <f>IF(year=bargiri[[#This Row],[سال]],1,0)</f>
        <v>0</v>
      </c>
      <c r="J2501" s="360" t="str">
        <f>VLOOKUP(bargiri[[#This Row],[شماره پیش فاکتور]],invoice[],16,0)</f>
        <v>عادی</v>
      </c>
      <c r="K2501" s="252">
        <f>bargiri[[#This Row],[فی]]*bargiri[[#This Row],[میزان بارگیری شده]]</f>
        <v>1553460000</v>
      </c>
    </row>
    <row r="2502" spans="1:11" ht="18.600000000000001">
      <c r="A2502" s="360" t="s">
        <v>407</v>
      </c>
      <c r="B2502" s="360" t="s">
        <v>107</v>
      </c>
      <c r="C2502" s="355" t="s">
        <v>50</v>
      </c>
      <c r="D2502">
        <v>19260</v>
      </c>
      <c r="E2502" s="143">
        <v>70000</v>
      </c>
      <c r="F2502" s="117">
        <v>1403</v>
      </c>
      <c r="G2502" s="360" t="s">
        <v>299</v>
      </c>
      <c r="H2502" s="144">
        <f>bargiri[[#This Row],[میزان بارگیری شده]]*bargiri[[#This Row],[فی]]</f>
        <v>1348200000</v>
      </c>
      <c r="I2502" s="360">
        <f>IF(year=bargiri[[#This Row],[سال]],1,0)</f>
        <v>0</v>
      </c>
      <c r="J2502" s="360" t="str">
        <f>VLOOKUP(bargiri[[#This Row],[شماره پیش فاکتور]],invoice[],16,0)</f>
        <v>عادی</v>
      </c>
      <c r="K2502" s="252">
        <f>bargiri[[#This Row],[فی]]*bargiri[[#This Row],[میزان بارگیری شده]]</f>
        <v>1348200000</v>
      </c>
    </row>
    <row r="2503" spans="1:11" ht="18.600000000000001">
      <c r="A2503" s="360" t="s">
        <v>392</v>
      </c>
      <c r="B2503" s="360" t="s">
        <v>106</v>
      </c>
      <c r="C2503" s="355" t="s">
        <v>48</v>
      </c>
      <c r="D2503">
        <v>11255</v>
      </c>
      <c r="E2503" s="143">
        <v>65000</v>
      </c>
      <c r="F2503" s="117">
        <v>1403</v>
      </c>
      <c r="G2503" s="360" t="s">
        <v>299</v>
      </c>
      <c r="H2503" s="144">
        <f>bargiri[[#This Row],[میزان بارگیری شده]]*bargiri[[#This Row],[فی]]</f>
        <v>731575000</v>
      </c>
      <c r="I2503" s="360">
        <f>IF(year=bargiri[[#This Row],[سال]],1,0)</f>
        <v>0</v>
      </c>
      <c r="J2503" s="360" t="str">
        <f>VLOOKUP(bargiri[[#This Row],[شماره پیش فاکتور]],invoice[],16,0)</f>
        <v>عادی</v>
      </c>
      <c r="K2503" s="252">
        <f>bargiri[[#This Row],[فی]]*bargiri[[#This Row],[میزان بارگیری شده]]</f>
        <v>731575000</v>
      </c>
    </row>
    <row r="2504" spans="1:11" ht="18.600000000000001">
      <c r="A2504" s="360" t="s">
        <v>392</v>
      </c>
      <c r="B2504" s="360" t="s">
        <v>102</v>
      </c>
      <c r="C2504" s="355" t="s">
        <v>25</v>
      </c>
      <c r="D2504">
        <v>11920</v>
      </c>
      <c r="E2504" s="143">
        <v>65000</v>
      </c>
      <c r="F2504" s="117">
        <v>1403</v>
      </c>
      <c r="G2504" s="360" t="s">
        <v>299</v>
      </c>
      <c r="H2504" s="144">
        <f>bargiri[[#This Row],[میزان بارگیری شده]]*bargiri[[#This Row],[فی]]</f>
        <v>774800000</v>
      </c>
      <c r="I2504" s="360">
        <f>IF(year=bargiri[[#This Row],[سال]],1,0)</f>
        <v>0</v>
      </c>
      <c r="J2504" s="360" t="str">
        <f>VLOOKUP(bargiri[[#This Row],[شماره پیش فاکتور]],invoice[],16,0)</f>
        <v>عادی</v>
      </c>
      <c r="K2504" s="252">
        <f>bargiri[[#This Row],[فی]]*bargiri[[#This Row],[میزان بارگیری شده]]</f>
        <v>774800000</v>
      </c>
    </row>
    <row r="2505" spans="1:11" ht="18.600000000000001">
      <c r="A2505" s="360" t="s">
        <v>392</v>
      </c>
      <c r="B2505" s="360" t="s">
        <v>106</v>
      </c>
      <c r="C2505" s="355" t="s">
        <v>48</v>
      </c>
      <c r="D2505">
        <v>20350</v>
      </c>
      <c r="E2505" s="143">
        <v>65000</v>
      </c>
      <c r="F2505" s="117">
        <v>1403</v>
      </c>
      <c r="G2505" s="360" t="s">
        <v>299</v>
      </c>
      <c r="H2505" s="144">
        <f>bargiri[[#This Row],[میزان بارگیری شده]]*bargiri[[#This Row],[فی]]</f>
        <v>1322750000</v>
      </c>
      <c r="I2505" s="360">
        <f>IF(year=bargiri[[#This Row],[سال]],1,0)</f>
        <v>0</v>
      </c>
      <c r="J2505" s="360" t="str">
        <f>VLOOKUP(bargiri[[#This Row],[شماره پیش فاکتور]],invoice[],16,0)</f>
        <v>عادی</v>
      </c>
      <c r="K2505" s="252">
        <f>bargiri[[#This Row],[فی]]*bargiri[[#This Row],[میزان بارگیری شده]]</f>
        <v>1322750000</v>
      </c>
    </row>
    <row r="2506" spans="1:11" ht="18.600000000000001">
      <c r="A2506" s="360" t="s">
        <v>174</v>
      </c>
      <c r="B2506" s="360" t="s">
        <v>110</v>
      </c>
      <c r="C2506" s="355" t="s">
        <v>57</v>
      </c>
      <c r="D2506">
        <v>20245</v>
      </c>
      <c r="E2506" s="143">
        <v>78000</v>
      </c>
      <c r="F2506" s="117">
        <v>1403</v>
      </c>
      <c r="G2506" s="360" t="s">
        <v>299</v>
      </c>
      <c r="H2506" s="144">
        <f>bargiri[[#This Row],[میزان بارگیری شده]]*bargiri[[#This Row],[فی]]</f>
        <v>1579110000</v>
      </c>
      <c r="I2506" s="360">
        <f>IF(year=bargiri[[#This Row],[سال]],1,0)</f>
        <v>0</v>
      </c>
      <c r="J2506" s="360" t="str">
        <f>VLOOKUP(bargiri[[#This Row],[شماره پیش فاکتور]],invoice[],16,0)</f>
        <v>عادی</v>
      </c>
      <c r="K2506" s="252">
        <f>bargiri[[#This Row],[فی]]*bargiri[[#This Row],[میزان بارگیری شده]]</f>
        <v>1579110000</v>
      </c>
    </row>
    <row r="2507" spans="1:11" ht="18.600000000000001">
      <c r="A2507" s="360" t="s">
        <v>174</v>
      </c>
      <c r="B2507" s="360" t="s">
        <v>116</v>
      </c>
      <c r="C2507" s="355" t="s">
        <v>77</v>
      </c>
      <c r="D2507">
        <v>20180</v>
      </c>
      <c r="E2507" s="143">
        <v>68500</v>
      </c>
      <c r="F2507" s="117">
        <v>1403</v>
      </c>
      <c r="G2507" s="360" t="s">
        <v>299</v>
      </c>
      <c r="H2507" s="144">
        <f>bargiri[[#This Row],[میزان بارگیری شده]]*bargiri[[#This Row],[فی]]</f>
        <v>1382330000</v>
      </c>
      <c r="I2507" s="360">
        <f>IF(year=bargiri[[#This Row],[سال]],1,0)</f>
        <v>0</v>
      </c>
      <c r="J2507" s="360" t="str">
        <f>VLOOKUP(bargiri[[#This Row],[شماره پیش فاکتور]],invoice[],16,0)</f>
        <v>عادی</v>
      </c>
      <c r="K2507" s="252">
        <f>bargiri[[#This Row],[فی]]*bargiri[[#This Row],[میزان بارگیری شده]]</f>
        <v>1382330000</v>
      </c>
    </row>
    <row r="2508" spans="1:11" ht="18.600000000000001">
      <c r="A2508" s="360" t="s">
        <v>174</v>
      </c>
      <c r="B2508" s="360" t="s">
        <v>107</v>
      </c>
      <c r="C2508" s="355" t="s">
        <v>50</v>
      </c>
      <c r="D2508">
        <v>19175</v>
      </c>
      <c r="E2508" s="143">
        <v>70000</v>
      </c>
      <c r="F2508" s="117">
        <v>1403</v>
      </c>
      <c r="G2508" s="360" t="s">
        <v>299</v>
      </c>
      <c r="H2508" s="144">
        <f>bargiri[[#This Row],[میزان بارگیری شده]]*bargiri[[#This Row],[فی]]</f>
        <v>1342250000</v>
      </c>
      <c r="I2508" s="360">
        <f>IF(year=bargiri[[#This Row],[سال]],1,0)</f>
        <v>0</v>
      </c>
      <c r="J2508" s="360" t="str">
        <f>VLOOKUP(bargiri[[#This Row],[شماره پیش فاکتور]],invoice[],16,0)</f>
        <v>عادی</v>
      </c>
      <c r="K2508" s="252">
        <f>bargiri[[#This Row],[فی]]*bargiri[[#This Row],[میزان بارگیری شده]]</f>
        <v>1342250000</v>
      </c>
    </row>
    <row r="2509" spans="1:11" ht="18.600000000000001">
      <c r="A2509" s="360" t="s">
        <v>174</v>
      </c>
      <c r="B2509" s="360" t="s">
        <v>113</v>
      </c>
      <c r="C2509" s="355" t="s">
        <v>61</v>
      </c>
      <c r="D2509">
        <v>10040</v>
      </c>
      <c r="E2509" s="143">
        <v>75000</v>
      </c>
      <c r="F2509" s="117">
        <v>1403</v>
      </c>
      <c r="G2509" s="360" t="s">
        <v>299</v>
      </c>
      <c r="H2509" s="144">
        <f>bargiri[[#This Row],[میزان بارگیری شده]]*bargiri[[#This Row],[فی]]</f>
        <v>753000000</v>
      </c>
      <c r="I2509" s="360">
        <f>IF(year=bargiri[[#This Row],[سال]],1,0)</f>
        <v>0</v>
      </c>
      <c r="J2509" s="360" t="str">
        <f>VLOOKUP(bargiri[[#This Row],[شماره پیش فاکتور]],invoice[],16,0)</f>
        <v>عادی</v>
      </c>
      <c r="K2509" s="252">
        <f>bargiri[[#This Row],[فی]]*bargiri[[#This Row],[میزان بارگیری شده]]</f>
        <v>753000000</v>
      </c>
    </row>
    <row r="2510" spans="1:11" ht="18.600000000000001">
      <c r="A2510" s="360" t="s">
        <v>408</v>
      </c>
      <c r="B2510" s="360" t="s">
        <v>117</v>
      </c>
      <c r="C2510" s="355" t="s">
        <v>82</v>
      </c>
      <c r="D2510">
        <v>20065</v>
      </c>
      <c r="E2510" s="143">
        <v>70000</v>
      </c>
      <c r="F2510" s="117">
        <v>1403</v>
      </c>
      <c r="G2510" s="360" t="s">
        <v>299</v>
      </c>
      <c r="H2510" s="144">
        <f>bargiri[[#This Row],[میزان بارگیری شده]]*bargiri[[#This Row],[فی]]</f>
        <v>1404550000</v>
      </c>
      <c r="I2510" s="360">
        <f>IF(year=bargiri[[#This Row],[سال]],1,0)</f>
        <v>0</v>
      </c>
      <c r="J2510" s="360" t="str">
        <f>VLOOKUP(bargiri[[#This Row],[شماره پیش فاکتور]],invoice[],16,0)</f>
        <v>عادی</v>
      </c>
      <c r="K2510" s="252">
        <f>bargiri[[#This Row],[فی]]*bargiri[[#This Row],[میزان بارگیری شده]]</f>
        <v>1404550000</v>
      </c>
    </row>
    <row r="2511" spans="1:11" ht="18.600000000000001">
      <c r="A2511" s="360" t="s">
        <v>408</v>
      </c>
      <c r="B2511" s="360" t="s">
        <v>113</v>
      </c>
      <c r="C2511" s="355" t="s">
        <v>61</v>
      </c>
      <c r="D2511">
        <v>21020</v>
      </c>
      <c r="E2511" s="143">
        <v>75000</v>
      </c>
      <c r="F2511" s="117">
        <v>1403</v>
      </c>
      <c r="G2511" s="360" t="s">
        <v>299</v>
      </c>
      <c r="H2511" s="144">
        <f>bargiri[[#This Row],[میزان بارگیری شده]]*bargiri[[#This Row],[فی]]</f>
        <v>1576500000</v>
      </c>
      <c r="I2511" s="360">
        <f>IF(year=bargiri[[#This Row],[سال]],1,0)</f>
        <v>0</v>
      </c>
      <c r="J2511" s="360" t="str">
        <f>VLOOKUP(bargiri[[#This Row],[شماره پیش فاکتور]],invoice[],16,0)</f>
        <v>عادی</v>
      </c>
      <c r="K2511" s="252">
        <f>bargiri[[#This Row],[فی]]*bargiri[[#This Row],[میزان بارگیری شده]]</f>
        <v>1576500000</v>
      </c>
    </row>
    <row r="2512" spans="1:11" ht="18.600000000000001">
      <c r="A2512" s="360" t="s">
        <v>213</v>
      </c>
      <c r="B2512" s="360" t="s">
        <v>106</v>
      </c>
      <c r="C2512" s="355" t="s">
        <v>48</v>
      </c>
      <c r="D2512">
        <v>16205</v>
      </c>
      <c r="E2512" s="143">
        <v>65000</v>
      </c>
      <c r="F2512" s="117">
        <v>1403</v>
      </c>
      <c r="G2512" s="360" t="s">
        <v>299</v>
      </c>
      <c r="H2512" s="144">
        <f>bargiri[[#This Row],[میزان بارگیری شده]]*bargiri[[#This Row],[فی]]</f>
        <v>1053325000</v>
      </c>
      <c r="I2512" s="360">
        <f>IF(year=bargiri[[#This Row],[سال]],1,0)</f>
        <v>0</v>
      </c>
      <c r="J2512" s="360" t="str">
        <f>VLOOKUP(bargiri[[#This Row],[شماره پیش فاکتور]],invoice[],16,0)</f>
        <v>عادی</v>
      </c>
      <c r="K2512" s="252">
        <f>bargiri[[#This Row],[فی]]*bargiri[[#This Row],[میزان بارگیری شده]]</f>
        <v>1053325000</v>
      </c>
    </row>
    <row r="2513" spans="1:11" ht="18.600000000000001">
      <c r="A2513" s="360" t="s">
        <v>213</v>
      </c>
      <c r="B2513" s="360" t="s">
        <v>113</v>
      </c>
      <c r="C2513" s="355" t="s">
        <v>61</v>
      </c>
      <c r="D2513">
        <v>20925</v>
      </c>
      <c r="E2513" s="143">
        <v>75000</v>
      </c>
      <c r="F2513" s="117">
        <v>1403</v>
      </c>
      <c r="G2513" s="360" t="s">
        <v>299</v>
      </c>
      <c r="H2513" s="144">
        <f>bargiri[[#This Row],[میزان بارگیری شده]]*bargiri[[#This Row],[فی]]</f>
        <v>1569375000</v>
      </c>
      <c r="I2513" s="360">
        <f>IF(year=bargiri[[#This Row],[سال]],1,0)</f>
        <v>0</v>
      </c>
      <c r="J2513" s="360" t="str">
        <f>VLOOKUP(bargiri[[#This Row],[شماره پیش فاکتور]],invoice[],16,0)</f>
        <v>عادی</v>
      </c>
      <c r="K2513" s="252">
        <f>bargiri[[#This Row],[فی]]*bargiri[[#This Row],[میزان بارگیری شده]]</f>
        <v>1569375000</v>
      </c>
    </row>
    <row r="2514" spans="1:11" ht="18.600000000000001">
      <c r="A2514" s="360" t="s">
        <v>213</v>
      </c>
      <c r="B2514" s="360" t="s">
        <v>106</v>
      </c>
      <c r="C2514" s="355" t="s">
        <v>48</v>
      </c>
      <c r="D2514">
        <v>17235</v>
      </c>
      <c r="E2514" s="143">
        <v>65000</v>
      </c>
      <c r="F2514" s="117">
        <v>1403</v>
      </c>
      <c r="G2514" s="360" t="s">
        <v>299</v>
      </c>
      <c r="H2514" s="144">
        <f>bargiri[[#This Row],[میزان بارگیری شده]]*bargiri[[#This Row],[فی]]</f>
        <v>1120275000</v>
      </c>
      <c r="I2514" s="360">
        <f>IF(year=bargiri[[#This Row],[سال]],1,0)</f>
        <v>0</v>
      </c>
      <c r="J2514" s="360" t="str">
        <f>VLOOKUP(bargiri[[#This Row],[شماره پیش فاکتور]],invoice[],16,0)</f>
        <v>عادی</v>
      </c>
      <c r="K2514" s="252">
        <f>bargiri[[#This Row],[فی]]*bargiri[[#This Row],[میزان بارگیری شده]]</f>
        <v>1120275000</v>
      </c>
    </row>
    <row r="2515" spans="1:11" ht="18.600000000000001">
      <c r="A2515" s="360" t="s">
        <v>213</v>
      </c>
      <c r="B2515" s="360" t="s">
        <v>107</v>
      </c>
      <c r="C2515" s="355" t="s">
        <v>50</v>
      </c>
      <c r="D2515">
        <v>19265</v>
      </c>
      <c r="E2515" s="143">
        <v>70000</v>
      </c>
      <c r="F2515" s="117">
        <v>1403</v>
      </c>
      <c r="G2515" s="360" t="s">
        <v>299</v>
      </c>
      <c r="H2515" s="144">
        <f>bargiri[[#This Row],[میزان بارگیری شده]]*bargiri[[#This Row],[فی]]</f>
        <v>1348550000</v>
      </c>
      <c r="I2515" s="360">
        <f>IF(year=bargiri[[#This Row],[سال]],1,0)</f>
        <v>0</v>
      </c>
      <c r="J2515" s="360" t="str">
        <f>VLOOKUP(bargiri[[#This Row],[شماره پیش فاکتور]],invoice[],16,0)</f>
        <v>عادی</v>
      </c>
      <c r="K2515" s="252">
        <f>bargiri[[#This Row],[فی]]*bargiri[[#This Row],[میزان بارگیری شده]]</f>
        <v>1348550000</v>
      </c>
    </row>
    <row r="2516" spans="1:11" ht="18.600000000000001">
      <c r="A2516" s="360" t="s">
        <v>393</v>
      </c>
      <c r="B2516" s="360" t="s">
        <v>98</v>
      </c>
      <c r="C2516" s="355" t="s">
        <v>10</v>
      </c>
      <c r="D2516">
        <v>15240</v>
      </c>
      <c r="E2516" s="143">
        <v>70000</v>
      </c>
      <c r="F2516" s="117">
        <v>1403</v>
      </c>
      <c r="G2516" s="360" t="s">
        <v>299</v>
      </c>
      <c r="H2516" s="144">
        <f>bargiri[[#This Row],[میزان بارگیری شده]]*bargiri[[#This Row],[فی]]</f>
        <v>1066800000</v>
      </c>
      <c r="I2516" s="360">
        <f>IF(year=bargiri[[#This Row],[سال]],1,0)</f>
        <v>0</v>
      </c>
      <c r="J2516" s="360" t="str">
        <f>VLOOKUP(bargiri[[#This Row],[شماره پیش فاکتور]],invoice[],16,0)</f>
        <v>عادی</v>
      </c>
      <c r="K2516" s="252">
        <f>bargiri[[#This Row],[فی]]*bargiri[[#This Row],[میزان بارگیری شده]]</f>
        <v>1066800000</v>
      </c>
    </row>
    <row r="2517" spans="1:11" ht="18.600000000000001">
      <c r="A2517" s="360" t="s">
        <v>409</v>
      </c>
      <c r="B2517" s="360" t="s">
        <v>99</v>
      </c>
      <c r="C2517" s="355" t="s">
        <v>13</v>
      </c>
      <c r="D2517">
        <v>19310</v>
      </c>
      <c r="E2517" s="143">
        <v>65000</v>
      </c>
      <c r="F2517" s="117">
        <v>1403</v>
      </c>
      <c r="G2517" s="360" t="s">
        <v>299</v>
      </c>
      <c r="H2517" s="144">
        <f>bargiri[[#This Row],[میزان بارگیری شده]]*bargiri[[#This Row],[فی]]</f>
        <v>1255150000</v>
      </c>
      <c r="I2517" s="360">
        <f>IF(year=bargiri[[#This Row],[سال]],1,0)</f>
        <v>0</v>
      </c>
      <c r="J2517" s="360" t="str">
        <f>VLOOKUP(bargiri[[#This Row],[شماره پیش فاکتور]],invoice[],16,0)</f>
        <v>عادی</v>
      </c>
      <c r="K2517" s="252">
        <f>bargiri[[#This Row],[فی]]*bargiri[[#This Row],[میزان بارگیری شده]]</f>
        <v>1255150000</v>
      </c>
    </row>
    <row r="2518" spans="1:11" ht="18.600000000000001">
      <c r="A2518" s="360" t="s">
        <v>409</v>
      </c>
      <c r="B2518" s="360" t="s">
        <v>101</v>
      </c>
      <c r="C2518" s="355" t="s">
        <v>20</v>
      </c>
      <c r="D2518">
        <v>20130</v>
      </c>
      <c r="E2518" s="143">
        <v>68000</v>
      </c>
      <c r="F2518" s="117">
        <v>1403</v>
      </c>
      <c r="G2518" s="360" t="s">
        <v>299</v>
      </c>
      <c r="H2518" s="144">
        <f>bargiri[[#This Row],[میزان بارگیری شده]]*bargiri[[#This Row],[فی]]</f>
        <v>1368840000</v>
      </c>
      <c r="I2518" s="360">
        <f>IF(year=bargiri[[#This Row],[سال]],1,0)</f>
        <v>0</v>
      </c>
      <c r="J2518" s="360" t="str">
        <f>VLOOKUP(bargiri[[#This Row],[شماره پیش فاکتور]],invoice[],16,0)</f>
        <v>عادی</v>
      </c>
      <c r="K2518" s="252">
        <f>bargiri[[#This Row],[فی]]*bargiri[[#This Row],[میزان بارگیری شده]]</f>
        <v>1368840000</v>
      </c>
    </row>
    <row r="2519" spans="1:11" ht="18.600000000000001">
      <c r="A2519" s="360" t="s">
        <v>410</v>
      </c>
      <c r="B2519" s="360" t="s">
        <v>107</v>
      </c>
      <c r="C2519" s="355" t="s">
        <v>50</v>
      </c>
      <c r="D2519">
        <v>19305</v>
      </c>
      <c r="E2519" s="143">
        <v>70000</v>
      </c>
      <c r="F2519" s="117">
        <v>1403</v>
      </c>
      <c r="G2519" s="360" t="s">
        <v>299</v>
      </c>
      <c r="H2519" s="144">
        <f>bargiri[[#This Row],[میزان بارگیری شده]]*bargiri[[#This Row],[فی]]</f>
        <v>1351350000</v>
      </c>
      <c r="I2519" s="360">
        <f>IF(year=bargiri[[#This Row],[سال]],1,0)</f>
        <v>0</v>
      </c>
      <c r="J2519" s="360" t="str">
        <f>VLOOKUP(bargiri[[#This Row],[شماره پیش فاکتور]],invoice[],16,0)</f>
        <v>عادی</v>
      </c>
      <c r="K2519" s="252">
        <f>bargiri[[#This Row],[فی]]*bargiri[[#This Row],[میزان بارگیری شده]]</f>
        <v>1351350000</v>
      </c>
    </row>
    <row r="2520" spans="1:11" ht="18.600000000000001">
      <c r="A2520" s="360" t="s">
        <v>410</v>
      </c>
      <c r="B2520" s="360" t="s">
        <v>99</v>
      </c>
      <c r="C2520" s="355" t="s">
        <v>13</v>
      </c>
      <c r="D2520">
        <v>19800</v>
      </c>
      <c r="E2520" s="143">
        <v>65000</v>
      </c>
      <c r="F2520" s="117">
        <v>1403</v>
      </c>
      <c r="G2520" s="360" t="s">
        <v>299</v>
      </c>
      <c r="H2520" s="144">
        <f>bargiri[[#This Row],[میزان بارگیری شده]]*bargiri[[#This Row],[فی]]</f>
        <v>1287000000</v>
      </c>
      <c r="I2520" s="360">
        <f>IF(year=bargiri[[#This Row],[سال]],1,0)</f>
        <v>0</v>
      </c>
      <c r="J2520" s="360" t="str">
        <f>VLOOKUP(bargiri[[#This Row],[شماره پیش فاکتور]],invoice[],16,0)</f>
        <v>عادی</v>
      </c>
      <c r="K2520" s="252">
        <f>bargiri[[#This Row],[فی]]*bargiri[[#This Row],[میزان بارگیری شده]]</f>
        <v>1287000000</v>
      </c>
    </row>
    <row r="2521" spans="1:11" ht="18.600000000000001">
      <c r="A2521" s="360" t="s">
        <v>411</v>
      </c>
      <c r="B2521" s="360" t="s">
        <v>102</v>
      </c>
      <c r="C2521" s="355" t="s">
        <v>25</v>
      </c>
      <c r="D2521">
        <v>11715</v>
      </c>
      <c r="E2521" s="143">
        <v>65000</v>
      </c>
      <c r="F2521" s="117">
        <v>1403</v>
      </c>
      <c r="G2521" s="360" t="s">
        <v>299</v>
      </c>
      <c r="H2521" s="144">
        <f>bargiri[[#This Row],[میزان بارگیری شده]]*bargiri[[#This Row],[فی]]</f>
        <v>761475000</v>
      </c>
      <c r="I2521" s="360">
        <f>IF(year=bargiri[[#This Row],[سال]],1,0)</f>
        <v>0</v>
      </c>
      <c r="J2521" s="360" t="str">
        <f>VLOOKUP(bargiri[[#This Row],[شماره پیش فاکتور]],invoice[],16,0)</f>
        <v>عادی</v>
      </c>
      <c r="K2521" s="252">
        <f>bargiri[[#This Row],[فی]]*bargiri[[#This Row],[میزان بارگیری شده]]</f>
        <v>761475000</v>
      </c>
    </row>
    <row r="2522" spans="1:11" ht="18.600000000000001">
      <c r="A2522" s="360" t="s">
        <v>411</v>
      </c>
      <c r="B2522" s="360" t="s">
        <v>106</v>
      </c>
      <c r="C2522" s="355" t="s">
        <v>48</v>
      </c>
      <c r="D2522">
        <v>20305</v>
      </c>
      <c r="E2522" s="143">
        <v>65000</v>
      </c>
      <c r="F2522" s="117">
        <v>1403</v>
      </c>
      <c r="G2522" s="360" t="s">
        <v>299</v>
      </c>
      <c r="H2522" s="144">
        <f>bargiri[[#This Row],[میزان بارگیری شده]]*bargiri[[#This Row],[فی]]</f>
        <v>1319825000</v>
      </c>
      <c r="I2522" s="360">
        <f>IF(year=bargiri[[#This Row],[سال]],1,0)</f>
        <v>0</v>
      </c>
      <c r="J2522" s="360" t="str">
        <f>VLOOKUP(bargiri[[#This Row],[شماره پیش فاکتور]],invoice[],16,0)</f>
        <v>عادی</v>
      </c>
      <c r="K2522" s="252">
        <f>bargiri[[#This Row],[فی]]*bargiri[[#This Row],[میزان بارگیری شده]]</f>
        <v>1319825000</v>
      </c>
    </row>
    <row r="2523" spans="1:11" ht="18.600000000000001">
      <c r="A2523" s="360" t="s">
        <v>411</v>
      </c>
      <c r="B2523" s="360" t="s">
        <v>104</v>
      </c>
      <c r="C2523" s="355" t="s">
        <v>41</v>
      </c>
      <c r="D2523">
        <v>18295</v>
      </c>
      <c r="E2523" s="143">
        <v>85000</v>
      </c>
      <c r="F2523" s="117">
        <v>1403</v>
      </c>
      <c r="G2523" s="360" t="s">
        <v>299</v>
      </c>
      <c r="H2523" s="144">
        <f>bargiri[[#This Row],[میزان بارگیری شده]]*bargiri[[#This Row],[فی]]</f>
        <v>1555075000</v>
      </c>
      <c r="I2523" s="360">
        <f>IF(year=bargiri[[#This Row],[سال]],1,0)</f>
        <v>0</v>
      </c>
      <c r="J2523" s="360" t="str">
        <f>VLOOKUP(bargiri[[#This Row],[شماره پیش فاکتور]],invoice[],16,0)</f>
        <v>عادی</v>
      </c>
      <c r="K2523" s="252">
        <f>bargiri[[#This Row],[فی]]*bargiri[[#This Row],[میزان بارگیری شده]]</f>
        <v>1555075000</v>
      </c>
    </row>
    <row r="2524" spans="1:11" ht="18.600000000000001">
      <c r="A2524" s="360" t="s">
        <v>412</v>
      </c>
      <c r="B2524" s="360" t="s">
        <v>107</v>
      </c>
      <c r="C2524" s="355" t="s">
        <v>50</v>
      </c>
      <c r="D2524">
        <v>19150</v>
      </c>
      <c r="E2524" s="143">
        <v>70000</v>
      </c>
      <c r="F2524" s="117">
        <v>1403</v>
      </c>
      <c r="G2524" s="360" t="s">
        <v>300</v>
      </c>
      <c r="H2524" s="144">
        <f>bargiri[[#This Row],[میزان بارگیری شده]]*bargiri[[#This Row],[فی]]</f>
        <v>1340500000</v>
      </c>
      <c r="I2524" s="360">
        <f>IF(year=bargiri[[#This Row],[سال]],1,0)</f>
        <v>0</v>
      </c>
      <c r="J2524" s="360" t="str">
        <f>VLOOKUP(bargiri[[#This Row],[شماره پیش فاکتور]],invoice[],16,0)</f>
        <v>عادی</v>
      </c>
      <c r="K2524" s="252">
        <f>bargiri[[#This Row],[فی]]*bargiri[[#This Row],[میزان بارگیری شده]]</f>
        <v>1340500000</v>
      </c>
    </row>
    <row r="2525" spans="1:11" ht="18.600000000000001">
      <c r="A2525" s="360" t="s">
        <v>413</v>
      </c>
      <c r="B2525" s="360" t="s">
        <v>98</v>
      </c>
      <c r="C2525" s="355" t="s">
        <v>10</v>
      </c>
      <c r="D2525">
        <v>22865</v>
      </c>
      <c r="E2525" s="143">
        <v>70000</v>
      </c>
      <c r="F2525" s="117">
        <v>1403</v>
      </c>
      <c r="G2525" s="360" t="s">
        <v>300</v>
      </c>
      <c r="H2525" s="144">
        <f>bargiri[[#This Row],[میزان بارگیری شده]]*bargiri[[#This Row],[فی]]</f>
        <v>1600550000</v>
      </c>
      <c r="I2525" s="360">
        <f>IF(year=bargiri[[#This Row],[سال]],1,0)</f>
        <v>0</v>
      </c>
      <c r="J2525" s="360" t="str">
        <f>VLOOKUP(bargiri[[#This Row],[شماره پیش فاکتور]],invoice[],16,0)</f>
        <v>عادی</v>
      </c>
      <c r="K2525" s="252">
        <f>bargiri[[#This Row],[فی]]*bargiri[[#This Row],[میزان بارگیری شده]]</f>
        <v>1600550000</v>
      </c>
    </row>
    <row r="2526" spans="1:11" ht="18.600000000000001">
      <c r="A2526" s="360" t="s">
        <v>413</v>
      </c>
      <c r="B2526" s="360" t="s">
        <v>99</v>
      </c>
      <c r="C2526" s="355" t="s">
        <v>13</v>
      </c>
      <c r="D2526">
        <v>20370</v>
      </c>
      <c r="E2526" s="143">
        <v>65000</v>
      </c>
      <c r="F2526" s="117">
        <v>1403</v>
      </c>
      <c r="G2526" s="360" t="s">
        <v>300</v>
      </c>
      <c r="H2526" s="144">
        <f>bargiri[[#This Row],[میزان بارگیری شده]]*bargiri[[#This Row],[فی]]</f>
        <v>1324050000</v>
      </c>
      <c r="I2526" s="360">
        <f>IF(year=bargiri[[#This Row],[سال]],1,0)</f>
        <v>0</v>
      </c>
      <c r="J2526" s="360" t="str">
        <f>VLOOKUP(bargiri[[#This Row],[شماره پیش فاکتور]],invoice[],16,0)</f>
        <v>عادی</v>
      </c>
      <c r="K2526" s="252">
        <f>bargiri[[#This Row],[فی]]*bargiri[[#This Row],[میزان بارگیری شده]]</f>
        <v>1324050000</v>
      </c>
    </row>
    <row r="2527" spans="1:11" ht="18.600000000000001">
      <c r="A2527" s="360" t="s">
        <v>178</v>
      </c>
      <c r="B2527" s="360" t="s">
        <v>99</v>
      </c>
      <c r="C2527" s="355" t="s">
        <v>13</v>
      </c>
      <c r="D2527">
        <v>19745</v>
      </c>
      <c r="E2527" s="143">
        <v>65000</v>
      </c>
      <c r="F2527" s="117">
        <v>1403</v>
      </c>
      <c r="G2527" s="360" t="s">
        <v>300</v>
      </c>
      <c r="H2527" s="144">
        <f>bargiri[[#This Row],[میزان بارگیری شده]]*bargiri[[#This Row],[فی]]</f>
        <v>1283425000</v>
      </c>
      <c r="I2527" s="360">
        <f>IF(year=bargiri[[#This Row],[سال]],1,0)</f>
        <v>0</v>
      </c>
      <c r="J2527" s="360" t="str">
        <f>VLOOKUP(bargiri[[#This Row],[شماره پیش فاکتور]],invoice[],16,0)</f>
        <v>عادی</v>
      </c>
      <c r="K2527" s="252">
        <f>bargiri[[#This Row],[فی]]*bargiri[[#This Row],[میزان بارگیری شده]]</f>
        <v>1283425000</v>
      </c>
    </row>
    <row r="2528" spans="1:11" ht="18.600000000000001">
      <c r="A2528" s="360" t="s">
        <v>178</v>
      </c>
      <c r="B2528" s="360" t="s">
        <v>107</v>
      </c>
      <c r="C2528" s="355" t="s">
        <v>50</v>
      </c>
      <c r="D2528">
        <v>19190</v>
      </c>
      <c r="E2528" s="143">
        <v>70000</v>
      </c>
      <c r="F2528" s="117">
        <v>1403</v>
      </c>
      <c r="G2528" s="360" t="s">
        <v>300</v>
      </c>
      <c r="H2528" s="144">
        <f>bargiri[[#This Row],[میزان بارگیری شده]]*bargiri[[#This Row],[فی]]</f>
        <v>1343300000</v>
      </c>
      <c r="I2528" s="360">
        <f>IF(year=bargiri[[#This Row],[سال]],1,0)</f>
        <v>0</v>
      </c>
      <c r="J2528" s="360" t="str">
        <f>VLOOKUP(bargiri[[#This Row],[شماره پیش فاکتور]],invoice[],16,0)</f>
        <v>عادی</v>
      </c>
      <c r="K2528" s="252">
        <f>bargiri[[#This Row],[فی]]*bargiri[[#This Row],[میزان بارگیری شده]]</f>
        <v>1343300000</v>
      </c>
    </row>
    <row r="2529" spans="1:11" ht="18.600000000000001">
      <c r="A2529" s="360" t="s">
        <v>414</v>
      </c>
      <c r="B2529" s="360" t="s">
        <v>111</v>
      </c>
      <c r="C2529" s="355" t="s">
        <v>59</v>
      </c>
      <c r="D2529">
        <v>9905</v>
      </c>
      <c r="E2529" s="143">
        <v>80000</v>
      </c>
      <c r="F2529" s="117">
        <v>1403</v>
      </c>
      <c r="G2529" s="360" t="s">
        <v>300</v>
      </c>
      <c r="H2529" s="144">
        <f>bargiri[[#This Row],[میزان بارگیری شده]]*bargiri[[#This Row],[فی]]</f>
        <v>792400000</v>
      </c>
      <c r="I2529" s="360">
        <f>IF(year=bargiri[[#This Row],[سال]],1,0)</f>
        <v>0</v>
      </c>
      <c r="J2529" s="360" t="str">
        <f>VLOOKUP(bargiri[[#This Row],[شماره پیش فاکتور]],invoice[],16,0)</f>
        <v>عادی</v>
      </c>
      <c r="K2529" s="252">
        <f>bargiri[[#This Row],[فی]]*bargiri[[#This Row],[میزان بارگیری شده]]</f>
        <v>792400000</v>
      </c>
    </row>
    <row r="2530" spans="1:11" ht="18.600000000000001">
      <c r="A2530" s="360" t="s">
        <v>196</v>
      </c>
      <c r="B2530" s="360" t="s">
        <v>102</v>
      </c>
      <c r="C2530" s="355" t="s">
        <v>26</v>
      </c>
      <c r="D2530">
        <v>6340</v>
      </c>
      <c r="E2530" s="143">
        <v>70000</v>
      </c>
      <c r="F2530" s="117">
        <v>1403</v>
      </c>
      <c r="G2530" s="360" t="s">
        <v>300</v>
      </c>
      <c r="H2530" s="144">
        <f>bargiri[[#This Row],[میزان بارگیری شده]]*bargiri[[#This Row],[فی]]</f>
        <v>443800000</v>
      </c>
      <c r="I2530" s="360">
        <f>IF(year=bargiri[[#This Row],[سال]],1,0)</f>
        <v>0</v>
      </c>
      <c r="J2530" s="360" t="str">
        <f>VLOOKUP(bargiri[[#This Row],[شماره پیش فاکتور]],invoice[],16,0)</f>
        <v>عادی</v>
      </c>
      <c r="K2530" s="252">
        <f>bargiri[[#This Row],[فی]]*bargiri[[#This Row],[میزان بارگیری شده]]</f>
        <v>443800000</v>
      </c>
    </row>
    <row r="2531" spans="1:11" ht="18.600000000000001">
      <c r="A2531" s="360" t="s">
        <v>196</v>
      </c>
      <c r="B2531" s="360" t="s">
        <v>102</v>
      </c>
      <c r="C2531" s="355" t="s">
        <v>25</v>
      </c>
      <c r="D2531">
        <v>5575</v>
      </c>
      <c r="E2531" s="143">
        <v>65000</v>
      </c>
      <c r="F2531" s="117">
        <v>1403</v>
      </c>
      <c r="G2531" s="360" t="s">
        <v>300</v>
      </c>
      <c r="H2531" s="144">
        <f>bargiri[[#This Row],[میزان بارگیری شده]]*bargiri[[#This Row],[فی]]</f>
        <v>362375000</v>
      </c>
      <c r="I2531" s="360">
        <f>IF(year=bargiri[[#This Row],[سال]],1,0)</f>
        <v>0</v>
      </c>
      <c r="J2531" s="360" t="str">
        <f>VLOOKUP(bargiri[[#This Row],[شماره پیش فاکتور]],invoice[],16,0)</f>
        <v>عادی</v>
      </c>
      <c r="K2531" s="252">
        <f>bargiri[[#This Row],[فی]]*bargiri[[#This Row],[میزان بارگیری شده]]</f>
        <v>362375000</v>
      </c>
    </row>
    <row r="2532" spans="1:11" ht="18.600000000000001">
      <c r="A2532" s="360" t="s">
        <v>196</v>
      </c>
      <c r="B2532" s="360" t="s">
        <v>107</v>
      </c>
      <c r="C2532" s="355" t="s">
        <v>50</v>
      </c>
      <c r="D2532">
        <v>19220</v>
      </c>
      <c r="E2532" s="143">
        <v>70000</v>
      </c>
      <c r="F2532" s="117">
        <v>1403</v>
      </c>
      <c r="G2532" s="360" t="s">
        <v>300</v>
      </c>
      <c r="H2532" s="144">
        <f>bargiri[[#This Row],[میزان بارگیری شده]]*bargiri[[#This Row],[فی]]</f>
        <v>1345400000</v>
      </c>
      <c r="I2532" s="360">
        <f>IF(year=bargiri[[#This Row],[سال]],1,0)</f>
        <v>0</v>
      </c>
      <c r="J2532" s="360" t="str">
        <f>VLOOKUP(bargiri[[#This Row],[شماره پیش فاکتور]],invoice[],16,0)</f>
        <v>عادی</v>
      </c>
      <c r="K2532" s="252">
        <f>bargiri[[#This Row],[فی]]*bargiri[[#This Row],[میزان بارگیری شده]]</f>
        <v>1345400000</v>
      </c>
    </row>
    <row r="2533" spans="1:11" ht="18.600000000000001">
      <c r="A2533" s="360" t="s">
        <v>196</v>
      </c>
      <c r="B2533" s="360" t="s">
        <v>117</v>
      </c>
      <c r="C2533" s="355" t="s">
        <v>82</v>
      </c>
      <c r="D2533">
        <v>20680</v>
      </c>
      <c r="E2533" s="143">
        <v>70000</v>
      </c>
      <c r="F2533" s="117">
        <v>1403</v>
      </c>
      <c r="G2533" s="360" t="s">
        <v>300</v>
      </c>
      <c r="H2533" s="144">
        <f>bargiri[[#This Row],[میزان بارگیری شده]]*bargiri[[#This Row],[فی]]</f>
        <v>1447600000</v>
      </c>
      <c r="I2533" s="360">
        <f>IF(year=bargiri[[#This Row],[سال]],1,0)</f>
        <v>0</v>
      </c>
      <c r="J2533" s="360" t="str">
        <f>VLOOKUP(bargiri[[#This Row],[شماره پیش فاکتور]],invoice[],16,0)</f>
        <v>عادی</v>
      </c>
      <c r="K2533" s="252">
        <f>bargiri[[#This Row],[فی]]*bargiri[[#This Row],[میزان بارگیری شده]]</f>
        <v>1447600000</v>
      </c>
    </row>
    <row r="2534" spans="1:11" ht="18.600000000000001">
      <c r="A2534" s="360" t="s">
        <v>415</v>
      </c>
      <c r="B2534" s="360" t="s">
        <v>99</v>
      </c>
      <c r="C2534" s="355" t="s">
        <v>13</v>
      </c>
      <c r="D2534">
        <v>18720</v>
      </c>
      <c r="E2534" s="143">
        <v>65000</v>
      </c>
      <c r="F2534" s="117">
        <v>1403</v>
      </c>
      <c r="G2534" s="360" t="s">
        <v>300</v>
      </c>
      <c r="H2534" s="144">
        <f>bargiri[[#This Row],[میزان بارگیری شده]]*bargiri[[#This Row],[فی]]</f>
        <v>1216800000</v>
      </c>
      <c r="I2534" s="360">
        <f>IF(year=bargiri[[#This Row],[سال]],1,0)</f>
        <v>0</v>
      </c>
      <c r="J2534" s="360" t="str">
        <f>VLOOKUP(bargiri[[#This Row],[شماره پیش فاکتور]],invoice[],16,0)</f>
        <v>عادی</v>
      </c>
      <c r="K2534" s="252">
        <f>bargiri[[#This Row],[فی]]*bargiri[[#This Row],[میزان بارگیری شده]]</f>
        <v>1216800000</v>
      </c>
    </row>
    <row r="2535" spans="1:11" ht="18.600000000000001">
      <c r="A2535" s="360" t="s">
        <v>227</v>
      </c>
      <c r="B2535" s="360" t="s">
        <v>99</v>
      </c>
      <c r="C2535" s="355" t="s">
        <v>13</v>
      </c>
      <c r="D2535">
        <v>18615</v>
      </c>
      <c r="E2535" s="143">
        <v>65000</v>
      </c>
      <c r="F2535" s="117">
        <v>1403</v>
      </c>
      <c r="G2535" s="360" t="s">
        <v>300</v>
      </c>
      <c r="H2535" s="144">
        <f>bargiri[[#This Row],[میزان بارگیری شده]]*bargiri[[#This Row],[فی]]</f>
        <v>1209975000</v>
      </c>
      <c r="I2535" s="360">
        <f>IF(year=bargiri[[#This Row],[سال]],1,0)</f>
        <v>0</v>
      </c>
      <c r="J2535" s="360" t="str">
        <f>VLOOKUP(bargiri[[#This Row],[شماره پیش فاکتور]],invoice[],16,0)</f>
        <v>عادی</v>
      </c>
      <c r="K2535" s="252">
        <f>bargiri[[#This Row],[فی]]*bargiri[[#This Row],[میزان بارگیری شده]]</f>
        <v>1209975000</v>
      </c>
    </row>
    <row r="2536" spans="1:11" ht="18.600000000000001">
      <c r="A2536" s="360" t="s">
        <v>227</v>
      </c>
      <c r="B2536" s="360" t="s">
        <v>119</v>
      </c>
      <c r="C2536" s="355" t="s">
        <v>87</v>
      </c>
      <c r="D2536">
        <v>9665</v>
      </c>
      <c r="E2536" s="143">
        <v>75000</v>
      </c>
      <c r="F2536" s="117">
        <v>1403</v>
      </c>
      <c r="G2536" s="360" t="s">
        <v>300</v>
      </c>
      <c r="H2536" s="144">
        <f>bargiri[[#This Row],[میزان بارگیری شده]]*bargiri[[#This Row],[فی]]</f>
        <v>724875000</v>
      </c>
      <c r="I2536" s="360">
        <f>IF(year=bargiri[[#This Row],[سال]],1,0)</f>
        <v>0</v>
      </c>
      <c r="J2536" s="360" t="str">
        <f>VLOOKUP(bargiri[[#This Row],[شماره پیش فاکتور]],invoice[],16,0)</f>
        <v>بورس</v>
      </c>
      <c r="K2536" s="252">
        <f>bargiri[[#This Row],[فی]]*bargiri[[#This Row],[میزان بارگیری شده]]</f>
        <v>724875000</v>
      </c>
    </row>
    <row r="2537" spans="1:11" ht="18.600000000000001">
      <c r="A2537" s="360" t="s">
        <v>227</v>
      </c>
      <c r="B2537" s="360" t="s">
        <v>119</v>
      </c>
      <c r="C2537" s="355" t="s">
        <v>86</v>
      </c>
      <c r="D2537">
        <v>10605</v>
      </c>
      <c r="E2537" s="143">
        <v>79301</v>
      </c>
      <c r="F2537" s="117">
        <v>1403</v>
      </c>
      <c r="G2537" s="360" t="s">
        <v>300</v>
      </c>
      <c r="H2537" s="144">
        <f>bargiri[[#This Row],[میزان بارگیری شده]]*bargiri[[#This Row],[فی]]</f>
        <v>840987105</v>
      </c>
      <c r="I2537" s="360">
        <f>IF(year=bargiri[[#This Row],[سال]],1,0)</f>
        <v>0</v>
      </c>
      <c r="J2537" s="360" t="str">
        <f>VLOOKUP(bargiri[[#This Row],[شماره پیش فاکتور]],invoice[],16,0)</f>
        <v>بورس</v>
      </c>
      <c r="K2537" s="252">
        <f>bargiri[[#This Row],[فی]]*bargiri[[#This Row],[میزان بارگیری شده]]</f>
        <v>840987105</v>
      </c>
    </row>
    <row r="2538" spans="1:11" ht="18.600000000000001">
      <c r="A2538" s="360" t="s">
        <v>227</v>
      </c>
      <c r="B2538" s="360" t="s">
        <v>107</v>
      </c>
      <c r="C2538" s="355" t="s">
        <v>50</v>
      </c>
      <c r="D2538">
        <v>19185</v>
      </c>
      <c r="E2538" s="143">
        <v>70000</v>
      </c>
      <c r="F2538" s="117">
        <v>1403</v>
      </c>
      <c r="G2538" s="360" t="s">
        <v>300</v>
      </c>
      <c r="H2538" s="144">
        <f>bargiri[[#This Row],[میزان بارگیری شده]]*bargiri[[#This Row],[فی]]</f>
        <v>1342950000</v>
      </c>
      <c r="I2538" s="360">
        <f>IF(year=bargiri[[#This Row],[سال]],1,0)</f>
        <v>0</v>
      </c>
      <c r="J2538" s="360" t="str">
        <f>VLOOKUP(bargiri[[#This Row],[شماره پیش فاکتور]],invoice[],16,0)</f>
        <v>عادی</v>
      </c>
      <c r="K2538" s="252">
        <f>bargiri[[#This Row],[فی]]*bargiri[[#This Row],[میزان بارگیری شده]]</f>
        <v>1342950000</v>
      </c>
    </row>
    <row r="2539" spans="1:11" ht="18.600000000000001">
      <c r="A2539" s="360" t="s">
        <v>227</v>
      </c>
      <c r="B2539" s="360" t="s">
        <v>116</v>
      </c>
      <c r="C2539" s="355" t="s">
        <v>77</v>
      </c>
      <c r="D2539">
        <v>21270</v>
      </c>
      <c r="E2539" s="143">
        <v>68500</v>
      </c>
      <c r="F2539" s="117">
        <v>1403</v>
      </c>
      <c r="G2539" s="360" t="s">
        <v>300</v>
      </c>
      <c r="H2539" s="144">
        <f>bargiri[[#This Row],[میزان بارگیری شده]]*bargiri[[#This Row],[فی]]</f>
        <v>1456995000</v>
      </c>
      <c r="I2539" s="360">
        <f>IF(year=bargiri[[#This Row],[سال]],1,0)</f>
        <v>0</v>
      </c>
      <c r="J2539" s="360" t="str">
        <f>VLOOKUP(bargiri[[#This Row],[شماره پیش فاکتور]],invoice[],16,0)</f>
        <v>عادی</v>
      </c>
      <c r="K2539" s="252">
        <f>bargiri[[#This Row],[فی]]*bargiri[[#This Row],[میزان بارگیری شده]]</f>
        <v>1456995000</v>
      </c>
    </row>
    <row r="2540" spans="1:11" ht="18.600000000000001">
      <c r="A2540" s="360" t="s">
        <v>164</v>
      </c>
      <c r="B2540" s="360" t="s">
        <v>116</v>
      </c>
      <c r="C2540" s="355" t="s">
        <v>77</v>
      </c>
      <c r="D2540">
        <v>20735</v>
      </c>
      <c r="E2540" s="143">
        <v>68500</v>
      </c>
      <c r="F2540" s="117">
        <v>1403</v>
      </c>
      <c r="G2540" s="360" t="s">
        <v>300</v>
      </c>
      <c r="H2540" s="144">
        <f>bargiri[[#This Row],[میزان بارگیری شده]]*bargiri[[#This Row],[فی]]</f>
        <v>1420347500</v>
      </c>
      <c r="I2540" s="360">
        <f>IF(year=bargiri[[#This Row],[سال]],1,0)</f>
        <v>0</v>
      </c>
      <c r="J2540" s="360" t="str">
        <f>VLOOKUP(bargiri[[#This Row],[شماره پیش فاکتور]],invoice[],16,0)</f>
        <v>عادی</v>
      </c>
      <c r="K2540" s="252">
        <f>bargiri[[#This Row],[فی]]*bargiri[[#This Row],[میزان بارگیری شده]]</f>
        <v>1420347500</v>
      </c>
    </row>
    <row r="2541" spans="1:11" ht="18.600000000000001">
      <c r="A2541" s="360" t="s">
        <v>164</v>
      </c>
      <c r="B2541" s="360" t="s">
        <v>116</v>
      </c>
      <c r="C2541" s="355" t="s">
        <v>77</v>
      </c>
      <c r="D2541">
        <v>17295</v>
      </c>
      <c r="E2541" s="143">
        <v>68500</v>
      </c>
      <c r="F2541" s="117">
        <v>1403</v>
      </c>
      <c r="G2541" s="360" t="s">
        <v>300</v>
      </c>
      <c r="H2541" s="144">
        <f>bargiri[[#This Row],[میزان بارگیری شده]]*bargiri[[#This Row],[فی]]</f>
        <v>1184707500</v>
      </c>
      <c r="I2541" s="360">
        <f>IF(year=bargiri[[#This Row],[سال]],1,0)</f>
        <v>0</v>
      </c>
      <c r="J2541" s="360" t="str">
        <f>VLOOKUP(bargiri[[#This Row],[شماره پیش فاکتور]],invoice[],16,0)</f>
        <v>عادی</v>
      </c>
      <c r="K2541" s="252">
        <f>bargiri[[#This Row],[فی]]*bargiri[[#This Row],[میزان بارگیری شده]]</f>
        <v>1184707500</v>
      </c>
    </row>
    <row r="2542" spans="1:11" ht="18.600000000000001">
      <c r="A2542" s="360" t="s">
        <v>416</v>
      </c>
      <c r="B2542" s="360" t="s">
        <v>116</v>
      </c>
      <c r="C2542" s="355" t="s">
        <v>76</v>
      </c>
      <c r="D2542">
        <v>20230</v>
      </c>
      <c r="E2542" s="143">
        <v>75000</v>
      </c>
      <c r="F2542" s="117">
        <v>1403</v>
      </c>
      <c r="G2542" s="360" t="s">
        <v>300</v>
      </c>
      <c r="H2542" s="144">
        <f>bargiri[[#This Row],[میزان بارگیری شده]]*bargiri[[#This Row],[فی]]</f>
        <v>1517250000</v>
      </c>
      <c r="I2542" s="360">
        <f>IF(year=bargiri[[#This Row],[سال]],1,0)</f>
        <v>0</v>
      </c>
      <c r="J2542" s="360" t="str">
        <f>VLOOKUP(bargiri[[#This Row],[شماره پیش فاکتور]],invoice[],16,0)</f>
        <v>بورس</v>
      </c>
      <c r="K2542" s="252">
        <f>bargiri[[#This Row],[فی]]*bargiri[[#This Row],[میزان بارگیری شده]]</f>
        <v>1517250000</v>
      </c>
    </row>
    <row r="2543" spans="1:11" ht="18.600000000000001">
      <c r="A2543" s="360" t="s">
        <v>416</v>
      </c>
      <c r="B2543" s="360" t="s">
        <v>99</v>
      </c>
      <c r="C2543" s="355" t="s">
        <v>13</v>
      </c>
      <c r="D2543">
        <v>18725</v>
      </c>
      <c r="E2543" s="143">
        <v>65000</v>
      </c>
      <c r="F2543" s="117">
        <v>1403</v>
      </c>
      <c r="G2543" s="360" t="s">
        <v>300</v>
      </c>
      <c r="H2543" s="144">
        <f>bargiri[[#This Row],[میزان بارگیری شده]]*bargiri[[#This Row],[فی]]</f>
        <v>1217125000</v>
      </c>
      <c r="I2543" s="360">
        <f>IF(year=bargiri[[#This Row],[سال]],1,0)</f>
        <v>0</v>
      </c>
      <c r="J2543" s="360" t="str">
        <f>VLOOKUP(bargiri[[#This Row],[شماره پیش فاکتور]],invoice[],16,0)</f>
        <v>عادی</v>
      </c>
      <c r="K2543" s="252">
        <f>bargiri[[#This Row],[فی]]*bargiri[[#This Row],[میزان بارگیری شده]]</f>
        <v>1217125000</v>
      </c>
    </row>
    <row r="2544" spans="1:11" ht="18.600000000000001">
      <c r="A2544" s="360" t="s">
        <v>221</v>
      </c>
      <c r="B2544" s="360" t="s">
        <v>116</v>
      </c>
      <c r="C2544" s="355" t="s">
        <v>76</v>
      </c>
      <c r="D2544">
        <v>19955</v>
      </c>
      <c r="E2544" s="143">
        <v>75000</v>
      </c>
      <c r="F2544" s="117">
        <v>1403</v>
      </c>
      <c r="G2544" s="360" t="s">
        <v>301</v>
      </c>
      <c r="H2544" s="144">
        <f>bargiri[[#This Row],[میزان بارگیری شده]]*bargiri[[#This Row],[فی]]</f>
        <v>1496625000</v>
      </c>
      <c r="I2544" s="360">
        <f>IF(year=bargiri[[#This Row],[سال]],1,0)</f>
        <v>0</v>
      </c>
      <c r="J2544" s="360" t="str">
        <f>VLOOKUP(bargiri[[#This Row],[شماره پیش فاکتور]],invoice[],16,0)</f>
        <v>بورس</v>
      </c>
      <c r="K2544" s="252">
        <f>bargiri[[#This Row],[فی]]*bargiri[[#This Row],[میزان بارگیری شده]]</f>
        <v>1496625000</v>
      </c>
    </row>
    <row r="2545" spans="1:11" ht="18.600000000000001">
      <c r="A2545" s="360" t="s">
        <v>417</v>
      </c>
      <c r="B2545" s="360" t="s">
        <v>107</v>
      </c>
      <c r="C2545" s="355" t="s">
        <v>50</v>
      </c>
      <c r="D2545">
        <v>19240</v>
      </c>
      <c r="E2545" s="143">
        <v>70000</v>
      </c>
      <c r="F2545" s="117">
        <v>1403</v>
      </c>
      <c r="G2545" s="360" t="s">
        <v>300</v>
      </c>
      <c r="H2545" s="144">
        <f>bargiri[[#This Row],[میزان بارگیری شده]]*bargiri[[#This Row],[فی]]</f>
        <v>1346800000</v>
      </c>
      <c r="I2545" s="360">
        <f>IF(year=bargiri[[#This Row],[سال]],1,0)</f>
        <v>0</v>
      </c>
      <c r="J2545" s="360" t="str">
        <f>VLOOKUP(bargiri[[#This Row],[شماره پیش فاکتور]],invoice[],16,0)</f>
        <v>عادی</v>
      </c>
      <c r="K2545" s="252">
        <f>bargiri[[#This Row],[فی]]*bargiri[[#This Row],[میزان بارگیری شده]]</f>
        <v>1346800000</v>
      </c>
    </row>
    <row r="2546" spans="1:11" ht="18.600000000000001">
      <c r="A2546" s="360" t="s">
        <v>187</v>
      </c>
      <c r="B2546" s="360" t="s">
        <v>98</v>
      </c>
      <c r="C2546" s="355" t="s">
        <v>10</v>
      </c>
      <c r="D2546">
        <v>23240</v>
      </c>
      <c r="E2546" s="143">
        <v>70000</v>
      </c>
      <c r="F2546" s="117">
        <v>1403</v>
      </c>
      <c r="G2546" s="360" t="s">
        <v>300</v>
      </c>
      <c r="H2546" s="144">
        <f>bargiri[[#This Row],[میزان بارگیری شده]]*bargiri[[#This Row],[فی]]</f>
        <v>1626800000</v>
      </c>
      <c r="I2546" s="360">
        <f>IF(year=bargiri[[#This Row],[سال]],1,0)</f>
        <v>0</v>
      </c>
      <c r="J2546" s="360" t="str">
        <f>VLOOKUP(bargiri[[#This Row],[شماره پیش فاکتور]],invoice[],16,0)</f>
        <v>عادی</v>
      </c>
      <c r="K2546" s="252">
        <f>bargiri[[#This Row],[فی]]*bargiri[[#This Row],[میزان بارگیری شده]]</f>
        <v>1626800000</v>
      </c>
    </row>
    <row r="2547" spans="1:11" ht="18.600000000000001">
      <c r="A2547" s="360" t="s">
        <v>187</v>
      </c>
      <c r="B2547" s="360" t="s">
        <v>106</v>
      </c>
      <c r="C2547" s="355" t="s">
        <v>48</v>
      </c>
      <c r="D2547">
        <v>19720</v>
      </c>
      <c r="E2547" s="143">
        <v>65000</v>
      </c>
      <c r="F2547" s="117">
        <v>1403</v>
      </c>
      <c r="G2547" s="360" t="s">
        <v>300</v>
      </c>
      <c r="H2547" s="144">
        <f>bargiri[[#This Row],[میزان بارگیری شده]]*bargiri[[#This Row],[فی]]</f>
        <v>1281800000</v>
      </c>
      <c r="I2547" s="360">
        <f>IF(year=bargiri[[#This Row],[سال]],1,0)</f>
        <v>0</v>
      </c>
      <c r="J2547" s="360" t="str">
        <f>VLOOKUP(bargiri[[#This Row],[شماره پیش فاکتور]],invoice[],16,0)</f>
        <v>عادی</v>
      </c>
      <c r="K2547" s="252">
        <f>bargiri[[#This Row],[فی]]*bargiri[[#This Row],[میزان بارگیری شده]]</f>
        <v>1281800000</v>
      </c>
    </row>
    <row r="2548" spans="1:11" ht="18.600000000000001">
      <c r="A2548" s="360" t="s">
        <v>187</v>
      </c>
      <c r="B2548" s="360" t="s">
        <v>102</v>
      </c>
      <c r="C2548" s="355" t="s">
        <v>26</v>
      </c>
      <c r="D2548">
        <v>11855</v>
      </c>
      <c r="E2548" s="143">
        <v>70000</v>
      </c>
      <c r="F2548" s="117">
        <v>1403</v>
      </c>
      <c r="G2548" s="360" t="s">
        <v>300</v>
      </c>
      <c r="H2548" s="144">
        <f>bargiri[[#This Row],[میزان بارگیری شده]]*bargiri[[#This Row],[فی]]</f>
        <v>829850000</v>
      </c>
      <c r="I2548" s="360">
        <f>IF(year=bargiri[[#This Row],[سال]],1,0)</f>
        <v>0</v>
      </c>
      <c r="J2548" s="360" t="str">
        <f>VLOOKUP(bargiri[[#This Row],[شماره پیش فاکتور]],invoice[],16,0)</f>
        <v>عادی</v>
      </c>
      <c r="K2548" s="252">
        <f>bargiri[[#This Row],[فی]]*bargiri[[#This Row],[میزان بارگیری شده]]</f>
        <v>829850000</v>
      </c>
    </row>
    <row r="2549" spans="1:11" ht="18.600000000000001">
      <c r="A2549" s="360" t="s">
        <v>187</v>
      </c>
      <c r="B2549" s="360" t="s">
        <v>108</v>
      </c>
      <c r="C2549" s="355" t="s">
        <v>53</v>
      </c>
      <c r="D2549">
        <v>20230</v>
      </c>
      <c r="E2549" s="143">
        <v>70000</v>
      </c>
      <c r="F2549" s="117">
        <v>1403</v>
      </c>
      <c r="G2549" s="360" t="s">
        <v>300</v>
      </c>
      <c r="H2549" s="144">
        <f>bargiri[[#This Row],[میزان بارگیری شده]]*bargiri[[#This Row],[فی]]</f>
        <v>1416100000</v>
      </c>
      <c r="I2549" s="360">
        <f>IF(year=bargiri[[#This Row],[سال]],1,0)</f>
        <v>0</v>
      </c>
      <c r="J2549" s="360" t="str">
        <f>VLOOKUP(bargiri[[#This Row],[شماره پیش فاکتور]],invoice[],16,0)</f>
        <v>عادی</v>
      </c>
      <c r="K2549" s="252">
        <f>bargiri[[#This Row],[فی]]*bargiri[[#This Row],[میزان بارگیری شده]]</f>
        <v>1416100000</v>
      </c>
    </row>
    <row r="2550" spans="1:11" ht="18.600000000000001">
      <c r="A2550" s="360" t="s">
        <v>187</v>
      </c>
      <c r="B2550" s="360" t="s">
        <v>106</v>
      </c>
      <c r="C2550" s="355" t="s">
        <v>48</v>
      </c>
      <c r="D2550">
        <v>20675</v>
      </c>
      <c r="E2550" s="143">
        <v>65000</v>
      </c>
      <c r="F2550" s="117">
        <v>1403</v>
      </c>
      <c r="G2550" s="360" t="s">
        <v>300</v>
      </c>
      <c r="H2550" s="144">
        <f>bargiri[[#This Row],[میزان بارگیری شده]]*bargiri[[#This Row],[فی]]</f>
        <v>1343875000</v>
      </c>
      <c r="I2550" s="360">
        <f>IF(year=bargiri[[#This Row],[سال]],1,0)</f>
        <v>0</v>
      </c>
      <c r="J2550" s="360" t="str">
        <f>VLOOKUP(bargiri[[#This Row],[شماره پیش فاکتور]],invoice[],16,0)</f>
        <v>عادی</v>
      </c>
      <c r="K2550" s="252">
        <f>bargiri[[#This Row],[فی]]*bargiri[[#This Row],[میزان بارگیری شده]]</f>
        <v>1343875000</v>
      </c>
    </row>
    <row r="2551" spans="1:11" ht="18.600000000000001">
      <c r="A2551" s="360" t="s">
        <v>418</v>
      </c>
      <c r="B2551" s="360" t="s">
        <v>116</v>
      </c>
      <c r="C2551" s="355" t="s">
        <v>77</v>
      </c>
      <c r="D2551">
        <v>20570</v>
      </c>
      <c r="E2551" s="143">
        <v>68500</v>
      </c>
      <c r="F2551" s="117">
        <v>1403</v>
      </c>
      <c r="G2551" s="360" t="s">
        <v>300</v>
      </c>
      <c r="H2551" s="144">
        <f>bargiri[[#This Row],[میزان بارگیری شده]]*bargiri[[#This Row],[فی]]</f>
        <v>1409045000</v>
      </c>
      <c r="I2551" s="360">
        <f>IF(year=bargiri[[#This Row],[سال]],1,0)</f>
        <v>0</v>
      </c>
      <c r="J2551" s="360" t="str">
        <f>VLOOKUP(bargiri[[#This Row],[شماره پیش فاکتور]],invoice[],16,0)</f>
        <v>عادی</v>
      </c>
      <c r="K2551" s="252">
        <f>bargiri[[#This Row],[فی]]*bargiri[[#This Row],[میزان بارگیری شده]]</f>
        <v>1409045000</v>
      </c>
    </row>
    <row r="2552" spans="1:11" ht="18.600000000000001">
      <c r="A2552" s="360" t="s">
        <v>418</v>
      </c>
      <c r="B2552" s="360" t="s">
        <v>117</v>
      </c>
      <c r="C2552" s="355" t="s">
        <v>82</v>
      </c>
      <c r="D2552">
        <v>21540</v>
      </c>
      <c r="E2552" s="143">
        <v>70000</v>
      </c>
      <c r="F2552" s="117">
        <v>1403</v>
      </c>
      <c r="G2552" s="360" t="s">
        <v>300</v>
      </c>
      <c r="H2552" s="144">
        <f>bargiri[[#This Row],[میزان بارگیری شده]]*bargiri[[#This Row],[فی]]</f>
        <v>1507800000</v>
      </c>
      <c r="I2552" s="360">
        <f>IF(year=bargiri[[#This Row],[سال]],1,0)</f>
        <v>0</v>
      </c>
      <c r="J2552" s="360" t="str">
        <f>VLOOKUP(bargiri[[#This Row],[شماره پیش فاکتور]],invoice[],16,0)</f>
        <v>عادی</v>
      </c>
      <c r="K2552" s="252">
        <f>bargiri[[#This Row],[فی]]*bargiri[[#This Row],[میزان بارگیری شده]]</f>
        <v>1507800000</v>
      </c>
    </row>
    <row r="2553" spans="1:11" ht="18.600000000000001">
      <c r="A2553" s="360" t="s">
        <v>418</v>
      </c>
      <c r="B2553" s="360" t="s">
        <v>107</v>
      </c>
      <c r="C2553" s="355" t="s">
        <v>50</v>
      </c>
      <c r="D2553">
        <v>19160</v>
      </c>
      <c r="E2553" s="143">
        <v>70000</v>
      </c>
      <c r="F2553" s="117">
        <v>1403</v>
      </c>
      <c r="G2553" s="360" t="s">
        <v>300</v>
      </c>
      <c r="H2553" s="144">
        <f>bargiri[[#This Row],[میزان بارگیری شده]]*bargiri[[#This Row],[فی]]</f>
        <v>1341200000</v>
      </c>
      <c r="I2553" s="360">
        <f>IF(year=bargiri[[#This Row],[سال]],1,0)</f>
        <v>0</v>
      </c>
      <c r="J2553" s="360" t="str">
        <f>VLOOKUP(bargiri[[#This Row],[شماره پیش فاکتور]],invoice[],16,0)</f>
        <v>عادی</v>
      </c>
      <c r="K2553" s="252">
        <f>bargiri[[#This Row],[فی]]*bargiri[[#This Row],[میزان بارگیری شده]]</f>
        <v>1341200000</v>
      </c>
    </row>
    <row r="2554" spans="1:11" ht="18.600000000000001">
      <c r="A2554" s="360" t="s">
        <v>418</v>
      </c>
      <c r="B2554" s="360" t="s">
        <v>104</v>
      </c>
      <c r="C2554" s="355" t="s">
        <v>41</v>
      </c>
      <c r="D2554">
        <v>16670</v>
      </c>
      <c r="E2554" s="143">
        <v>85000</v>
      </c>
      <c r="F2554" s="117">
        <v>1403</v>
      </c>
      <c r="G2554" s="360" t="s">
        <v>300</v>
      </c>
      <c r="H2554" s="144">
        <f>bargiri[[#This Row],[میزان بارگیری شده]]*bargiri[[#This Row],[فی]]</f>
        <v>1416950000</v>
      </c>
      <c r="I2554" s="360">
        <f>IF(year=bargiri[[#This Row],[سال]],1,0)</f>
        <v>0</v>
      </c>
      <c r="J2554" s="360" t="str">
        <f>VLOOKUP(bargiri[[#This Row],[شماره پیش فاکتور]],invoice[],16,0)</f>
        <v>عادی</v>
      </c>
      <c r="K2554" s="252">
        <f>bargiri[[#This Row],[فی]]*bargiri[[#This Row],[میزان بارگیری شده]]</f>
        <v>1416950000</v>
      </c>
    </row>
    <row r="2555" spans="1:11" ht="18.600000000000001">
      <c r="A2555" s="360" t="s">
        <v>394</v>
      </c>
      <c r="B2555" s="360" t="s">
        <v>116</v>
      </c>
      <c r="C2555" s="355" t="s">
        <v>77</v>
      </c>
      <c r="D2555">
        <v>20690</v>
      </c>
      <c r="E2555" s="143">
        <v>68500</v>
      </c>
      <c r="F2555" s="117">
        <v>1403</v>
      </c>
      <c r="G2555" s="360" t="s">
        <v>300</v>
      </c>
      <c r="H2555" s="144">
        <f>bargiri[[#This Row],[میزان بارگیری شده]]*bargiri[[#This Row],[فی]]</f>
        <v>1417265000</v>
      </c>
      <c r="I2555" s="360">
        <f>IF(year=bargiri[[#This Row],[سال]],1,0)</f>
        <v>0</v>
      </c>
      <c r="J2555" s="360" t="str">
        <f>VLOOKUP(bargiri[[#This Row],[شماره پیش فاکتور]],invoice[],16,0)</f>
        <v>عادی</v>
      </c>
      <c r="K2555" s="252">
        <f>bargiri[[#This Row],[فی]]*bargiri[[#This Row],[میزان بارگیری شده]]</f>
        <v>1417265000</v>
      </c>
    </row>
    <row r="2556" spans="1:11" ht="18.600000000000001">
      <c r="A2556" s="360" t="s">
        <v>175</v>
      </c>
      <c r="B2556" s="360" t="s">
        <v>98</v>
      </c>
      <c r="C2556" s="355" t="s">
        <v>11</v>
      </c>
      <c r="D2556">
        <v>23300</v>
      </c>
      <c r="E2556" s="143">
        <v>77000</v>
      </c>
      <c r="F2556" s="117">
        <v>1403</v>
      </c>
      <c r="G2556" s="360" t="s">
        <v>300</v>
      </c>
      <c r="H2556" s="144">
        <f>bargiri[[#This Row],[میزان بارگیری شده]]*bargiri[[#This Row],[فی]]</f>
        <v>1794100000</v>
      </c>
      <c r="I2556" s="360">
        <f>IF(year=bargiri[[#This Row],[سال]],1,0)</f>
        <v>0</v>
      </c>
      <c r="J2556" s="360" t="str">
        <f>VLOOKUP(bargiri[[#This Row],[شماره پیش فاکتور]],invoice[],16,0)</f>
        <v>عادی</v>
      </c>
      <c r="K2556" s="252">
        <f>bargiri[[#This Row],[فی]]*bargiri[[#This Row],[میزان بارگیری شده]]</f>
        <v>1794100000</v>
      </c>
    </row>
    <row r="2557" spans="1:11" ht="18.600000000000001">
      <c r="A2557" s="360" t="s">
        <v>419</v>
      </c>
      <c r="B2557" s="360" t="s">
        <v>116</v>
      </c>
      <c r="C2557" s="355" t="s">
        <v>77</v>
      </c>
      <c r="D2557">
        <v>20190</v>
      </c>
      <c r="E2557" s="143">
        <v>68500</v>
      </c>
      <c r="F2557" s="117">
        <v>1403</v>
      </c>
      <c r="G2557" s="360" t="s">
        <v>300</v>
      </c>
      <c r="H2557" s="144">
        <f>bargiri[[#This Row],[میزان بارگیری شده]]*bargiri[[#This Row],[فی]]</f>
        <v>1383015000</v>
      </c>
      <c r="I2557" s="360">
        <f>IF(year=bargiri[[#This Row],[سال]],1,0)</f>
        <v>0</v>
      </c>
      <c r="J2557" s="360" t="str">
        <f>VLOOKUP(bargiri[[#This Row],[شماره پیش فاکتور]],invoice[],16,0)</f>
        <v>عادی</v>
      </c>
      <c r="K2557" s="252">
        <f>bargiri[[#This Row],[فی]]*bargiri[[#This Row],[میزان بارگیری شده]]</f>
        <v>1383015000</v>
      </c>
    </row>
    <row r="2558" spans="1:11" ht="18.600000000000001">
      <c r="A2558" s="360" t="s">
        <v>419</v>
      </c>
      <c r="B2558" s="360" t="s">
        <v>101</v>
      </c>
      <c r="C2558" s="355" t="s">
        <v>20</v>
      </c>
      <c r="D2558">
        <v>22380</v>
      </c>
      <c r="E2558" s="143">
        <v>68000</v>
      </c>
      <c r="F2558" s="117">
        <v>1403</v>
      </c>
      <c r="G2558" s="360" t="s">
        <v>300</v>
      </c>
      <c r="H2558" s="144">
        <f>bargiri[[#This Row],[میزان بارگیری شده]]*bargiri[[#This Row],[فی]]</f>
        <v>1521840000</v>
      </c>
      <c r="I2558" s="360">
        <f>IF(year=bargiri[[#This Row],[سال]],1,0)</f>
        <v>0</v>
      </c>
      <c r="J2558" s="360" t="str">
        <f>VLOOKUP(bargiri[[#This Row],[شماره پیش فاکتور]],invoice[],16,0)</f>
        <v>عادی</v>
      </c>
      <c r="K2558" s="252">
        <f>bargiri[[#This Row],[فی]]*bargiri[[#This Row],[میزان بارگیری شده]]</f>
        <v>1521840000</v>
      </c>
    </row>
    <row r="2559" spans="1:11" ht="18.600000000000001">
      <c r="A2559" s="360" t="s">
        <v>419</v>
      </c>
      <c r="B2559" s="360" t="s">
        <v>99</v>
      </c>
      <c r="C2559" s="355" t="s">
        <v>13</v>
      </c>
      <c r="D2559">
        <v>19335</v>
      </c>
      <c r="E2559" s="143">
        <v>65000</v>
      </c>
      <c r="F2559" s="117">
        <v>1403</v>
      </c>
      <c r="G2559" s="360" t="s">
        <v>300</v>
      </c>
      <c r="H2559" s="144">
        <f>bargiri[[#This Row],[میزان بارگیری شده]]*bargiri[[#This Row],[فی]]</f>
        <v>1256775000</v>
      </c>
      <c r="I2559" s="360">
        <f>IF(year=bargiri[[#This Row],[سال]],1,0)</f>
        <v>0</v>
      </c>
      <c r="J2559" s="360" t="str">
        <f>VLOOKUP(bargiri[[#This Row],[شماره پیش فاکتور]],invoice[],16,0)</f>
        <v>عادی</v>
      </c>
      <c r="K2559" s="252">
        <f>bargiri[[#This Row],[فی]]*bargiri[[#This Row],[میزان بارگیری شده]]</f>
        <v>1256775000</v>
      </c>
    </row>
    <row r="2560" spans="1:11" ht="18.600000000000001">
      <c r="A2560" s="360" t="s">
        <v>419</v>
      </c>
      <c r="B2560" s="360" t="s">
        <v>107</v>
      </c>
      <c r="C2560" s="355" t="s">
        <v>50</v>
      </c>
      <c r="D2560">
        <v>19190</v>
      </c>
      <c r="E2560" s="143">
        <v>70000</v>
      </c>
      <c r="F2560" s="117">
        <v>1403</v>
      </c>
      <c r="G2560" s="360" t="s">
        <v>300</v>
      </c>
      <c r="H2560" s="144">
        <f>bargiri[[#This Row],[میزان بارگیری شده]]*bargiri[[#This Row],[فی]]</f>
        <v>1343300000</v>
      </c>
      <c r="I2560" s="360">
        <f>IF(year=bargiri[[#This Row],[سال]],1,0)</f>
        <v>0</v>
      </c>
      <c r="J2560" s="360" t="str">
        <f>VLOOKUP(bargiri[[#This Row],[شماره پیش فاکتور]],invoice[],16,0)</f>
        <v>عادی</v>
      </c>
      <c r="K2560" s="252">
        <f>bargiri[[#This Row],[فی]]*bargiri[[#This Row],[میزان بارگیری شده]]</f>
        <v>1343300000</v>
      </c>
    </row>
    <row r="2561" spans="1:11" ht="18.600000000000001">
      <c r="A2561" s="360" t="s">
        <v>394</v>
      </c>
      <c r="B2561" s="360" t="s">
        <v>110</v>
      </c>
      <c r="C2561" s="355" t="s">
        <v>57</v>
      </c>
      <c r="D2561">
        <v>14800</v>
      </c>
      <c r="E2561" s="143">
        <v>78000</v>
      </c>
      <c r="F2561" s="117">
        <v>1403</v>
      </c>
      <c r="G2561" s="360" t="s">
        <v>300</v>
      </c>
      <c r="H2561" s="144">
        <f>bargiri[[#This Row],[میزان بارگیری شده]]*bargiri[[#This Row],[فی]]</f>
        <v>1154400000</v>
      </c>
      <c r="I2561" s="360">
        <f>IF(year=bargiri[[#This Row],[سال]],1,0)</f>
        <v>0</v>
      </c>
      <c r="J2561" s="360" t="str">
        <f>VLOOKUP(bargiri[[#This Row],[شماره پیش فاکتور]],invoice[],16,0)</f>
        <v>عادی</v>
      </c>
      <c r="K2561" s="252">
        <f>bargiri[[#This Row],[فی]]*bargiri[[#This Row],[میزان بارگیری شده]]</f>
        <v>1154400000</v>
      </c>
    </row>
    <row r="2562" spans="1:11" ht="18.600000000000001">
      <c r="A2562" s="360" t="s">
        <v>420</v>
      </c>
      <c r="B2562" s="360" t="s">
        <v>116</v>
      </c>
      <c r="C2562" s="355" t="s">
        <v>77</v>
      </c>
      <c r="D2562">
        <v>21105</v>
      </c>
      <c r="E2562" s="143">
        <v>68500</v>
      </c>
      <c r="F2562" s="117">
        <v>1403</v>
      </c>
      <c r="G2562" s="360" t="s">
        <v>300</v>
      </c>
      <c r="H2562" s="144">
        <f>bargiri[[#This Row],[میزان بارگیری شده]]*bargiri[[#This Row],[فی]]</f>
        <v>1445692500</v>
      </c>
      <c r="I2562" s="360">
        <f>IF(year=bargiri[[#This Row],[سال]],1,0)</f>
        <v>0</v>
      </c>
      <c r="J2562" s="360" t="str">
        <f>VLOOKUP(bargiri[[#This Row],[شماره پیش فاکتور]],invoice[],16,0)</f>
        <v>عادی</v>
      </c>
      <c r="K2562" s="252">
        <f>bargiri[[#This Row],[فی]]*bargiri[[#This Row],[میزان بارگیری شده]]</f>
        <v>1445692500</v>
      </c>
    </row>
    <row r="2563" spans="1:11" ht="18.600000000000001">
      <c r="A2563" s="360" t="s">
        <v>420</v>
      </c>
      <c r="B2563" s="360" t="s">
        <v>102</v>
      </c>
      <c r="C2563" s="355" t="s">
        <v>26</v>
      </c>
      <c r="D2563">
        <v>11675</v>
      </c>
      <c r="E2563" s="143">
        <v>70000</v>
      </c>
      <c r="F2563" s="117">
        <v>1403</v>
      </c>
      <c r="G2563" s="360" t="s">
        <v>300</v>
      </c>
      <c r="H2563" s="144">
        <f>bargiri[[#This Row],[میزان بارگیری شده]]*bargiri[[#This Row],[فی]]</f>
        <v>817250000</v>
      </c>
      <c r="I2563" s="360">
        <f>IF(year=bargiri[[#This Row],[سال]],1,0)</f>
        <v>0</v>
      </c>
      <c r="J2563" s="360" t="str">
        <f>VLOOKUP(bargiri[[#This Row],[شماره پیش فاکتور]],invoice[],16,0)</f>
        <v>عادی</v>
      </c>
      <c r="K2563" s="252">
        <f>bargiri[[#This Row],[فی]]*bargiri[[#This Row],[میزان بارگیری شده]]</f>
        <v>817250000</v>
      </c>
    </row>
    <row r="2564" spans="1:11" ht="18.600000000000001">
      <c r="A2564" s="360" t="s">
        <v>395</v>
      </c>
      <c r="B2564" s="360" t="s">
        <v>116</v>
      </c>
      <c r="C2564" s="355" t="s">
        <v>77</v>
      </c>
      <c r="D2564">
        <v>19725</v>
      </c>
      <c r="E2564" s="143">
        <v>68500</v>
      </c>
      <c r="F2564" s="117">
        <v>1403</v>
      </c>
      <c r="G2564" s="360" t="s">
        <v>300</v>
      </c>
      <c r="H2564" s="144">
        <f>bargiri[[#This Row],[میزان بارگیری شده]]*bargiri[[#This Row],[فی]]</f>
        <v>1351162500</v>
      </c>
      <c r="I2564" s="360">
        <f>IF(year=bargiri[[#This Row],[سال]],1,0)</f>
        <v>0</v>
      </c>
      <c r="J2564" s="360" t="str">
        <f>VLOOKUP(bargiri[[#This Row],[شماره پیش فاکتور]],invoice[],16,0)</f>
        <v>عادی</v>
      </c>
      <c r="K2564" s="252">
        <f>bargiri[[#This Row],[فی]]*bargiri[[#This Row],[میزان بارگیری شده]]</f>
        <v>1351162500</v>
      </c>
    </row>
    <row r="2565" spans="1:11" ht="18.600000000000001">
      <c r="A2565" s="360" t="s">
        <v>395</v>
      </c>
      <c r="B2565" s="360" t="s">
        <v>116</v>
      </c>
      <c r="C2565" s="355" t="s">
        <v>77</v>
      </c>
      <c r="D2565">
        <v>21085</v>
      </c>
      <c r="E2565" s="143">
        <v>68500</v>
      </c>
      <c r="F2565" s="117">
        <v>1403</v>
      </c>
      <c r="G2565" s="360" t="s">
        <v>300</v>
      </c>
      <c r="H2565" s="144">
        <f>bargiri[[#This Row],[میزان بارگیری شده]]*bargiri[[#This Row],[فی]]</f>
        <v>1444322500</v>
      </c>
      <c r="I2565" s="360">
        <f>IF(year=bargiri[[#This Row],[سال]],1,0)</f>
        <v>0</v>
      </c>
      <c r="J2565" s="360" t="str">
        <f>VLOOKUP(bargiri[[#This Row],[شماره پیش فاکتور]],invoice[],16,0)</f>
        <v>عادی</v>
      </c>
      <c r="K2565" s="252">
        <f>bargiri[[#This Row],[فی]]*bargiri[[#This Row],[میزان بارگیری شده]]</f>
        <v>1444322500</v>
      </c>
    </row>
    <row r="2566" spans="1:11" ht="18.600000000000001">
      <c r="A2566" s="360" t="s">
        <v>395</v>
      </c>
      <c r="B2566" s="360" t="s">
        <v>106</v>
      </c>
      <c r="C2566" s="355" t="s">
        <v>48</v>
      </c>
      <c r="D2566">
        <v>17965</v>
      </c>
      <c r="E2566" s="143">
        <v>65000</v>
      </c>
      <c r="F2566" s="117">
        <v>1403</v>
      </c>
      <c r="G2566" s="360" t="s">
        <v>300</v>
      </c>
      <c r="H2566" s="144">
        <f>bargiri[[#This Row],[میزان بارگیری شده]]*bargiri[[#This Row],[فی]]</f>
        <v>1167725000</v>
      </c>
      <c r="I2566" s="360">
        <f>IF(year=bargiri[[#This Row],[سال]],1,0)</f>
        <v>0</v>
      </c>
      <c r="J2566" s="360" t="str">
        <f>VLOOKUP(bargiri[[#This Row],[شماره پیش فاکتور]],invoice[],16,0)</f>
        <v>عادی</v>
      </c>
      <c r="K2566" s="252">
        <f>bargiri[[#This Row],[فی]]*bargiri[[#This Row],[میزان بارگیری شده]]</f>
        <v>1167725000</v>
      </c>
    </row>
    <row r="2567" spans="1:11" ht="18.600000000000001">
      <c r="A2567" s="360" t="s">
        <v>395</v>
      </c>
      <c r="B2567" s="360" t="s">
        <v>107</v>
      </c>
      <c r="C2567" s="355" t="s">
        <v>50</v>
      </c>
      <c r="D2567">
        <v>18900</v>
      </c>
      <c r="E2567" s="143">
        <v>70000</v>
      </c>
      <c r="F2567" s="117">
        <v>1403</v>
      </c>
      <c r="G2567" s="360" t="s">
        <v>300</v>
      </c>
      <c r="H2567" s="144">
        <f>bargiri[[#This Row],[میزان بارگیری شده]]*bargiri[[#This Row],[فی]]</f>
        <v>1323000000</v>
      </c>
      <c r="I2567" s="360">
        <f>IF(year=bargiri[[#This Row],[سال]],1,0)</f>
        <v>0</v>
      </c>
      <c r="J2567" s="360" t="str">
        <f>VLOOKUP(bargiri[[#This Row],[شماره پیش فاکتور]],invoice[],16,0)</f>
        <v>عادی</v>
      </c>
      <c r="K2567" s="252">
        <f>bargiri[[#This Row],[فی]]*bargiri[[#This Row],[میزان بارگیری شده]]</f>
        <v>1323000000</v>
      </c>
    </row>
    <row r="2568" spans="1:11" ht="18.600000000000001">
      <c r="A2568" s="360" t="s">
        <v>395</v>
      </c>
      <c r="B2568" s="360" t="s">
        <v>99</v>
      </c>
      <c r="C2568" s="355" t="s">
        <v>13</v>
      </c>
      <c r="D2568">
        <v>20550</v>
      </c>
      <c r="E2568" s="143">
        <v>65000</v>
      </c>
      <c r="F2568" s="117">
        <v>1403</v>
      </c>
      <c r="G2568" s="360" t="s">
        <v>300</v>
      </c>
      <c r="H2568" s="144">
        <f>bargiri[[#This Row],[میزان بارگیری شده]]*bargiri[[#This Row],[فی]]</f>
        <v>1335750000</v>
      </c>
      <c r="I2568" s="360">
        <f>IF(year=bargiri[[#This Row],[سال]],1,0)</f>
        <v>0</v>
      </c>
      <c r="J2568" s="360" t="str">
        <f>VLOOKUP(bargiri[[#This Row],[شماره پیش فاکتور]],invoice[],16,0)</f>
        <v>عادی</v>
      </c>
      <c r="K2568" s="252">
        <f>bargiri[[#This Row],[فی]]*bargiri[[#This Row],[میزان بارگیری شده]]</f>
        <v>1335750000</v>
      </c>
    </row>
    <row r="2569" spans="1:11" ht="18.600000000000001">
      <c r="A2569" s="360" t="s">
        <v>421</v>
      </c>
      <c r="B2569" s="360" t="s">
        <v>115</v>
      </c>
      <c r="C2569" s="355" t="s">
        <v>65</v>
      </c>
      <c r="D2569">
        <v>22150</v>
      </c>
      <c r="E2569" s="143">
        <v>75000</v>
      </c>
      <c r="F2569" s="117">
        <v>1403</v>
      </c>
      <c r="G2569" s="360" t="s">
        <v>300</v>
      </c>
      <c r="H2569" s="144">
        <f>bargiri[[#This Row],[میزان بارگیری شده]]*bargiri[[#This Row],[فی]]</f>
        <v>1661250000</v>
      </c>
      <c r="I2569" s="360">
        <f>IF(year=bargiri[[#This Row],[سال]],1,0)</f>
        <v>0</v>
      </c>
      <c r="J2569" s="360" t="str">
        <f>VLOOKUP(bargiri[[#This Row],[شماره پیش فاکتور]],invoice[],16,0)</f>
        <v>عادی</v>
      </c>
      <c r="K2569" s="252">
        <f>bargiri[[#This Row],[فی]]*bargiri[[#This Row],[میزان بارگیری شده]]</f>
        <v>1661250000</v>
      </c>
    </row>
    <row r="2570" spans="1:11" ht="18.600000000000001">
      <c r="A2570" s="360" t="s">
        <v>421</v>
      </c>
      <c r="B2570" s="360" t="s">
        <v>104</v>
      </c>
      <c r="C2570" s="355" t="s">
        <v>41</v>
      </c>
      <c r="D2570">
        <v>16935</v>
      </c>
      <c r="E2570" s="143">
        <v>85000</v>
      </c>
      <c r="F2570" s="117">
        <v>1403</v>
      </c>
      <c r="G2570" s="360" t="s">
        <v>300</v>
      </c>
      <c r="H2570" s="144">
        <f>bargiri[[#This Row],[میزان بارگیری شده]]*bargiri[[#This Row],[فی]]</f>
        <v>1439475000</v>
      </c>
      <c r="I2570" s="360">
        <f>IF(year=bargiri[[#This Row],[سال]],1,0)</f>
        <v>0</v>
      </c>
      <c r="J2570" s="360" t="str">
        <f>VLOOKUP(bargiri[[#This Row],[شماره پیش فاکتور]],invoice[],16,0)</f>
        <v>عادی</v>
      </c>
      <c r="K2570" s="252">
        <f>bargiri[[#This Row],[فی]]*bargiri[[#This Row],[میزان بارگیری شده]]</f>
        <v>1439475000</v>
      </c>
    </row>
    <row r="2571" spans="1:11" ht="18.600000000000001">
      <c r="A2571" s="360" t="s">
        <v>421</v>
      </c>
      <c r="B2571" s="360" t="s">
        <v>99</v>
      </c>
      <c r="C2571" s="355" t="s">
        <v>13</v>
      </c>
      <c r="D2571">
        <v>21120</v>
      </c>
      <c r="E2571" s="143">
        <v>65000</v>
      </c>
      <c r="F2571" s="117">
        <v>1403</v>
      </c>
      <c r="G2571" s="360" t="s">
        <v>300</v>
      </c>
      <c r="H2571" s="144">
        <f>bargiri[[#This Row],[میزان بارگیری شده]]*bargiri[[#This Row],[فی]]</f>
        <v>1372800000</v>
      </c>
      <c r="I2571" s="360">
        <f>IF(year=bargiri[[#This Row],[سال]],1,0)</f>
        <v>0</v>
      </c>
      <c r="J2571" s="360" t="str">
        <f>VLOOKUP(bargiri[[#This Row],[شماره پیش فاکتور]],invoice[],16,0)</f>
        <v>عادی</v>
      </c>
      <c r="K2571" s="252">
        <f>bargiri[[#This Row],[فی]]*bargiri[[#This Row],[میزان بارگیری شده]]</f>
        <v>1372800000</v>
      </c>
    </row>
    <row r="2572" spans="1:11" ht="18.600000000000001">
      <c r="A2572" s="360" t="s">
        <v>421</v>
      </c>
      <c r="B2572" s="360" t="s">
        <v>99</v>
      </c>
      <c r="C2572" s="355" t="s">
        <v>13</v>
      </c>
      <c r="D2572">
        <v>18035</v>
      </c>
      <c r="E2572" s="143">
        <v>65000</v>
      </c>
      <c r="F2572" s="117">
        <v>1403</v>
      </c>
      <c r="G2572" s="360" t="s">
        <v>300</v>
      </c>
      <c r="H2572" s="144">
        <f>bargiri[[#This Row],[میزان بارگیری شده]]*bargiri[[#This Row],[فی]]</f>
        <v>1172275000</v>
      </c>
      <c r="I2572" s="360">
        <f>IF(year=bargiri[[#This Row],[سال]],1,0)</f>
        <v>0</v>
      </c>
      <c r="J2572" s="360" t="str">
        <f>VLOOKUP(bargiri[[#This Row],[شماره پیش فاکتور]],invoice[],16,0)</f>
        <v>عادی</v>
      </c>
      <c r="K2572" s="252">
        <f>bargiri[[#This Row],[فی]]*bargiri[[#This Row],[میزان بارگیری شده]]</f>
        <v>1172275000</v>
      </c>
    </row>
    <row r="2573" spans="1:11" ht="18.600000000000001">
      <c r="A2573" s="360" t="s">
        <v>421</v>
      </c>
      <c r="B2573" s="360" t="s">
        <v>106</v>
      </c>
      <c r="C2573" s="355" t="s">
        <v>48</v>
      </c>
      <c r="D2573">
        <v>20120</v>
      </c>
      <c r="E2573" s="143">
        <v>65000</v>
      </c>
      <c r="F2573" s="117">
        <v>1403</v>
      </c>
      <c r="G2573" s="360" t="s">
        <v>300</v>
      </c>
      <c r="H2573" s="144">
        <f>bargiri[[#This Row],[میزان بارگیری شده]]*bargiri[[#This Row],[فی]]</f>
        <v>1307800000</v>
      </c>
      <c r="I2573" s="360">
        <f>IF(year=bargiri[[#This Row],[سال]],1,0)</f>
        <v>0</v>
      </c>
      <c r="J2573" s="360" t="str">
        <f>VLOOKUP(bargiri[[#This Row],[شماره پیش فاکتور]],invoice[],16,0)</f>
        <v>عادی</v>
      </c>
      <c r="K2573" s="252">
        <f>bargiri[[#This Row],[فی]]*bargiri[[#This Row],[میزان بارگیری شده]]</f>
        <v>1307800000</v>
      </c>
    </row>
    <row r="2574" spans="1:11" ht="18.600000000000001">
      <c r="A2574" s="360" t="s">
        <v>422</v>
      </c>
      <c r="B2574" s="360" t="s">
        <v>116</v>
      </c>
      <c r="C2574" s="355" t="s">
        <v>77</v>
      </c>
      <c r="D2574">
        <v>18095</v>
      </c>
      <c r="E2574" s="143">
        <v>68500</v>
      </c>
      <c r="F2574" s="117">
        <v>1403</v>
      </c>
      <c r="G2574" s="360" t="s">
        <v>300</v>
      </c>
      <c r="H2574" s="144">
        <f>bargiri[[#This Row],[میزان بارگیری شده]]*bargiri[[#This Row],[فی]]</f>
        <v>1239507500</v>
      </c>
      <c r="I2574" s="360">
        <f>IF(year=bargiri[[#This Row],[سال]],1,0)</f>
        <v>0</v>
      </c>
      <c r="J2574" s="360" t="str">
        <f>VLOOKUP(bargiri[[#This Row],[شماره پیش فاکتور]],invoice[],16,0)</f>
        <v>عادی</v>
      </c>
      <c r="K2574" s="252">
        <f>bargiri[[#This Row],[فی]]*bargiri[[#This Row],[میزان بارگیری شده]]</f>
        <v>1239507500</v>
      </c>
    </row>
    <row r="2575" spans="1:11" ht="18.600000000000001">
      <c r="A2575" s="360" t="s">
        <v>422</v>
      </c>
      <c r="B2575" s="360" t="s">
        <v>124</v>
      </c>
      <c r="C2575" s="355" t="s">
        <v>94</v>
      </c>
      <c r="D2575">
        <v>22120</v>
      </c>
      <c r="E2575" s="143">
        <v>70000</v>
      </c>
      <c r="F2575" s="117">
        <v>1403</v>
      </c>
      <c r="G2575" s="360" t="s">
        <v>300</v>
      </c>
      <c r="H2575" s="144">
        <f>bargiri[[#This Row],[میزان بارگیری شده]]*bargiri[[#This Row],[فی]]</f>
        <v>1548400000</v>
      </c>
      <c r="I2575" s="360">
        <f>IF(year=bargiri[[#This Row],[سال]],1,0)</f>
        <v>0</v>
      </c>
      <c r="J2575" s="360" t="str">
        <f>VLOOKUP(bargiri[[#This Row],[شماره پیش فاکتور]],invoice[],16,0)</f>
        <v>عادی</v>
      </c>
      <c r="K2575" s="252">
        <f>bargiri[[#This Row],[فی]]*bargiri[[#This Row],[میزان بارگیری شده]]</f>
        <v>1548400000</v>
      </c>
    </row>
    <row r="2576" spans="1:11" ht="18.600000000000001">
      <c r="A2576" s="360" t="s">
        <v>422</v>
      </c>
      <c r="B2576" s="360" t="s">
        <v>106</v>
      </c>
      <c r="C2576" s="355" t="s">
        <v>48</v>
      </c>
      <c r="D2576">
        <v>20205</v>
      </c>
      <c r="E2576" s="143">
        <v>65000</v>
      </c>
      <c r="F2576" s="117">
        <v>1403</v>
      </c>
      <c r="G2576" s="360" t="s">
        <v>300</v>
      </c>
      <c r="H2576" s="144">
        <f>bargiri[[#This Row],[میزان بارگیری شده]]*bargiri[[#This Row],[فی]]</f>
        <v>1313325000</v>
      </c>
      <c r="I2576" s="360">
        <f>IF(year=bargiri[[#This Row],[سال]],1,0)</f>
        <v>0</v>
      </c>
      <c r="J2576" s="360" t="str">
        <f>VLOOKUP(bargiri[[#This Row],[شماره پیش فاکتور]],invoice[],16,0)</f>
        <v>عادی</v>
      </c>
      <c r="K2576" s="252">
        <f>bargiri[[#This Row],[فی]]*bargiri[[#This Row],[میزان بارگیری شده]]</f>
        <v>1313325000</v>
      </c>
    </row>
    <row r="2577" spans="1:11" ht="18.600000000000001">
      <c r="A2577" s="360" t="s">
        <v>422</v>
      </c>
      <c r="B2577" s="360" t="s">
        <v>102</v>
      </c>
      <c r="C2577" s="355" t="s">
        <v>26</v>
      </c>
      <c r="D2577">
        <v>11255</v>
      </c>
      <c r="E2577" s="143">
        <v>70000</v>
      </c>
      <c r="F2577" s="117">
        <v>1403</v>
      </c>
      <c r="G2577" s="360" t="s">
        <v>300</v>
      </c>
      <c r="H2577" s="144">
        <f>bargiri[[#This Row],[میزان بارگیری شده]]*bargiri[[#This Row],[فی]]</f>
        <v>787850000</v>
      </c>
      <c r="I2577" s="360">
        <f>IF(year=bargiri[[#This Row],[سال]],1,0)</f>
        <v>0</v>
      </c>
      <c r="J2577" s="360" t="str">
        <f>VLOOKUP(bargiri[[#This Row],[شماره پیش فاکتور]],invoice[],16,0)</f>
        <v>عادی</v>
      </c>
      <c r="K2577" s="252">
        <f>bargiri[[#This Row],[فی]]*bargiri[[#This Row],[میزان بارگیری شده]]</f>
        <v>787850000</v>
      </c>
    </row>
    <row r="2578" spans="1:11" ht="18.600000000000001">
      <c r="A2578" s="360" t="s">
        <v>422</v>
      </c>
      <c r="B2578" s="360" t="s">
        <v>116</v>
      </c>
      <c r="C2578" s="355" t="s">
        <v>77</v>
      </c>
      <c r="D2578">
        <v>20645</v>
      </c>
      <c r="E2578" s="143">
        <v>68500</v>
      </c>
      <c r="F2578" s="117">
        <v>1403</v>
      </c>
      <c r="G2578" s="360" t="s">
        <v>300</v>
      </c>
      <c r="H2578" s="144">
        <f>bargiri[[#This Row],[میزان بارگیری شده]]*bargiri[[#This Row],[فی]]</f>
        <v>1414182500</v>
      </c>
      <c r="I2578" s="360">
        <f>IF(year=bargiri[[#This Row],[سال]],1,0)</f>
        <v>0</v>
      </c>
      <c r="J2578" s="360" t="str">
        <f>VLOOKUP(bargiri[[#This Row],[شماره پیش فاکتور]],invoice[],16,0)</f>
        <v>عادی</v>
      </c>
      <c r="K2578" s="252">
        <f>bargiri[[#This Row],[فی]]*bargiri[[#This Row],[میزان بارگیری شده]]</f>
        <v>1414182500</v>
      </c>
    </row>
    <row r="2579" spans="1:11" ht="18.600000000000001">
      <c r="A2579" s="360" t="s">
        <v>422</v>
      </c>
      <c r="B2579" s="360" t="s">
        <v>107</v>
      </c>
      <c r="C2579" s="355" t="s">
        <v>50</v>
      </c>
      <c r="D2579">
        <v>19105</v>
      </c>
      <c r="E2579" s="143">
        <v>70000</v>
      </c>
      <c r="F2579" s="117">
        <v>1403</v>
      </c>
      <c r="G2579" s="360" t="s">
        <v>300</v>
      </c>
      <c r="H2579" s="144">
        <f>bargiri[[#This Row],[میزان بارگیری شده]]*bargiri[[#This Row],[فی]]</f>
        <v>1337350000</v>
      </c>
      <c r="I2579" s="360">
        <f>IF(year=bargiri[[#This Row],[سال]],1,0)</f>
        <v>0</v>
      </c>
      <c r="J2579" s="360" t="str">
        <f>VLOOKUP(bargiri[[#This Row],[شماره پیش فاکتور]],invoice[],16,0)</f>
        <v>عادی</v>
      </c>
      <c r="K2579" s="252">
        <f>bargiri[[#This Row],[فی]]*bargiri[[#This Row],[میزان بارگیری شده]]</f>
        <v>1337350000</v>
      </c>
    </row>
    <row r="2580" spans="1:11" ht="18.600000000000001">
      <c r="A2580" s="360" t="s">
        <v>175</v>
      </c>
      <c r="B2580" s="360" t="s">
        <v>116</v>
      </c>
      <c r="C2580" s="355" t="s">
        <v>77</v>
      </c>
      <c r="D2580">
        <v>20045</v>
      </c>
      <c r="E2580" s="143">
        <v>68500</v>
      </c>
      <c r="F2580" s="117">
        <v>1403</v>
      </c>
      <c r="G2580" s="360" t="s">
        <v>300</v>
      </c>
      <c r="H2580" s="144">
        <f>bargiri[[#This Row],[میزان بارگیری شده]]*bargiri[[#This Row],[فی]]</f>
        <v>1373082500</v>
      </c>
      <c r="I2580" s="360">
        <f>IF(year=bargiri[[#This Row],[سال]],1,0)</f>
        <v>0</v>
      </c>
      <c r="J2580" s="360" t="str">
        <f>VLOOKUP(bargiri[[#This Row],[شماره پیش فاکتور]],invoice[],16,0)</f>
        <v>عادی</v>
      </c>
      <c r="K2580" s="252">
        <f>bargiri[[#This Row],[فی]]*bargiri[[#This Row],[میزان بارگیری شده]]</f>
        <v>1373082500</v>
      </c>
    </row>
    <row r="2581" spans="1:11" ht="18.600000000000001">
      <c r="A2581" s="360" t="s">
        <v>423</v>
      </c>
      <c r="B2581" s="360" t="s">
        <v>107</v>
      </c>
      <c r="C2581" s="355" t="s">
        <v>50</v>
      </c>
      <c r="D2581">
        <v>19115</v>
      </c>
      <c r="E2581" s="143">
        <v>70000</v>
      </c>
      <c r="F2581" s="117">
        <v>1403</v>
      </c>
      <c r="G2581" s="360" t="s">
        <v>300</v>
      </c>
      <c r="H2581" s="144">
        <f>bargiri[[#This Row],[میزان بارگیری شده]]*bargiri[[#This Row],[فی]]</f>
        <v>1338050000</v>
      </c>
      <c r="I2581" s="360">
        <f>IF(year=bargiri[[#This Row],[سال]],1,0)</f>
        <v>0</v>
      </c>
      <c r="J2581" s="360" t="str">
        <f>VLOOKUP(bargiri[[#This Row],[شماره پیش فاکتور]],invoice[],16,0)</f>
        <v>عادی</v>
      </c>
      <c r="K2581" s="252">
        <f>bargiri[[#This Row],[فی]]*bargiri[[#This Row],[میزان بارگیری شده]]</f>
        <v>1338050000</v>
      </c>
    </row>
    <row r="2582" spans="1:11" ht="18.600000000000001">
      <c r="A2582" s="360" t="s">
        <v>175</v>
      </c>
      <c r="B2582" s="360" t="s">
        <v>99</v>
      </c>
      <c r="C2582" s="355" t="s">
        <v>13</v>
      </c>
      <c r="D2582">
        <v>18690</v>
      </c>
      <c r="E2582" s="143">
        <v>65000</v>
      </c>
      <c r="F2582" s="117">
        <v>1403</v>
      </c>
      <c r="G2582" s="360" t="s">
        <v>300</v>
      </c>
      <c r="H2582" s="144">
        <f>bargiri[[#This Row],[میزان بارگیری شده]]*bargiri[[#This Row],[فی]]</f>
        <v>1214850000</v>
      </c>
      <c r="I2582" s="360">
        <f>IF(year=bargiri[[#This Row],[سال]],1,0)</f>
        <v>0</v>
      </c>
      <c r="J2582" s="360" t="str">
        <f>VLOOKUP(bargiri[[#This Row],[شماره پیش فاکتور]],invoice[],16,0)</f>
        <v>عادی</v>
      </c>
      <c r="K2582" s="252">
        <f>bargiri[[#This Row],[فی]]*bargiri[[#This Row],[میزان بارگیری شده]]</f>
        <v>1214850000</v>
      </c>
    </row>
    <row r="2583" spans="1:11" ht="18.600000000000001">
      <c r="A2583" s="360" t="s">
        <v>175</v>
      </c>
      <c r="B2583" s="360" t="s">
        <v>102</v>
      </c>
      <c r="C2583" s="355" t="s">
        <v>26</v>
      </c>
      <c r="D2583">
        <v>11325</v>
      </c>
      <c r="E2583" s="143">
        <v>70000</v>
      </c>
      <c r="F2583" s="117">
        <v>1403</v>
      </c>
      <c r="G2583" s="360" t="s">
        <v>300</v>
      </c>
      <c r="H2583" s="144">
        <f>bargiri[[#This Row],[میزان بارگیری شده]]*bargiri[[#This Row],[فی]]</f>
        <v>792750000</v>
      </c>
      <c r="I2583" s="360">
        <f>IF(year=bargiri[[#This Row],[سال]],1,0)</f>
        <v>0</v>
      </c>
      <c r="J2583" s="360" t="str">
        <f>VLOOKUP(bargiri[[#This Row],[شماره پیش فاکتور]],invoice[],16,0)</f>
        <v>عادی</v>
      </c>
      <c r="K2583" s="252">
        <f>bargiri[[#This Row],[فی]]*bargiri[[#This Row],[میزان بارگیری شده]]</f>
        <v>792750000</v>
      </c>
    </row>
    <row r="2584" spans="1:11" ht="18.600000000000001">
      <c r="A2584" s="360" t="s">
        <v>175</v>
      </c>
      <c r="B2584" s="360" t="s">
        <v>119</v>
      </c>
      <c r="C2584" s="355" t="s">
        <v>87</v>
      </c>
      <c r="D2584">
        <v>20270</v>
      </c>
      <c r="E2584" s="143">
        <v>75000</v>
      </c>
      <c r="F2584" s="117">
        <v>1403</v>
      </c>
      <c r="G2584" s="360" t="s">
        <v>300</v>
      </c>
      <c r="H2584" s="144">
        <f>bargiri[[#This Row],[میزان بارگیری شده]]*bargiri[[#This Row],[فی]]</f>
        <v>1520250000</v>
      </c>
      <c r="I2584" s="360">
        <f>IF(year=bargiri[[#This Row],[سال]],1,0)</f>
        <v>0</v>
      </c>
      <c r="J2584" s="360" t="str">
        <f>VLOOKUP(bargiri[[#This Row],[شماره پیش فاکتور]],invoice[],16,0)</f>
        <v>بورس</v>
      </c>
      <c r="K2584" s="252">
        <f>bargiri[[#This Row],[فی]]*bargiri[[#This Row],[میزان بارگیری شده]]</f>
        <v>1520250000</v>
      </c>
    </row>
    <row r="2585" spans="1:11" ht="18.600000000000001">
      <c r="A2585" s="360" t="s">
        <v>175</v>
      </c>
      <c r="B2585" s="360" t="s">
        <v>106</v>
      </c>
      <c r="C2585" s="355" t="s">
        <v>48</v>
      </c>
      <c r="D2585">
        <v>23215</v>
      </c>
      <c r="E2585" s="143">
        <v>65000</v>
      </c>
      <c r="F2585" s="117">
        <v>1403</v>
      </c>
      <c r="G2585" s="360" t="s">
        <v>300</v>
      </c>
      <c r="H2585" s="144">
        <f>bargiri[[#This Row],[میزان بارگیری شده]]*bargiri[[#This Row],[فی]]</f>
        <v>1508975000</v>
      </c>
      <c r="I2585" s="360">
        <f>IF(year=bargiri[[#This Row],[سال]],1,0)</f>
        <v>0</v>
      </c>
      <c r="J2585" s="360" t="str">
        <f>VLOOKUP(bargiri[[#This Row],[شماره پیش فاکتور]],invoice[],16,0)</f>
        <v>عادی</v>
      </c>
      <c r="K2585" s="252">
        <f>bargiri[[#This Row],[فی]]*bargiri[[#This Row],[میزان بارگیری شده]]</f>
        <v>1508975000</v>
      </c>
    </row>
    <row r="2586" spans="1:11" ht="18.600000000000001">
      <c r="A2586" s="360" t="s">
        <v>396</v>
      </c>
      <c r="B2586" s="360" t="s">
        <v>116</v>
      </c>
      <c r="C2586" s="355" t="s">
        <v>77</v>
      </c>
      <c r="D2586">
        <v>21090</v>
      </c>
      <c r="E2586" s="143">
        <v>68500</v>
      </c>
      <c r="F2586" s="117">
        <v>1403</v>
      </c>
      <c r="G2586" s="360" t="s">
        <v>300</v>
      </c>
      <c r="H2586" s="144">
        <f>bargiri[[#This Row],[میزان بارگیری شده]]*bargiri[[#This Row],[فی]]</f>
        <v>1444665000</v>
      </c>
      <c r="I2586" s="360">
        <f>IF(year=bargiri[[#This Row],[سال]],1,0)</f>
        <v>0</v>
      </c>
      <c r="J2586" s="360" t="str">
        <f>VLOOKUP(bargiri[[#This Row],[شماره پیش فاکتور]],invoice[],16,0)</f>
        <v>عادی</v>
      </c>
      <c r="K2586" s="252">
        <f>bargiri[[#This Row],[فی]]*bargiri[[#This Row],[میزان بارگیری شده]]</f>
        <v>1444665000</v>
      </c>
    </row>
    <row r="2587" spans="1:11" ht="18.600000000000001">
      <c r="A2587" s="360" t="s">
        <v>424</v>
      </c>
      <c r="B2587" s="360" t="s">
        <v>116</v>
      </c>
      <c r="C2587" s="355" t="s">
        <v>77</v>
      </c>
      <c r="D2587">
        <v>21190</v>
      </c>
      <c r="E2587" s="143">
        <v>68500</v>
      </c>
      <c r="F2587" s="117">
        <v>1403</v>
      </c>
      <c r="G2587" s="360" t="s">
        <v>300</v>
      </c>
      <c r="H2587" s="144">
        <f>bargiri[[#This Row],[میزان بارگیری شده]]*bargiri[[#This Row],[فی]]</f>
        <v>1451515000</v>
      </c>
      <c r="I2587" s="360">
        <f>IF(year=bargiri[[#This Row],[سال]],1,0)</f>
        <v>0</v>
      </c>
      <c r="J2587" s="360" t="str">
        <f>VLOOKUP(bargiri[[#This Row],[شماره پیش فاکتور]],invoice[],16,0)</f>
        <v>عادی</v>
      </c>
      <c r="K2587" s="252">
        <f>bargiri[[#This Row],[فی]]*bargiri[[#This Row],[میزان بارگیری شده]]</f>
        <v>1451515000</v>
      </c>
    </row>
    <row r="2588" spans="1:11" ht="18.600000000000001">
      <c r="A2588" s="360" t="s">
        <v>425</v>
      </c>
      <c r="B2588" s="360" t="s">
        <v>116</v>
      </c>
      <c r="C2588" s="355" t="s">
        <v>77</v>
      </c>
      <c r="D2588">
        <v>20240</v>
      </c>
      <c r="E2588" s="143">
        <v>68500</v>
      </c>
      <c r="F2588" s="117">
        <v>1403</v>
      </c>
      <c r="G2588" s="360" t="s">
        <v>300</v>
      </c>
      <c r="H2588" s="144">
        <f>bargiri[[#This Row],[میزان بارگیری شده]]*bargiri[[#This Row],[فی]]</f>
        <v>1386440000</v>
      </c>
      <c r="I2588" s="360">
        <f>IF(year=bargiri[[#This Row],[سال]],1,0)</f>
        <v>0</v>
      </c>
      <c r="J2588" s="360" t="str">
        <f>VLOOKUP(bargiri[[#This Row],[شماره پیش فاکتور]],invoice[],16,0)</f>
        <v>عادی</v>
      </c>
      <c r="K2588" s="252">
        <f>bargiri[[#This Row],[فی]]*bargiri[[#This Row],[میزان بارگیری شده]]</f>
        <v>1386440000</v>
      </c>
    </row>
    <row r="2589" spans="1:11" ht="18.600000000000001">
      <c r="A2589" s="360" t="s">
        <v>425</v>
      </c>
      <c r="B2589" s="360" t="s">
        <v>116</v>
      </c>
      <c r="C2589" s="355" t="s">
        <v>76</v>
      </c>
      <c r="D2589">
        <v>10040</v>
      </c>
      <c r="E2589" s="143">
        <v>75000</v>
      </c>
      <c r="F2589" s="117">
        <v>1403</v>
      </c>
      <c r="G2589" s="360" t="s">
        <v>300</v>
      </c>
      <c r="H2589" s="144">
        <f>bargiri[[#This Row],[میزان بارگیری شده]]*bargiri[[#This Row],[فی]]</f>
        <v>753000000</v>
      </c>
      <c r="I2589" s="360">
        <f>IF(year=bargiri[[#This Row],[سال]],1,0)</f>
        <v>0</v>
      </c>
      <c r="J2589" s="360" t="str">
        <f>VLOOKUP(bargiri[[#This Row],[شماره پیش فاکتور]],invoice[],16,0)</f>
        <v>بورس</v>
      </c>
      <c r="K2589" s="252">
        <f>bargiri[[#This Row],[فی]]*bargiri[[#This Row],[میزان بارگیری شده]]</f>
        <v>753000000</v>
      </c>
    </row>
    <row r="2590" spans="1:11" ht="18.600000000000001">
      <c r="A2590" s="360" t="s">
        <v>425</v>
      </c>
      <c r="B2590" s="360" t="s">
        <v>116</v>
      </c>
      <c r="C2590" s="355" t="s">
        <v>77</v>
      </c>
      <c r="D2590">
        <v>20245</v>
      </c>
      <c r="E2590" s="143">
        <v>68500</v>
      </c>
      <c r="F2590" s="117">
        <v>1403</v>
      </c>
      <c r="G2590" s="360" t="s">
        <v>300</v>
      </c>
      <c r="H2590" s="144">
        <f>bargiri[[#This Row],[میزان بارگیری شده]]*bargiri[[#This Row],[فی]]</f>
        <v>1386782500</v>
      </c>
      <c r="I2590" s="360">
        <f>IF(year=bargiri[[#This Row],[سال]],1,0)</f>
        <v>0</v>
      </c>
      <c r="J2590" s="360" t="str">
        <f>VLOOKUP(bargiri[[#This Row],[شماره پیش فاکتور]],invoice[],16,0)</f>
        <v>عادی</v>
      </c>
      <c r="K2590" s="252">
        <f>bargiri[[#This Row],[فی]]*bargiri[[#This Row],[میزان بارگیری شده]]</f>
        <v>1386782500</v>
      </c>
    </row>
    <row r="2591" spans="1:11" ht="18.600000000000001">
      <c r="A2591" s="360" t="s">
        <v>426</v>
      </c>
      <c r="B2591" s="360" t="s">
        <v>116</v>
      </c>
      <c r="C2591" s="355" t="s">
        <v>77</v>
      </c>
      <c r="D2591">
        <v>16690</v>
      </c>
      <c r="E2591" s="143">
        <v>68500</v>
      </c>
      <c r="F2591" s="117">
        <v>1403</v>
      </c>
      <c r="G2591" s="360" t="s">
        <v>300</v>
      </c>
      <c r="H2591" s="144">
        <f>bargiri[[#This Row],[میزان بارگیری شده]]*bargiri[[#This Row],[فی]]</f>
        <v>1143265000</v>
      </c>
      <c r="I2591" s="360">
        <f>IF(year=bargiri[[#This Row],[سال]],1,0)</f>
        <v>0</v>
      </c>
      <c r="J2591" s="360" t="str">
        <f>VLOOKUP(bargiri[[#This Row],[شماره پیش فاکتور]],invoice[],16,0)</f>
        <v>عادی</v>
      </c>
      <c r="K2591" s="252">
        <f>bargiri[[#This Row],[فی]]*bargiri[[#This Row],[میزان بارگیری شده]]</f>
        <v>1143265000</v>
      </c>
    </row>
    <row r="2592" spans="1:11" ht="18.600000000000001">
      <c r="A2592" s="360" t="s">
        <v>397</v>
      </c>
      <c r="B2592" s="360" t="s">
        <v>98</v>
      </c>
      <c r="C2592" s="355" t="s">
        <v>11</v>
      </c>
      <c r="D2592">
        <v>22255</v>
      </c>
      <c r="E2592" s="143">
        <v>77000</v>
      </c>
      <c r="F2592" s="117">
        <v>1403</v>
      </c>
      <c r="G2592" s="360" t="s">
        <v>300</v>
      </c>
      <c r="H2592" s="144">
        <f>bargiri[[#This Row],[میزان بارگیری شده]]*bargiri[[#This Row],[فی]]</f>
        <v>1713635000</v>
      </c>
      <c r="I2592" s="360">
        <f>IF(year=bargiri[[#This Row],[سال]],1,0)</f>
        <v>0</v>
      </c>
      <c r="J2592" s="360" t="str">
        <f>VLOOKUP(bargiri[[#This Row],[شماره پیش فاکتور]],invoice[],16,0)</f>
        <v>عادی</v>
      </c>
      <c r="K2592" s="252">
        <f>bargiri[[#This Row],[فی]]*bargiri[[#This Row],[میزان بارگیری شده]]</f>
        <v>1713635000</v>
      </c>
    </row>
    <row r="2593" spans="1:11" ht="18.600000000000001">
      <c r="A2593" s="360" t="s">
        <v>427</v>
      </c>
      <c r="B2593" s="360" t="s">
        <v>99</v>
      </c>
      <c r="C2593" s="355" t="s">
        <v>13</v>
      </c>
      <c r="D2593">
        <v>18480</v>
      </c>
      <c r="E2593" s="143">
        <v>65000</v>
      </c>
      <c r="F2593" s="117">
        <v>1403</v>
      </c>
      <c r="G2593" s="360" t="s">
        <v>300</v>
      </c>
      <c r="H2593" s="144">
        <f>bargiri[[#This Row],[میزان بارگیری شده]]*bargiri[[#This Row],[فی]]</f>
        <v>1201200000</v>
      </c>
      <c r="I2593" s="360">
        <f>IF(year=bargiri[[#This Row],[سال]],1,0)</f>
        <v>0</v>
      </c>
      <c r="J2593" s="360" t="str">
        <f>VLOOKUP(bargiri[[#This Row],[شماره پیش فاکتور]],invoice[],16,0)</f>
        <v>عادی</v>
      </c>
      <c r="K2593" s="252">
        <f>bargiri[[#This Row],[فی]]*bargiri[[#This Row],[میزان بارگیری شده]]</f>
        <v>1201200000</v>
      </c>
    </row>
    <row r="2594" spans="1:11" ht="18.600000000000001">
      <c r="A2594" s="360" t="s">
        <v>426</v>
      </c>
      <c r="B2594" s="360" t="s">
        <v>106</v>
      </c>
      <c r="C2594" s="355" t="s">
        <v>48</v>
      </c>
      <c r="D2594">
        <v>19695</v>
      </c>
      <c r="E2594" s="143">
        <v>65000</v>
      </c>
      <c r="F2594" s="117">
        <v>1403</v>
      </c>
      <c r="G2594" s="360" t="s">
        <v>300</v>
      </c>
      <c r="H2594" s="144">
        <f>bargiri[[#This Row],[میزان بارگیری شده]]*bargiri[[#This Row],[فی]]</f>
        <v>1280175000</v>
      </c>
      <c r="I2594" s="360">
        <f>IF(year=bargiri[[#This Row],[سال]],1,0)</f>
        <v>0</v>
      </c>
      <c r="J2594" s="360" t="str">
        <f>VLOOKUP(bargiri[[#This Row],[شماره پیش فاکتور]],invoice[],16,0)</f>
        <v>عادی</v>
      </c>
      <c r="K2594" s="252">
        <f>bargiri[[#This Row],[فی]]*bargiri[[#This Row],[میزان بارگیری شده]]</f>
        <v>1280175000</v>
      </c>
    </row>
    <row r="2595" spans="1:11" ht="18.600000000000001">
      <c r="A2595" s="360" t="s">
        <v>428</v>
      </c>
      <c r="B2595" s="360" t="s">
        <v>106</v>
      </c>
      <c r="C2595" s="355" t="s">
        <v>48</v>
      </c>
      <c r="D2595">
        <v>20220</v>
      </c>
      <c r="E2595" s="143">
        <v>65000</v>
      </c>
      <c r="F2595" s="117">
        <v>1403</v>
      </c>
      <c r="G2595" s="360" t="s">
        <v>301</v>
      </c>
      <c r="H2595" s="144">
        <f>bargiri[[#This Row],[میزان بارگیری شده]]*bargiri[[#This Row],[فی]]</f>
        <v>1314300000</v>
      </c>
      <c r="I2595" s="360">
        <f>IF(year=bargiri[[#This Row],[سال]],1,0)</f>
        <v>0</v>
      </c>
      <c r="J2595" s="360" t="str">
        <f>VLOOKUP(bargiri[[#This Row],[شماره پیش فاکتور]],invoice[],16,0)</f>
        <v>عادی</v>
      </c>
      <c r="K2595" s="252">
        <f>bargiri[[#This Row],[فی]]*bargiri[[#This Row],[میزان بارگیری شده]]</f>
        <v>1314300000</v>
      </c>
    </row>
    <row r="2596" spans="1:11" ht="18.600000000000001">
      <c r="A2596" s="360" t="s">
        <v>181</v>
      </c>
      <c r="B2596" s="360" t="s">
        <v>106</v>
      </c>
      <c r="C2596" s="355" t="s">
        <v>48</v>
      </c>
      <c r="D2596">
        <v>20055</v>
      </c>
      <c r="E2596" s="143">
        <v>65000</v>
      </c>
      <c r="F2596" s="117">
        <v>1403</v>
      </c>
      <c r="G2596" s="360" t="s">
        <v>301</v>
      </c>
      <c r="H2596" s="144">
        <f>bargiri[[#This Row],[میزان بارگیری شده]]*bargiri[[#This Row],[فی]]</f>
        <v>1303575000</v>
      </c>
      <c r="I2596" s="360">
        <f>IF(year=bargiri[[#This Row],[سال]],1,0)</f>
        <v>0</v>
      </c>
      <c r="J2596" s="360" t="str">
        <f>VLOOKUP(bargiri[[#This Row],[شماره پیش فاکتور]],invoice[],16,0)</f>
        <v>عادی</v>
      </c>
      <c r="K2596" s="252">
        <f>bargiri[[#This Row],[فی]]*bargiri[[#This Row],[میزان بارگیری شده]]</f>
        <v>1303575000</v>
      </c>
    </row>
    <row r="2597" spans="1:11" ht="18.600000000000001">
      <c r="A2597" s="360" t="s">
        <v>429</v>
      </c>
      <c r="B2597" s="360" t="s">
        <v>106</v>
      </c>
      <c r="C2597" s="355" t="s">
        <v>48</v>
      </c>
      <c r="D2597">
        <v>20115</v>
      </c>
      <c r="E2597" s="143">
        <v>65000</v>
      </c>
      <c r="F2597" s="117">
        <v>1403</v>
      </c>
      <c r="G2597" s="360" t="s">
        <v>301</v>
      </c>
      <c r="H2597" s="144">
        <f>bargiri[[#This Row],[میزان بارگیری شده]]*bargiri[[#This Row],[فی]]</f>
        <v>1307475000</v>
      </c>
      <c r="I2597" s="360">
        <f>IF(year=bargiri[[#This Row],[سال]],1,0)</f>
        <v>0</v>
      </c>
      <c r="J2597" s="360" t="str">
        <f>VLOOKUP(bargiri[[#This Row],[شماره پیش فاکتور]],invoice[],16,0)</f>
        <v>عادی</v>
      </c>
      <c r="K2597" s="252">
        <f>bargiri[[#This Row],[فی]]*bargiri[[#This Row],[میزان بارگیری شده]]</f>
        <v>1307475000</v>
      </c>
    </row>
    <row r="2598" spans="1:11" ht="18.600000000000001">
      <c r="A2598" s="360" t="s">
        <v>430</v>
      </c>
      <c r="B2598" s="360" t="s">
        <v>106</v>
      </c>
      <c r="C2598" s="355" t="s">
        <v>48</v>
      </c>
      <c r="D2598">
        <v>20140</v>
      </c>
      <c r="E2598" s="143">
        <v>65000</v>
      </c>
      <c r="F2598" s="117">
        <v>1403</v>
      </c>
      <c r="G2598" s="360" t="s">
        <v>301</v>
      </c>
      <c r="H2598" s="144">
        <f>bargiri[[#This Row],[میزان بارگیری شده]]*bargiri[[#This Row],[فی]]</f>
        <v>1309100000</v>
      </c>
      <c r="I2598" s="360">
        <f>IF(year=bargiri[[#This Row],[سال]],1,0)</f>
        <v>0</v>
      </c>
      <c r="J2598" s="360" t="str">
        <f>VLOOKUP(bargiri[[#This Row],[شماره پیش فاکتور]],invoice[],16,0)</f>
        <v>عادی</v>
      </c>
      <c r="K2598" s="252">
        <f>bargiri[[#This Row],[فی]]*bargiri[[#This Row],[میزان بارگیری شده]]</f>
        <v>1309100000</v>
      </c>
    </row>
    <row r="2599" spans="1:11" ht="18.600000000000001">
      <c r="A2599" s="360" t="s">
        <v>431</v>
      </c>
      <c r="B2599" s="360" t="s">
        <v>99</v>
      </c>
      <c r="C2599" s="355" t="s">
        <v>13</v>
      </c>
      <c r="D2599">
        <v>20635</v>
      </c>
      <c r="E2599" s="143">
        <v>65000</v>
      </c>
      <c r="F2599" s="117">
        <v>1403</v>
      </c>
      <c r="G2599" s="360" t="s">
        <v>300</v>
      </c>
      <c r="H2599" s="144">
        <f>bargiri[[#This Row],[میزان بارگیری شده]]*bargiri[[#This Row],[فی]]</f>
        <v>1341275000</v>
      </c>
      <c r="I2599" s="360">
        <f>IF(year=bargiri[[#This Row],[سال]],1,0)</f>
        <v>0</v>
      </c>
      <c r="J2599" s="360" t="str">
        <f>VLOOKUP(bargiri[[#This Row],[شماره پیش فاکتور]],invoice[],16,0)</f>
        <v>عادی</v>
      </c>
      <c r="K2599" s="252">
        <f>bargiri[[#This Row],[فی]]*bargiri[[#This Row],[میزان بارگیری شده]]</f>
        <v>1341275000</v>
      </c>
    </row>
    <row r="2600" spans="1:11" ht="18.600000000000001">
      <c r="A2600" s="360" t="s">
        <v>396</v>
      </c>
      <c r="B2600" s="360" t="s">
        <v>108</v>
      </c>
      <c r="C2600" s="355" t="s">
        <v>53</v>
      </c>
      <c r="D2600">
        <v>20160</v>
      </c>
      <c r="E2600" s="143">
        <v>70000</v>
      </c>
      <c r="F2600" s="117">
        <v>1403</v>
      </c>
      <c r="G2600" s="360" t="s">
        <v>300</v>
      </c>
      <c r="H2600" s="144">
        <f>bargiri[[#This Row],[میزان بارگیری شده]]*bargiri[[#This Row],[فی]]</f>
        <v>1411200000</v>
      </c>
      <c r="I2600" s="360">
        <f>IF(year=bargiri[[#This Row],[سال]],1,0)</f>
        <v>0</v>
      </c>
      <c r="J2600" s="360" t="str">
        <f>VLOOKUP(bargiri[[#This Row],[شماره پیش فاکتور]],invoice[],16,0)</f>
        <v>عادی</v>
      </c>
      <c r="K2600" s="252">
        <f>bargiri[[#This Row],[فی]]*bargiri[[#This Row],[میزان بارگیری شده]]</f>
        <v>1411200000</v>
      </c>
    </row>
    <row r="2601" spans="1:11" ht="18.600000000000001">
      <c r="A2601" s="360" t="s">
        <v>396</v>
      </c>
      <c r="B2601" s="360" t="s">
        <v>111</v>
      </c>
      <c r="C2601" s="355" t="s">
        <v>59</v>
      </c>
      <c r="D2601">
        <v>9440</v>
      </c>
      <c r="E2601" s="143">
        <v>80000</v>
      </c>
      <c r="F2601" s="117">
        <v>1403</v>
      </c>
      <c r="G2601" s="360" t="s">
        <v>300</v>
      </c>
      <c r="H2601" s="144">
        <f>bargiri[[#This Row],[میزان بارگیری شده]]*bargiri[[#This Row],[فی]]</f>
        <v>755200000</v>
      </c>
      <c r="I2601" s="360">
        <f>IF(year=bargiri[[#This Row],[سال]],1,0)</f>
        <v>0</v>
      </c>
      <c r="J2601" s="360" t="str">
        <f>VLOOKUP(bargiri[[#This Row],[شماره پیش فاکتور]],invoice[],16,0)</f>
        <v>عادی</v>
      </c>
      <c r="K2601" s="252">
        <f>bargiri[[#This Row],[فی]]*bargiri[[#This Row],[میزان بارگیری شده]]</f>
        <v>755200000</v>
      </c>
    </row>
    <row r="2602" spans="1:11" ht="18.600000000000001">
      <c r="A2602" s="360" t="s">
        <v>396</v>
      </c>
      <c r="B2602" s="360" t="s">
        <v>107</v>
      </c>
      <c r="C2602" s="355" t="s">
        <v>50</v>
      </c>
      <c r="D2602">
        <v>18940</v>
      </c>
      <c r="E2602" s="143">
        <v>70000</v>
      </c>
      <c r="F2602" s="117">
        <v>1403</v>
      </c>
      <c r="G2602" s="360" t="s">
        <v>300</v>
      </c>
      <c r="H2602" s="144">
        <f>bargiri[[#This Row],[میزان بارگیری شده]]*bargiri[[#This Row],[فی]]</f>
        <v>1325800000</v>
      </c>
      <c r="I2602" s="360">
        <f>IF(year=bargiri[[#This Row],[سال]],1,0)</f>
        <v>0</v>
      </c>
      <c r="J2602" s="360" t="str">
        <f>VLOOKUP(bargiri[[#This Row],[شماره پیش فاکتور]],invoice[],16,0)</f>
        <v>عادی</v>
      </c>
      <c r="K2602" s="252">
        <f>bargiri[[#This Row],[فی]]*bargiri[[#This Row],[میزان بارگیری شده]]</f>
        <v>1325800000</v>
      </c>
    </row>
    <row r="2603" spans="1:11" ht="18.600000000000001">
      <c r="A2603" s="360" t="s">
        <v>396</v>
      </c>
      <c r="B2603" s="360" t="s">
        <v>124</v>
      </c>
      <c r="C2603" s="355" t="s">
        <v>94</v>
      </c>
      <c r="D2603">
        <v>21085</v>
      </c>
      <c r="E2603" s="143">
        <v>70000</v>
      </c>
      <c r="F2603" s="117">
        <v>1403</v>
      </c>
      <c r="G2603" s="360" t="s">
        <v>300</v>
      </c>
      <c r="H2603" s="144">
        <f>bargiri[[#This Row],[میزان بارگیری شده]]*bargiri[[#This Row],[فی]]</f>
        <v>1475950000</v>
      </c>
      <c r="I2603" s="360">
        <f>IF(year=bargiri[[#This Row],[سال]],1,0)</f>
        <v>0</v>
      </c>
      <c r="J2603" s="360" t="str">
        <f>VLOOKUP(bargiri[[#This Row],[شماره پیش فاکتور]],invoice[],16,0)</f>
        <v>عادی</v>
      </c>
      <c r="K2603" s="252">
        <f>bargiri[[#This Row],[فی]]*bargiri[[#This Row],[میزان بارگیری شده]]</f>
        <v>1475950000</v>
      </c>
    </row>
    <row r="2604" spans="1:11" ht="18.600000000000001">
      <c r="A2604" s="360" t="s">
        <v>424</v>
      </c>
      <c r="B2604" s="360" t="s">
        <v>115</v>
      </c>
      <c r="C2604" s="355" t="s">
        <v>65</v>
      </c>
      <c r="D2604">
        <v>21935</v>
      </c>
      <c r="E2604" s="143">
        <v>75000</v>
      </c>
      <c r="F2604" s="117">
        <v>1403</v>
      </c>
      <c r="G2604" s="360" t="s">
        <v>300</v>
      </c>
      <c r="H2604" s="144">
        <f>bargiri[[#This Row],[میزان بارگیری شده]]*bargiri[[#This Row],[فی]]</f>
        <v>1645125000</v>
      </c>
      <c r="I2604" s="360">
        <f>IF(year=bargiri[[#This Row],[سال]],1,0)</f>
        <v>0</v>
      </c>
      <c r="J2604" s="360" t="str">
        <f>VLOOKUP(bargiri[[#This Row],[شماره پیش فاکتور]],invoice[],16,0)</f>
        <v>عادی</v>
      </c>
      <c r="K2604" s="252">
        <f>bargiri[[#This Row],[فی]]*bargiri[[#This Row],[میزان بارگیری شده]]</f>
        <v>1645125000</v>
      </c>
    </row>
    <row r="2605" spans="1:11" ht="18.600000000000001">
      <c r="A2605" s="360" t="s">
        <v>424</v>
      </c>
      <c r="B2605" s="360" t="s">
        <v>124</v>
      </c>
      <c r="C2605" s="355" t="s">
        <v>94</v>
      </c>
      <c r="D2605">
        <v>21325</v>
      </c>
      <c r="E2605" s="143">
        <v>70000</v>
      </c>
      <c r="F2605" s="117">
        <v>1403</v>
      </c>
      <c r="G2605" s="360" t="s">
        <v>300</v>
      </c>
      <c r="H2605" s="144">
        <f>bargiri[[#This Row],[میزان بارگیری شده]]*bargiri[[#This Row],[فی]]</f>
        <v>1492750000</v>
      </c>
      <c r="I2605" s="360">
        <f>IF(year=bargiri[[#This Row],[سال]],1,0)</f>
        <v>0</v>
      </c>
      <c r="J2605" s="360" t="str">
        <f>VLOOKUP(bargiri[[#This Row],[شماره پیش فاکتور]],invoice[],16,0)</f>
        <v>عادی</v>
      </c>
      <c r="K2605" s="252">
        <f>bargiri[[#This Row],[فی]]*bargiri[[#This Row],[میزان بارگیری شده]]</f>
        <v>1492750000</v>
      </c>
    </row>
    <row r="2606" spans="1:11" ht="18.600000000000001">
      <c r="A2606" s="360" t="s">
        <v>424</v>
      </c>
      <c r="B2606" s="360" t="s">
        <v>102</v>
      </c>
      <c r="C2606" s="355" t="s">
        <v>26</v>
      </c>
      <c r="D2606">
        <v>11075</v>
      </c>
      <c r="E2606" s="143">
        <v>70000</v>
      </c>
      <c r="F2606" s="117">
        <v>1403</v>
      </c>
      <c r="G2606" s="360" t="s">
        <v>300</v>
      </c>
      <c r="H2606" s="144">
        <f>bargiri[[#This Row],[میزان بارگیری شده]]*bargiri[[#This Row],[فی]]</f>
        <v>775250000</v>
      </c>
      <c r="I2606" s="360">
        <f>IF(year=bargiri[[#This Row],[سال]],1,0)</f>
        <v>0</v>
      </c>
      <c r="J2606" s="360" t="str">
        <f>VLOOKUP(bargiri[[#This Row],[شماره پیش فاکتور]],invoice[],16,0)</f>
        <v>عادی</v>
      </c>
      <c r="K2606" s="252">
        <f>bargiri[[#This Row],[فی]]*bargiri[[#This Row],[میزان بارگیری شده]]</f>
        <v>775250000</v>
      </c>
    </row>
    <row r="2607" spans="1:11" ht="18.600000000000001">
      <c r="A2607" s="360" t="s">
        <v>424</v>
      </c>
      <c r="B2607" s="360" t="s">
        <v>104</v>
      </c>
      <c r="C2607" s="355" t="s">
        <v>41</v>
      </c>
      <c r="D2607">
        <v>20510</v>
      </c>
      <c r="E2607" s="143">
        <v>85000</v>
      </c>
      <c r="F2607" s="117">
        <v>1403</v>
      </c>
      <c r="G2607" s="360" t="s">
        <v>300</v>
      </c>
      <c r="H2607" s="144">
        <f>bargiri[[#This Row],[میزان بارگیری شده]]*bargiri[[#This Row],[فی]]</f>
        <v>1743350000</v>
      </c>
      <c r="I2607" s="360">
        <f>IF(year=bargiri[[#This Row],[سال]],1,0)</f>
        <v>0</v>
      </c>
      <c r="J2607" s="360" t="str">
        <f>VLOOKUP(bargiri[[#This Row],[شماره پیش فاکتور]],invoice[],16,0)</f>
        <v>عادی</v>
      </c>
      <c r="K2607" s="252">
        <f>bargiri[[#This Row],[فی]]*bargiri[[#This Row],[میزان بارگیری شده]]</f>
        <v>1743350000</v>
      </c>
    </row>
    <row r="2608" spans="1:11" ht="18.600000000000001">
      <c r="A2608" s="360" t="s">
        <v>425</v>
      </c>
      <c r="B2608" s="360" t="s">
        <v>117</v>
      </c>
      <c r="C2608" s="355" t="s">
        <v>82</v>
      </c>
      <c r="D2608">
        <v>20170</v>
      </c>
      <c r="E2608" s="143">
        <v>70000</v>
      </c>
      <c r="F2608" s="117">
        <v>1403</v>
      </c>
      <c r="G2608" s="360" t="s">
        <v>300</v>
      </c>
      <c r="H2608" s="144">
        <f>bargiri[[#This Row],[میزان بارگیری شده]]*bargiri[[#This Row],[فی]]</f>
        <v>1411900000</v>
      </c>
      <c r="I2608" s="360">
        <f>IF(year=bargiri[[#This Row],[سال]],1,0)</f>
        <v>0</v>
      </c>
      <c r="J2608" s="360" t="str">
        <f>VLOOKUP(bargiri[[#This Row],[شماره پیش فاکتور]],invoice[],16,0)</f>
        <v>عادی</v>
      </c>
      <c r="K2608" s="252">
        <f>bargiri[[#This Row],[فی]]*bargiri[[#This Row],[میزان بارگیری شده]]</f>
        <v>1411900000</v>
      </c>
    </row>
    <row r="2609" spans="1:11" ht="18.600000000000001">
      <c r="A2609" s="360" t="s">
        <v>425</v>
      </c>
      <c r="B2609" s="360" t="s">
        <v>107</v>
      </c>
      <c r="C2609" s="355" t="s">
        <v>50</v>
      </c>
      <c r="D2609">
        <v>19115</v>
      </c>
      <c r="E2609" s="143">
        <v>70000</v>
      </c>
      <c r="F2609" s="117">
        <v>1403</v>
      </c>
      <c r="G2609" s="360" t="s">
        <v>300</v>
      </c>
      <c r="H2609" s="144">
        <f>bargiri[[#This Row],[میزان بارگیری شده]]*bargiri[[#This Row],[فی]]</f>
        <v>1338050000</v>
      </c>
      <c r="I2609" s="360">
        <f>IF(year=bargiri[[#This Row],[سال]],1,0)</f>
        <v>0</v>
      </c>
      <c r="J2609" s="360" t="str">
        <f>VLOOKUP(bargiri[[#This Row],[شماره پیش فاکتور]],invoice[],16,0)</f>
        <v>عادی</v>
      </c>
      <c r="K2609" s="252">
        <f>bargiri[[#This Row],[فی]]*bargiri[[#This Row],[میزان بارگیری شده]]</f>
        <v>1338050000</v>
      </c>
    </row>
    <row r="2610" spans="1:11" ht="18.600000000000001">
      <c r="A2610" s="360" t="s">
        <v>426</v>
      </c>
      <c r="B2610" s="360" t="s">
        <v>107</v>
      </c>
      <c r="C2610" s="355" t="s">
        <v>50</v>
      </c>
      <c r="D2610">
        <v>19105</v>
      </c>
      <c r="E2610" s="143">
        <v>70000</v>
      </c>
      <c r="F2610" s="117">
        <v>1403</v>
      </c>
      <c r="G2610" s="360" t="s">
        <v>300</v>
      </c>
      <c r="H2610" s="144">
        <f>bargiri[[#This Row],[میزان بارگیری شده]]*bargiri[[#This Row],[فی]]</f>
        <v>1337350000</v>
      </c>
      <c r="I2610" s="360">
        <f>IF(year=bargiri[[#This Row],[سال]],1,0)</f>
        <v>0</v>
      </c>
      <c r="J2610" s="360" t="str">
        <f>VLOOKUP(bargiri[[#This Row],[شماره پیش فاکتور]],invoice[],16,0)</f>
        <v>عادی</v>
      </c>
      <c r="K2610" s="252">
        <f>bargiri[[#This Row],[فی]]*bargiri[[#This Row],[میزان بارگیری شده]]</f>
        <v>1337350000</v>
      </c>
    </row>
    <row r="2611" spans="1:11" ht="18.600000000000001">
      <c r="A2611" s="360" t="s">
        <v>426</v>
      </c>
      <c r="B2611" s="360" t="s">
        <v>104</v>
      </c>
      <c r="C2611" s="355" t="s">
        <v>41</v>
      </c>
      <c r="D2611">
        <v>18250</v>
      </c>
      <c r="E2611" s="143">
        <v>85000</v>
      </c>
      <c r="F2611" s="117">
        <v>1403</v>
      </c>
      <c r="G2611" s="360" t="s">
        <v>300</v>
      </c>
      <c r="H2611" s="144">
        <f>bargiri[[#This Row],[میزان بارگیری شده]]*bargiri[[#This Row],[فی]]</f>
        <v>1551250000</v>
      </c>
      <c r="I2611" s="360">
        <f>IF(year=bargiri[[#This Row],[سال]],1,0)</f>
        <v>0</v>
      </c>
      <c r="J2611" s="360" t="str">
        <f>VLOOKUP(bargiri[[#This Row],[شماره پیش فاکتور]],invoice[],16,0)</f>
        <v>عادی</v>
      </c>
      <c r="K2611" s="252">
        <f>bargiri[[#This Row],[فی]]*bargiri[[#This Row],[میزان بارگیری شده]]</f>
        <v>1551250000</v>
      </c>
    </row>
    <row r="2612" spans="1:11" ht="18.600000000000001">
      <c r="A2612" s="360" t="s">
        <v>427</v>
      </c>
      <c r="B2612" s="360" t="s">
        <v>102</v>
      </c>
      <c r="C2612" s="355" t="s">
        <v>26</v>
      </c>
      <c r="D2612">
        <v>10115</v>
      </c>
      <c r="E2612" s="143">
        <v>70000</v>
      </c>
      <c r="F2612" s="117">
        <v>1403</v>
      </c>
      <c r="G2612" s="360" t="s">
        <v>300</v>
      </c>
      <c r="H2612" s="144">
        <f>bargiri[[#This Row],[میزان بارگیری شده]]*bargiri[[#This Row],[فی]]</f>
        <v>708050000</v>
      </c>
      <c r="I2612" s="360">
        <f>IF(year=bargiri[[#This Row],[سال]],1,0)</f>
        <v>0</v>
      </c>
      <c r="J2612" s="360" t="str">
        <f>VLOOKUP(bargiri[[#This Row],[شماره پیش فاکتور]],invoice[],16,0)</f>
        <v>عادی</v>
      </c>
      <c r="K2612" s="252">
        <f>bargiri[[#This Row],[فی]]*bargiri[[#This Row],[میزان بارگیری شده]]</f>
        <v>708050000</v>
      </c>
    </row>
    <row r="2613" spans="1:11" ht="18.600000000000001">
      <c r="A2613" s="360" t="s">
        <v>427</v>
      </c>
      <c r="B2613" s="360" t="s">
        <v>107</v>
      </c>
      <c r="C2613" s="355" t="s">
        <v>50</v>
      </c>
      <c r="D2613">
        <v>20135</v>
      </c>
      <c r="E2613" s="143">
        <v>70000</v>
      </c>
      <c r="F2613" s="117">
        <v>1403</v>
      </c>
      <c r="G2613" s="360" t="s">
        <v>300</v>
      </c>
      <c r="H2613" s="144">
        <f>bargiri[[#This Row],[میزان بارگیری شده]]*bargiri[[#This Row],[فی]]</f>
        <v>1409450000</v>
      </c>
      <c r="I2613" s="360">
        <f>IF(year=bargiri[[#This Row],[سال]],1,0)</f>
        <v>0</v>
      </c>
      <c r="J2613" s="360" t="str">
        <f>VLOOKUP(bargiri[[#This Row],[شماره پیش فاکتور]],invoice[],16,0)</f>
        <v>عادی</v>
      </c>
      <c r="K2613" s="252">
        <f>bargiri[[#This Row],[فی]]*bargiri[[#This Row],[میزان بارگیری شده]]</f>
        <v>1409450000</v>
      </c>
    </row>
    <row r="2614" spans="1:11" ht="18.600000000000001">
      <c r="A2614" s="360" t="s">
        <v>427</v>
      </c>
      <c r="B2614" s="360" t="s">
        <v>116</v>
      </c>
      <c r="C2614" s="355" t="s">
        <v>77</v>
      </c>
      <c r="D2614">
        <v>20270</v>
      </c>
      <c r="E2614" s="143">
        <v>68500</v>
      </c>
      <c r="F2614" s="117">
        <v>1403</v>
      </c>
      <c r="G2614" s="360" t="s">
        <v>300</v>
      </c>
      <c r="H2614" s="144">
        <f>bargiri[[#This Row],[میزان بارگیری شده]]*bargiri[[#This Row],[فی]]</f>
        <v>1388495000</v>
      </c>
      <c r="I2614" s="360">
        <f>IF(year=bargiri[[#This Row],[سال]],1,0)</f>
        <v>0</v>
      </c>
      <c r="J2614" s="360" t="str">
        <f>VLOOKUP(bargiri[[#This Row],[شماره پیش فاکتور]],invoice[],16,0)</f>
        <v>عادی</v>
      </c>
      <c r="K2614" s="252">
        <f>bargiri[[#This Row],[فی]]*bargiri[[#This Row],[میزان بارگیری شده]]</f>
        <v>1388495000</v>
      </c>
    </row>
    <row r="2615" spans="1:11" ht="18.600000000000001">
      <c r="A2615" s="360" t="s">
        <v>432</v>
      </c>
      <c r="B2615" s="360" t="s">
        <v>116</v>
      </c>
      <c r="C2615" s="355" t="s">
        <v>77</v>
      </c>
      <c r="D2615">
        <v>20130</v>
      </c>
      <c r="E2615" s="143">
        <v>68500</v>
      </c>
      <c r="F2615" s="117">
        <v>1403</v>
      </c>
      <c r="G2615" s="360" t="s">
        <v>301</v>
      </c>
      <c r="H2615" s="144">
        <f>bargiri[[#This Row],[میزان بارگیری شده]]*bargiri[[#This Row],[فی]]</f>
        <v>1378905000</v>
      </c>
      <c r="I2615" s="360">
        <f>IF(year=bargiri[[#This Row],[سال]],1,0)</f>
        <v>0</v>
      </c>
      <c r="J2615" s="360" t="str">
        <f>VLOOKUP(bargiri[[#This Row],[شماره پیش فاکتور]],invoice[],16,0)</f>
        <v>عادی</v>
      </c>
      <c r="K2615" s="252">
        <f>bargiri[[#This Row],[فی]]*bargiri[[#This Row],[میزان بارگیری شده]]</f>
        <v>1378905000</v>
      </c>
    </row>
    <row r="2616" spans="1:11" ht="18.600000000000001">
      <c r="A2616" s="360" t="s">
        <v>432</v>
      </c>
      <c r="B2616" s="360" t="s">
        <v>116</v>
      </c>
      <c r="C2616" s="355" t="s">
        <v>77</v>
      </c>
      <c r="D2616">
        <v>20120</v>
      </c>
      <c r="E2616" s="143">
        <v>68500</v>
      </c>
      <c r="F2616" s="117">
        <v>1403</v>
      </c>
      <c r="G2616" s="360" t="s">
        <v>301</v>
      </c>
      <c r="H2616" s="144">
        <f>bargiri[[#This Row],[میزان بارگیری شده]]*bargiri[[#This Row],[فی]]</f>
        <v>1378220000</v>
      </c>
      <c r="I2616" s="360">
        <f>IF(year=bargiri[[#This Row],[سال]],1,0)</f>
        <v>0</v>
      </c>
      <c r="J2616" s="360" t="str">
        <f>VLOOKUP(bargiri[[#This Row],[شماره پیش فاکتور]],invoice[],16,0)</f>
        <v>عادی</v>
      </c>
      <c r="K2616" s="252">
        <f>bargiri[[#This Row],[فی]]*bargiri[[#This Row],[میزان بارگیری شده]]</f>
        <v>1378220000</v>
      </c>
    </row>
    <row r="2617" spans="1:11" ht="18.600000000000001">
      <c r="A2617" s="360" t="s">
        <v>432</v>
      </c>
      <c r="B2617" s="360" t="s">
        <v>99</v>
      </c>
      <c r="C2617" s="355" t="s">
        <v>13</v>
      </c>
      <c r="D2617">
        <v>18415</v>
      </c>
      <c r="E2617" s="143">
        <v>65000</v>
      </c>
      <c r="F2617" s="117">
        <v>1403</v>
      </c>
      <c r="G2617" s="360" t="s">
        <v>301</v>
      </c>
      <c r="H2617" s="144">
        <f>bargiri[[#This Row],[میزان بارگیری شده]]*bargiri[[#This Row],[فی]]</f>
        <v>1196975000</v>
      </c>
      <c r="I2617" s="360">
        <f>IF(year=bargiri[[#This Row],[سال]],1,0)</f>
        <v>0</v>
      </c>
      <c r="J2617" s="360" t="str">
        <f>VLOOKUP(bargiri[[#This Row],[شماره پیش فاکتور]],invoice[],16,0)</f>
        <v>عادی</v>
      </c>
      <c r="K2617" s="252">
        <f>bargiri[[#This Row],[فی]]*bargiri[[#This Row],[میزان بارگیری شده]]</f>
        <v>1196975000</v>
      </c>
    </row>
    <row r="2618" spans="1:11" ht="18.600000000000001">
      <c r="A2618" s="360" t="s">
        <v>432</v>
      </c>
      <c r="B2618" s="360" t="s">
        <v>107</v>
      </c>
      <c r="C2618" s="355" t="s">
        <v>50</v>
      </c>
      <c r="D2618">
        <v>20120</v>
      </c>
      <c r="E2618" s="143">
        <v>70000</v>
      </c>
      <c r="F2618" s="117">
        <v>1403</v>
      </c>
      <c r="G2618" s="360" t="s">
        <v>301</v>
      </c>
      <c r="H2618" s="144">
        <f>bargiri[[#This Row],[میزان بارگیری شده]]*bargiri[[#This Row],[فی]]</f>
        <v>1408400000</v>
      </c>
      <c r="I2618" s="360">
        <f>IF(year=bargiri[[#This Row],[سال]],1,0)</f>
        <v>0</v>
      </c>
      <c r="J2618" s="360" t="str">
        <f>VLOOKUP(bargiri[[#This Row],[شماره پیش فاکتور]],invoice[],16,0)</f>
        <v>عادی</v>
      </c>
      <c r="K2618" s="252">
        <f>bargiri[[#This Row],[فی]]*bargiri[[#This Row],[میزان بارگیری شده]]</f>
        <v>1408400000</v>
      </c>
    </row>
    <row r="2619" spans="1:11" ht="18.600000000000001">
      <c r="A2619" s="360" t="s">
        <v>221</v>
      </c>
      <c r="B2619" s="360" t="s">
        <v>116</v>
      </c>
      <c r="C2619" s="355" t="s">
        <v>77</v>
      </c>
      <c r="E2619" s="143">
        <v>0</v>
      </c>
      <c r="F2619" s="117">
        <v>1403</v>
      </c>
      <c r="G2619" s="360" t="s">
        <v>301</v>
      </c>
      <c r="H2619" s="144">
        <f>bargiri[[#This Row],[میزان بارگیری شده]]*bargiri[[#This Row],[فی]]</f>
        <v>0</v>
      </c>
      <c r="I2619" s="360">
        <f>IF(year=bargiri[[#This Row],[سال]],1,0)</f>
        <v>0</v>
      </c>
      <c r="J2619" s="360" t="str">
        <f>VLOOKUP(bargiri[[#This Row],[شماره پیش فاکتور]],invoice[],16,0)</f>
        <v>عادی</v>
      </c>
      <c r="K2619" s="252">
        <f>bargiri[[#This Row],[فی]]*bargiri[[#This Row],[میزان بارگیری شده]]</f>
        <v>0</v>
      </c>
    </row>
    <row r="2620" spans="1:11" ht="18.600000000000001">
      <c r="A2620" s="360" t="s">
        <v>228</v>
      </c>
      <c r="B2620" s="360" t="s">
        <v>116</v>
      </c>
      <c r="C2620" s="355" t="s">
        <v>77</v>
      </c>
      <c r="D2620">
        <v>19995</v>
      </c>
      <c r="E2620" s="143">
        <v>68500</v>
      </c>
      <c r="F2620" s="117">
        <v>1403</v>
      </c>
      <c r="G2620" s="360" t="s">
        <v>301</v>
      </c>
      <c r="H2620" s="144">
        <f>bargiri[[#This Row],[میزان بارگیری شده]]*bargiri[[#This Row],[فی]]</f>
        <v>1369657500</v>
      </c>
      <c r="I2620" s="360">
        <f>IF(year=bargiri[[#This Row],[سال]],1,0)</f>
        <v>0</v>
      </c>
      <c r="J2620" s="360" t="str">
        <f>VLOOKUP(bargiri[[#This Row],[شماره پیش فاکتور]],invoice[],16,0)</f>
        <v>عادی</v>
      </c>
      <c r="K2620" s="252">
        <f>bargiri[[#This Row],[فی]]*bargiri[[#This Row],[میزان بارگیری شده]]</f>
        <v>1369657500</v>
      </c>
    </row>
    <row r="2621" spans="1:11" ht="18.600000000000001">
      <c r="A2621" s="360" t="s">
        <v>228</v>
      </c>
      <c r="B2621" s="360" t="s">
        <v>104</v>
      </c>
      <c r="C2621" s="355" t="s">
        <v>41</v>
      </c>
      <c r="D2621">
        <v>17945</v>
      </c>
      <c r="E2621" s="143">
        <v>85000</v>
      </c>
      <c r="F2621" s="117">
        <v>1403</v>
      </c>
      <c r="G2621" s="360" t="s">
        <v>301</v>
      </c>
      <c r="H2621" s="144">
        <f>bargiri[[#This Row],[میزان بارگیری شده]]*bargiri[[#This Row],[فی]]</f>
        <v>1525325000</v>
      </c>
      <c r="I2621" s="360">
        <f>IF(year=bargiri[[#This Row],[سال]],1,0)</f>
        <v>0</v>
      </c>
      <c r="J2621" s="360" t="str">
        <f>VLOOKUP(bargiri[[#This Row],[شماره پیش فاکتور]],invoice[],16,0)</f>
        <v>عادی</v>
      </c>
      <c r="K2621" s="252">
        <f>bargiri[[#This Row],[فی]]*bargiri[[#This Row],[میزان بارگیری شده]]</f>
        <v>1525325000</v>
      </c>
    </row>
    <row r="2622" spans="1:11" ht="18.600000000000001">
      <c r="A2622" s="360" t="s">
        <v>228</v>
      </c>
      <c r="B2622" s="360" t="s">
        <v>119</v>
      </c>
      <c r="C2622" s="355" t="s">
        <v>87</v>
      </c>
      <c r="D2622">
        <v>20065</v>
      </c>
      <c r="E2622" s="143">
        <v>75000</v>
      </c>
      <c r="F2622" s="117">
        <v>1403</v>
      </c>
      <c r="G2622" s="360" t="s">
        <v>301</v>
      </c>
      <c r="H2622" s="144">
        <f>bargiri[[#This Row],[میزان بارگیری شده]]*bargiri[[#This Row],[فی]]</f>
        <v>1504875000</v>
      </c>
      <c r="I2622" s="360">
        <f>IF(year=bargiri[[#This Row],[سال]],1,0)</f>
        <v>0</v>
      </c>
      <c r="J2622" s="360" t="str">
        <f>VLOOKUP(bargiri[[#This Row],[شماره پیش فاکتور]],invoice[],16,0)</f>
        <v>بورس</v>
      </c>
      <c r="K2622" s="252">
        <f>bargiri[[#This Row],[فی]]*bargiri[[#This Row],[میزان بارگیری شده]]</f>
        <v>1504875000</v>
      </c>
    </row>
    <row r="2623" spans="1:11" ht="18.600000000000001">
      <c r="A2623" s="360" t="s">
        <v>228</v>
      </c>
      <c r="B2623" s="360" t="s">
        <v>115</v>
      </c>
      <c r="C2623" s="355" t="s">
        <v>65</v>
      </c>
      <c r="D2623">
        <v>22105</v>
      </c>
      <c r="E2623" s="143">
        <v>75000</v>
      </c>
      <c r="F2623" s="117">
        <v>1403</v>
      </c>
      <c r="G2623" s="360" t="s">
        <v>301</v>
      </c>
      <c r="H2623" s="144">
        <f>bargiri[[#This Row],[میزان بارگیری شده]]*bargiri[[#This Row],[فی]]</f>
        <v>1657875000</v>
      </c>
      <c r="I2623" s="360">
        <f>IF(year=bargiri[[#This Row],[سال]],1,0)</f>
        <v>0</v>
      </c>
      <c r="J2623" s="360" t="str">
        <f>VLOOKUP(bargiri[[#This Row],[شماره پیش فاکتور]],invoice[],16,0)</f>
        <v>عادی</v>
      </c>
      <c r="K2623" s="252">
        <f>bargiri[[#This Row],[فی]]*bargiri[[#This Row],[میزان بارگیری شده]]</f>
        <v>1657875000</v>
      </c>
    </row>
    <row r="2624" spans="1:11" ht="18.600000000000001">
      <c r="A2624" s="360" t="s">
        <v>228</v>
      </c>
      <c r="B2624" s="360" t="s">
        <v>107</v>
      </c>
      <c r="C2624" s="355" t="s">
        <v>50</v>
      </c>
      <c r="D2624">
        <v>20040</v>
      </c>
      <c r="E2624" s="143">
        <v>70000</v>
      </c>
      <c r="F2624" s="117">
        <v>1403</v>
      </c>
      <c r="G2624" s="360" t="s">
        <v>301</v>
      </c>
      <c r="H2624" s="144">
        <f>bargiri[[#This Row],[میزان بارگیری شده]]*bargiri[[#This Row],[فی]]</f>
        <v>1402800000</v>
      </c>
      <c r="I2624" s="360">
        <f>IF(year=bargiri[[#This Row],[سال]],1,0)</f>
        <v>0</v>
      </c>
      <c r="J2624" s="360" t="str">
        <f>VLOOKUP(bargiri[[#This Row],[شماره پیش فاکتور]],invoice[],16,0)</f>
        <v>عادی</v>
      </c>
      <c r="K2624" s="252">
        <f>bargiri[[#This Row],[فی]]*bargiri[[#This Row],[میزان بارگیری شده]]</f>
        <v>1402800000</v>
      </c>
    </row>
    <row r="2625" spans="1:11" ht="18.600000000000001">
      <c r="A2625" s="360" t="s">
        <v>228</v>
      </c>
      <c r="B2625" s="360" t="s">
        <v>117</v>
      </c>
      <c r="C2625" s="355" t="s">
        <v>82</v>
      </c>
      <c r="D2625">
        <v>19985</v>
      </c>
      <c r="E2625" s="143">
        <v>70000</v>
      </c>
      <c r="F2625" s="117">
        <v>1403</v>
      </c>
      <c r="G2625" s="360" t="s">
        <v>301</v>
      </c>
      <c r="H2625" s="144">
        <f>bargiri[[#This Row],[میزان بارگیری شده]]*bargiri[[#This Row],[فی]]</f>
        <v>1398950000</v>
      </c>
      <c r="I2625" s="360">
        <f>IF(year=bargiri[[#This Row],[سال]],1,0)</f>
        <v>0</v>
      </c>
      <c r="J2625" s="360" t="str">
        <f>VLOOKUP(bargiri[[#This Row],[شماره پیش فاکتور]],invoice[],16,0)</f>
        <v>عادی</v>
      </c>
      <c r="K2625" s="252">
        <f>bargiri[[#This Row],[فی]]*bargiri[[#This Row],[میزان بارگیری شده]]</f>
        <v>1398950000</v>
      </c>
    </row>
    <row r="2626" spans="1:11" ht="18.600000000000001">
      <c r="A2626" s="360" t="s">
        <v>158</v>
      </c>
      <c r="B2626" s="360" t="s">
        <v>106</v>
      </c>
      <c r="C2626" s="355" t="s">
        <v>47</v>
      </c>
      <c r="D2626">
        <v>21120</v>
      </c>
      <c r="E2626" s="143">
        <v>50000</v>
      </c>
      <c r="F2626" s="117">
        <v>1403</v>
      </c>
      <c r="G2626" s="360" t="s">
        <v>295</v>
      </c>
      <c r="H2626" s="144">
        <f>bargiri[[#This Row],[میزان بارگیری شده]]*bargiri[[#This Row],[فی]]</f>
        <v>1056000000</v>
      </c>
      <c r="I2626" s="360">
        <f>IF(year=bargiri[[#This Row],[سال]],1,0)</f>
        <v>0</v>
      </c>
      <c r="J2626" s="360" t="str">
        <f>VLOOKUP(bargiri[[#This Row],[شماره پیش فاکتور]],invoice[],16,0)</f>
        <v>عادی</v>
      </c>
      <c r="K2626" s="252">
        <f>bargiri[[#This Row],[فی]]*bargiri[[#This Row],[میزان بارگیری شده]]</f>
        <v>1056000000</v>
      </c>
    </row>
    <row r="2627" spans="1:11" ht="18.600000000000001">
      <c r="A2627" s="360" t="s">
        <v>433</v>
      </c>
      <c r="B2627" s="360" t="s">
        <v>116</v>
      </c>
      <c r="C2627" s="355" t="s">
        <v>77</v>
      </c>
      <c r="D2627">
        <v>12010</v>
      </c>
      <c r="E2627" s="143">
        <v>68500</v>
      </c>
      <c r="F2627" s="117">
        <v>1403</v>
      </c>
      <c r="G2627" s="360" t="s">
        <v>301</v>
      </c>
      <c r="H2627" s="144">
        <f>bargiri[[#This Row],[میزان بارگیری شده]]*bargiri[[#This Row],[فی]]</f>
        <v>822685000</v>
      </c>
      <c r="I2627" s="360">
        <f>IF(year=bargiri[[#This Row],[سال]],1,0)</f>
        <v>0</v>
      </c>
      <c r="J2627" s="360" t="str">
        <f>VLOOKUP(bargiri[[#This Row],[شماره پیش فاکتور]],invoice[],16,0)</f>
        <v>عادی</v>
      </c>
      <c r="K2627" s="252">
        <f>bargiri[[#This Row],[فی]]*bargiri[[#This Row],[میزان بارگیری شده]]</f>
        <v>822685000</v>
      </c>
    </row>
    <row r="2628" spans="1:11" ht="18.600000000000001">
      <c r="A2628" s="360" t="s">
        <v>433</v>
      </c>
      <c r="B2628" s="360" t="s">
        <v>116</v>
      </c>
      <c r="C2628" s="355" t="s">
        <v>77</v>
      </c>
      <c r="D2628">
        <v>19910</v>
      </c>
      <c r="E2628" s="143">
        <v>68500</v>
      </c>
      <c r="F2628" s="117">
        <v>1403</v>
      </c>
      <c r="G2628" s="360" t="s">
        <v>301</v>
      </c>
      <c r="H2628" s="144">
        <f>bargiri[[#This Row],[میزان بارگیری شده]]*bargiri[[#This Row],[فی]]</f>
        <v>1363835000</v>
      </c>
      <c r="I2628" s="360">
        <f>IF(year=bargiri[[#This Row],[سال]],1,0)</f>
        <v>0</v>
      </c>
      <c r="J2628" s="360" t="str">
        <f>VLOOKUP(bargiri[[#This Row],[شماره پیش فاکتور]],invoice[],16,0)</f>
        <v>عادی</v>
      </c>
      <c r="K2628" s="252">
        <f>bargiri[[#This Row],[فی]]*bargiri[[#This Row],[میزان بارگیری شده]]</f>
        <v>1363835000</v>
      </c>
    </row>
    <row r="2629" spans="1:11" ht="18.600000000000001">
      <c r="A2629" s="360" t="s">
        <v>433</v>
      </c>
      <c r="B2629" s="360" t="s">
        <v>111</v>
      </c>
      <c r="C2629" s="355" t="s">
        <v>59</v>
      </c>
      <c r="D2629">
        <v>10080</v>
      </c>
      <c r="E2629" s="143">
        <v>80000</v>
      </c>
      <c r="F2629" s="117">
        <v>1403</v>
      </c>
      <c r="G2629" s="360" t="s">
        <v>301</v>
      </c>
      <c r="H2629" s="144">
        <f>bargiri[[#This Row],[میزان بارگیری شده]]*bargiri[[#This Row],[فی]]</f>
        <v>806400000</v>
      </c>
      <c r="I2629" s="360">
        <f>IF(year=bargiri[[#This Row],[سال]],1,0)</f>
        <v>0</v>
      </c>
      <c r="J2629" s="360" t="str">
        <f>VLOOKUP(bargiri[[#This Row],[شماره پیش فاکتور]],invoice[],16,0)</f>
        <v>عادی</v>
      </c>
      <c r="K2629" s="252">
        <f>bargiri[[#This Row],[فی]]*bargiri[[#This Row],[میزان بارگیری شده]]</f>
        <v>806400000</v>
      </c>
    </row>
    <row r="2630" spans="1:11" ht="18.600000000000001">
      <c r="A2630" s="360" t="s">
        <v>433</v>
      </c>
      <c r="B2630" s="360" t="s">
        <v>107</v>
      </c>
      <c r="C2630" s="355" t="s">
        <v>50</v>
      </c>
      <c r="D2630">
        <v>20125</v>
      </c>
      <c r="E2630" s="143">
        <v>70000</v>
      </c>
      <c r="F2630" s="117">
        <v>1403</v>
      </c>
      <c r="G2630" s="360" t="s">
        <v>301</v>
      </c>
      <c r="H2630" s="144">
        <f>bargiri[[#This Row],[میزان بارگیری شده]]*bargiri[[#This Row],[فی]]</f>
        <v>1408750000</v>
      </c>
      <c r="I2630" s="360">
        <f>IF(year=bargiri[[#This Row],[سال]],1,0)</f>
        <v>0</v>
      </c>
      <c r="J2630" s="360" t="str">
        <f>VLOOKUP(bargiri[[#This Row],[شماره پیش فاکتور]],invoice[],16,0)</f>
        <v>عادی</v>
      </c>
      <c r="K2630" s="252">
        <f>bargiri[[#This Row],[فی]]*bargiri[[#This Row],[میزان بارگیری شده]]</f>
        <v>1408750000</v>
      </c>
    </row>
    <row r="2631" spans="1:11" ht="18.600000000000001">
      <c r="A2631" s="360" t="s">
        <v>433</v>
      </c>
      <c r="B2631" s="360" t="s">
        <v>99</v>
      </c>
      <c r="C2631" s="355" t="s">
        <v>13</v>
      </c>
      <c r="D2631">
        <v>18580</v>
      </c>
      <c r="E2631" s="143">
        <v>65000</v>
      </c>
      <c r="F2631" s="117">
        <v>1403</v>
      </c>
      <c r="G2631" s="360" t="s">
        <v>301</v>
      </c>
      <c r="H2631" s="144">
        <f>bargiri[[#This Row],[میزان بارگیری شده]]*bargiri[[#This Row],[فی]]</f>
        <v>1207700000</v>
      </c>
      <c r="I2631" s="360">
        <f>IF(year=bargiri[[#This Row],[سال]],1,0)</f>
        <v>0</v>
      </c>
      <c r="J2631" s="360" t="str">
        <f>VLOOKUP(bargiri[[#This Row],[شماره پیش فاکتور]],invoice[],16,0)</f>
        <v>عادی</v>
      </c>
      <c r="K2631" s="252">
        <f>bargiri[[#This Row],[فی]]*bargiri[[#This Row],[میزان بارگیری شده]]</f>
        <v>1207700000</v>
      </c>
    </row>
    <row r="2632" spans="1:11" ht="18.600000000000001">
      <c r="A2632" s="360" t="s">
        <v>176</v>
      </c>
      <c r="B2632" s="360" t="s">
        <v>115</v>
      </c>
      <c r="C2632" s="355" t="s">
        <v>65</v>
      </c>
      <c r="D2632">
        <v>22050</v>
      </c>
      <c r="E2632" s="143">
        <v>75000</v>
      </c>
      <c r="F2632" s="117">
        <v>1403</v>
      </c>
      <c r="G2632" s="360" t="s">
        <v>301</v>
      </c>
      <c r="H2632" s="144">
        <f>bargiri[[#This Row],[میزان بارگیری شده]]*bargiri[[#This Row],[فی]]</f>
        <v>1653750000</v>
      </c>
      <c r="I2632" s="360">
        <f>IF(year=bargiri[[#This Row],[سال]],1,0)</f>
        <v>0</v>
      </c>
      <c r="J2632" s="360" t="str">
        <f>VLOOKUP(bargiri[[#This Row],[شماره پیش فاکتور]],invoice[],16,0)</f>
        <v>عادی</v>
      </c>
      <c r="K2632" s="252">
        <f>bargiri[[#This Row],[فی]]*bargiri[[#This Row],[میزان بارگیری شده]]</f>
        <v>1653750000</v>
      </c>
    </row>
    <row r="2633" spans="1:11" ht="18.600000000000001">
      <c r="A2633" s="360" t="s">
        <v>176</v>
      </c>
      <c r="B2633" s="360" t="s">
        <v>99</v>
      </c>
      <c r="C2633" s="355" t="s">
        <v>13</v>
      </c>
      <c r="D2633">
        <v>18070</v>
      </c>
      <c r="E2633" s="143">
        <v>65000</v>
      </c>
      <c r="F2633" s="117">
        <v>1403</v>
      </c>
      <c r="G2633" s="360" t="s">
        <v>301</v>
      </c>
      <c r="H2633" s="144">
        <f>bargiri[[#This Row],[میزان بارگیری شده]]*bargiri[[#This Row],[فی]]</f>
        <v>1174550000</v>
      </c>
      <c r="I2633" s="360">
        <f>IF(year=bargiri[[#This Row],[سال]],1,0)</f>
        <v>0</v>
      </c>
      <c r="J2633" s="360" t="str">
        <f>VLOOKUP(bargiri[[#This Row],[شماره پیش فاکتور]],invoice[],16,0)</f>
        <v>عادی</v>
      </c>
      <c r="K2633" s="252">
        <f>bargiri[[#This Row],[فی]]*bargiri[[#This Row],[میزان بارگیری شده]]</f>
        <v>1174550000</v>
      </c>
    </row>
    <row r="2634" spans="1:11" ht="18.600000000000001">
      <c r="A2634" s="360" t="s">
        <v>428</v>
      </c>
      <c r="B2634" s="360" t="s">
        <v>107</v>
      </c>
      <c r="C2634" s="355" t="s">
        <v>50</v>
      </c>
      <c r="D2634">
        <v>20085</v>
      </c>
      <c r="E2634" s="143">
        <v>70000</v>
      </c>
      <c r="F2634" s="117">
        <v>1403</v>
      </c>
      <c r="G2634" s="360" t="s">
        <v>301</v>
      </c>
      <c r="H2634" s="144">
        <f>bargiri[[#This Row],[میزان بارگیری شده]]*bargiri[[#This Row],[فی]]</f>
        <v>1405950000</v>
      </c>
      <c r="I2634" s="360">
        <f>IF(year=bargiri[[#This Row],[سال]],1,0)</f>
        <v>0</v>
      </c>
      <c r="J2634" s="360" t="str">
        <f>VLOOKUP(bargiri[[#This Row],[شماره پیش فاکتور]],invoice[],16,0)</f>
        <v>عادی</v>
      </c>
      <c r="K2634" s="252">
        <f>bargiri[[#This Row],[فی]]*bargiri[[#This Row],[میزان بارگیری شده]]</f>
        <v>1405950000</v>
      </c>
    </row>
    <row r="2635" spans="1:11" ht="18.600000000000001">
      <c r="A2635" s="360" t="s">
        <v>428</v>
      </c>
      <c r="B2635" s="360" t="s">
        <v>99</v>
      </c>
      <c r="C2635" s="355" t="s">
        <v>13</v>
      </c>
      <c r="D2635">
        <v>19005</v>
      </c>
      <c r="E2635" s="143">
        <v>65000</v>
      </c>
      <c r="F2635" s="117">
        <v>1403</v>
      </c>
      <c r="G2635" s="360" t="s">
        <v>301</v>
      </c>
      <c r="H2635" s="144">
        <f>bargiri[[#This Row],[میزان بارگیری شده]]*bargiri[[#This Row],[فی]]</f>
        <v>1235325000</v>
      </c>
      <c r="I2635" s="360">
        <f>IF(year=bargiri[[#This Row],[سال]],1,0)</f>
        <v>0</v>
      </c>
      <c r="J2635" s="360" t="str">
        <f>VLOOKUP(bargiri[[#This Row],[شماره پیش فاکتور]],invoice[],16,0)</f>
        <v>عادی</v>
      </c>
      <c r="K2635" s="252">
        <f>bargiri[[#This Row],[فی]]*bargiri[[#This Row],[میزان بارگیری شده]]</f>
        <v>1235325000</v>
      </c>
    </row>
    <row r="2636" spans="1:11" ht="18.600000000000001">
      <c r="A2636" s="360" t="s">
        <v>428</v>
      </c>
      <c r="B2636" s="360" t="s">
        <v>116</v>
      </c>
      <c r="C2636" s="355" t="s">
        <v>77</v>
      </c>
      <c r="D2636">
        <v>20150</v>
      </c>
      <c r="E2636" s="143">
        <v>68500</v>
      </c>
      <c r="F2636" s="117">
        <v>1403</v>
      </c>
      <c r="G2636" s="360" t="s">
        <v>301</v>
      </c>
      <c r="H2636" s="144">
        <f>bargiri[[#This Row],[میزان بارگیری شده]]*bargiri[[#This Row],[فی]]</f>
        <v>1380275000</v>
      </c>
      <c r="I2636" s="360">
        <f>IF(year=bargiri[[#This Row],[سال]],1,0)</f>
        <v>0</v>
      </c>
      <c r="J2636" s="360" t="str">
        <f>VLOOKUP(bargiri[[#This Row],[شماره پیش فاکتور]],invoice[],16,0)</f>
        <v>عادی</v>
      </c>
      <c r="K2636" s="252">
        <f>bargiri[[#This Row],[فی]]*bargiri[[#This Row],[میزان بارگیری شده]]</f>
        <v>1380275000</v>
      </c>
    </row>
    <row r="2637" spans="1:11" ht="18.600000000000001">
      <c r="A2637" s="360" t="s">
        <v>428</v>
      </c>
      <c r="B2637" s="360" t="s">
        <v>104</v>
      </c>
      <c r="C2637" s="355" t="s">
        <v>41</v>
      </c>
      <c r="D2637">
        <v>18140</v>
      </c>
      <c r="E2637" s="143">
        <v>85000</v>
      </c>
      <c r="F2637" s="117">
        <v>1403</v>
      </c>
      <c r="G2637" s="360" t="s">
        <v>301</v>
      </c>
      <c r="H2637" s="144">
        <f>bargiri[[#This Row],[میزان بارگیری شده]]*bargiri[[#This Row],[فی]]</f>
        <v>1541900000</v>
      </c>
      <c r="I2637" s="360">
        <f>IF(year=bargiri[[#This Row],[سال]],1,0)</f>
        <v>0</v>
      </c>
      <c r="J2637" s="360" t="str">
        <f>VLOOKUP(bargiri[[#This Row],[شماره پیش فاکتور]],invoice[],16,0)</f>
        <v>عادی</v>
      </c>
      <c r="K2637" s="252">
        <f>bargiri[[#This Row],[فی]]*bargiri[[#This Row],[میزان بارگیری شده]]</f>
        <v>1541900000</v>
      </c>
    </row>
    <row r="2638" spans="1:11" ht="18.600000000000001">
      <c r="A2638" s="360" t="s">
        <v>181</v>
      </c>
      <c r="B2638" s="360" t="s">
        <v>116</v>
      </c>
      <c r="C2638" s="355" t="s">
        <v>77</v>
      </c>
      <c r="D2638">
        <v>20005</v>
      </c>
      <c r="E2638" s="143">
        <v>68500</v>
      </c>
      <c r="F2638" s="117">
        <v>1403</v>
      </c>
      <c r="G2638" s="360" t="s">
        <v>301</v>
      </c>
      <c r="H2638" s="144">
        <f>bargiri[[#This Row],[میزان بارگیری شده]]*bargiri[[#This Row],[فی]]</f>
        <v>1370342500</v>
      </c>
      <c r="I2638" s="360">
        <f>IF(year=bargiri[[#This Row],[سال]],1,0)</f>
        <v>0</v>
      </c>
      <c r="J2638" s="360" t="str">
        <f>VLOOKUP(bargiri[[#This Row],[شماره پیش فاکتور]],invoice[],16,0)</f>
        <v>عادی</v>
      </c>
      <c r="K2638" s="252">
        <f>bargiri[[#This Row],[فی]]*bargiri[[#This Row],[میزان بارگیری شده]]</f>
        <v>1370342500</v>
      </c>
    </row>
    <row r="2639" spans="1:11" ht="18.600000000000001">
      <c r="A2639" s="360" t="s">
        <v>181</v>
      </c>
      <c r="B2639" s="360" t="s">
        <v>116</v>
      </c>
      <c r="C2639" s="355" t="s">
        <v>77</v>
      </c>
      <c r="D2639">
        <v>20050</v>
      </c>
      <c r="E2639" s="143">
        <v>68500</v>
      </c>
      <c r="F2639" s="117">
        <v>1403</v>
      </c>
      <c r="G2639" s="360" t="s">
        <v>301</v>
      </c>
      <c r="H2639" s="144">
        <f>bargiri[[#This Row],[میزان بارگیری شده]]*bargiri[[#This Row],[فی]]</f>
        <v>1373425000</v>
      </c>
      <c r="I2639" s="360">
        <f>IF(year=bargiri[[#This Row],[سال]],1,0)</f>
        <v>0</v>
      </c>
      <c r="J2639" s="360" t="str">
        <f>VLOOKUP(bargiri[[#This Row],[شماره پیش فاکتور]],invoice[],16,0)</f>
        <v>عادی</v>
      </c>
      <c r="K2639" s="252">
        <f>bargiri[[#This Row],[فی]]*bargiri[[#This Row],[میزان بارگیری شده]]</f>
        <v>1373425000</v>
      </c>
    </row>
    <row r="2640" spans="1:11" ht="18.600000000000001">
      <c r="A2640" s="360" t="s">
        <v>181</v>
      </c>
      <c r="B2640" s="360" t="s">
        <v>102</v>
      </c>
      <c r="C2640" s="355" t="s">
        <v>26</v>
      </c>
      <c r="D2640">
        <v>10140</v>
      </c>
      <c r="E2640" s="143">
        <v>70000</v>
      </c>
      <c r="F2640" s="117">
        <v>1403</v>
      </c>
      <c r="G2640" s="360" t="s">
        <v>301</v>
      </c>
      <c r="H2640" s="144">
        <f>bargiri[[#This Row],[میزان بارگیری شده]]*bargiri[[#This Row],[فی]]</f>
        <v>709800000</v>
      </c>
      <c r="I2640" s="360">
        <f>IF(year=bargiri[[#This Row],[سال]],1,0)</f>
        <v>0</v>
      </c>
      <c r="J2640" s="360" t="str">
        <f>VLOOKUP(bargiri[[#This Row],[شماره پیش فاکتور]],invoice[],16,0)</f>
        <v>عادی</v>
      </c>
      <c r="K2640" s="252">
        <f>bargiri[[#This Row],[فی]]*bargiri[[#This Row],[میزان بارگیری شده]]</f>
        <v>709800000</v>
      </c>
    </row>
    <row r="2641" spans="1:11" ht="18.600000000000001">
      <c r="A2641" s="360" t="s">
        <v>181</v>
      </c>
      <c r="B2641" s="360" t="s">
        <v>107</v>
      </c>
      <c r="C2641" s="355" t="s">
        <v>50</v>
      </c>
      <c r="D2641">
        <v>20065</v>
      </c>
      <c r="E2641" s="143">
        <v>70000</v>
      </c>
      <c r="F2641" s="117">
        <v>1403</v>
      </c>
      <c r="G2641" s="360" t="s">
        <v>301</v>
      </c>
      <c r="H2641" s="144">
        <f>bargiri[[#This Row],[میزان بارگیری شده]]*bargiri[[#This Row],[فی]]</f>
        <v>1404550000</v>
      </c>
      <c r="I2641" s="360">
        <f>IF(year=bargiri[[#This Row],[سال]],1,0)</f>
        <v>0</v>
      </c>
      <c r="J2641" s="360" t="str">
        <f>VLOOKUP(bargiri[[#This Row],[شماره پیش فاکتور]],invoice[],16,0)</f>
        <v>عادی</v>
      </c>
      <c r="K2641" s="252">
        <f>bargiri[[#This Row],[فی]]*bargiri[[#This Row],[میزان بارگیری شده]]</f>
        <v>1404550000</v>
      </c>
    </row>
    <row r="2642" spans="1:11" ht="18.600000000000001">
      <c r="A2642" s="360" t="s">
        <v>181</v>
      </c>
      <c r="B2642" s="360" t="s">
        <v>111</v>
      </c>
      <c r="C2642" s="355" t="s">
        <v>59</v>
      </c>
      <c r="D2642">
        <v>9925</v>
      </c>
      <c r="E2642" s="143">
        <v>80000</v>
      </c>
      <c r="F2642" s="117">
        <v>1403</v>
      </c>
      <c r="G2642" s="360" t="s">
        <v>301</v>
      </c>
      <c r="H2642" s="144">
        <f>bargiri[[#This Row],[میزان بارگیری شده]]*bargiri[[#This Row],[فی]]</f>
        <v>794000000</v>
      </c>
      <c r="I2642" s="360">
        <f>IF(year=bargiri[[#This Row],[سال]],1,0)</f>
        <v>0</v>
      </c>
      <c r="J2642" s="360" t="str">
        <f>VLOOKUP(bargiri[[#This Row],[شماره پیش فاکتور]],invoice[],16,0)</f>
        <v>عادی</v>
      </c>
      <c r="K2642" s="252">
        <f>bargiri[[#This Row],[فی]]*bargiri[[#This Row],[میزان بارگیری شده]]</f>
        <v>794000000</v>
      </c>
    </row>
    <row r="2643" spans="1:11" ht="18.600000000000001">
      <c r="A2643" s="360" t="s">
        <v>434</v>
      </c>
      <c r="B2643" s="360" t="s">
        <v>116</v>
      </c>
      <c r="C2643" s="355" t="s">
        <v>77</v>
      </c>
      <c r="D2643">
        <v>18780</v>
      </c>
      <c r="E2643" s="143">
        <v>68500</v>
      </c>
      <c r="F2643" s="117">
        <v>1403</v>
      </c>
      <c r="G2643" s="360" t="s">
        <v>301</v>
      </c>
      <c r="H2643" s="144">
        <f>bargiri[[#This Row],[میزان بارگیری شده]]*bargiri[[#This Row],[فی]]</f>
        <v>1286430000</v>
      </c>
      <c r="I2643" s="360">
        <f>IF(year=bargiri[[#This Row],[سال]],1,0)</f>
        <v>0</v>
      </c>
      <c r="J2643" s="360" t="str">
        <f>VLOOKUP(bargiri[[#This Row],[شماره پیش فاکتور]],invoice[],16,0)</f>
        <v>عادی</v>
      </c>
      <c r="K2643" s="252">
        <f>bargiri[[#This Row],[فی]]*bargiri[[#This Row],[میزان بارگیری شده]]</f>
        <v>1286430000</v>
      </c>
    </row>
    <row r="2644" spans="1:11" ht="18.600000000000001">
      <c r="A2644" s="360" t="s">
        <v>434</v>
      </c>
      <c r="B2644" s="360" t="s">
        <v>110</v>
      </c>
      <c r="C2644" s="355" t="s">
        <v>57</v>
      </c>
      <c r="D2644">
        <v>19970</v>
      </c>
      <c r="E2644" s="143">
        <v>78000</v>
      </c>
      <c r="F2644" s="117">
        <v>1403</v>
      </c>
      <c r="G2644" s="360" t="s">
        <v>301</v>
      </c>
      <c r="H2644" s="144">
        <f>bargiri[[#This Row],[میزان بارگیری شده]]*bargiri[[#This Row],[فی]]</f>
        <v>1557660000</v>
      </c>
      <c r="I2644" s="360">
        <f>IF(year=bargiri[[#This Row],[سال]],1,0)</f>
        <v>0</v>
      </c>
      <c r="J2644" s="360" t="str">
        <f>VLOOKUP(bargiri[[#This Row],[شماره پیش فاکتور]],invoice[],16,0)</f>
        <v>عادی</v>
      </c>
      <c r="K2644" s="252">
        <f>bargiri[[#This Row],[فی]]*bargiri[[#This Row],[میزان بارگیری شده]]</f>
        <v>1557660000</v>
      </c>
    </row>
    <row r="2645" spans="1:11" ht="18.600000000000001">
      <c r="A2645" s="360" t="s">
        <v>435</v>
      </c>
      <c r="B2645" s="360" t="s">
        <v>104</v>
      </c>
      <c r="C2645" s="355" t="s">
        <v>41</v>
      </c>
      <c r="D2645">
        <v>18030</v>
      </c>
      <c r="E2645" s="143">
        <v>85000</v>
      </c>
      <c r="F2645" s="117">
        <v>1403</v>
      </c>
      <c r="G2645" s="360" t="s">
        <v>301</v>
      </c>
      <c r="H2645" s="144">
        <f>bargiri[[#This Row],[میزان بارگیری شده]]*bargiri[[#This Row],[فی]]</f>
        <v>1532550000</v>
      </c>
      <c r="I2645" s="360">
        <f>IF(year=bargiri[[#This Row],[سال]],1,0)</f>
        <v>0</v>
      </c>
      <c r="J2645" s="360" t="str">
        <f>VLOOKUP(bargiri[[#This Row],[شماره پیش فاکتور]],invoice[],16,0)</f>
        <v>عادی</v>
      </c>
      <c r="K2645" s="252">
        <f>bargiri[[#This Row],[فی]]*bargiri[[#This Row],[میزان بارگیری شده]]</f>
        <v>1532550000</v>
      </c>
    </row>
    <row r="2646" spans="1:11" ht="18.600000000000001">
      <c r="A2646" s="360" t="s">
        <v>435</v>
      </c>
      <c r="B2646" s="360" t="s">
        <v>101</v>
      </c>
      <c r="C2646" s="355" t="s">
        <v>20</v>
      </c>
      <c r="D2646">
        <v>20170</v>
      </c>
      <c r="E2646" s="143">
        <v>68000</v>
      </c>
      <c r="F2646" s="117">
        <v>1403</v>
      </c>
      <c r="G2646" s="360" t="s">
        <v>301</v>
      </c>
      <c r="H2646" s="144">
        <f>bargiri[[#This Row],[میزان بارگیری شده]]*bargiri[[#This Row],[فی]]</f>
        <v>1371560000</v>
      </c>
      <c r="I2646" s="360">
        <f>IF(year=bargiri[[#This Row],[سال]],1,0)</f>
        <v>0</v>
      </c>
      <c r="J2646" s="360" t="str">
        <f>VLOOKUP(bargiri[[#This Row],[شماره پیش فاکتور]],invoice[],16,0)</f>
        <v>عادی</v>
      </c>
      <c r="K2646" s="252">
        <f>bargiri[[#This Row],[فی]]*bargiri[[#This Row],[میزان بارگیری شده]]</f>
        <v>1371560000</v>
      </c>
    </row>
    <row r="2647" spans="1:11" ht="18.600000000000001">
      <c r="A2647" s="360" t="s">
        <v>435</v>
      </c>
      <c r="B2647" s="360" t="s">
        <v>102</v>
      </c>
      <c r="C2647" s="355" t="s">
        <v>26</v>
      </c>
      <c r="D2647">
        <v>11015</v>
      </c>
      <c r="E2647" s="143">
        <v>70000</v>
      </c>
      <c r="F2647" s="117">
        <v>1403</v>
      </c>
      <c r="G2647" s="360" t="s">
        <v>301</v>
      </c>
      <c r="H2647" s="144">
        <f>bargiri[[#This Row],[میزان بارگیری شده]]*bargiri[[#This Row],[فی]]</f>
        <v>771050000</v>
      </c>
      <c r="I2647" s="360">
        <f>IF(year=bargiri[[#This Row],[سال]],1,0)</f>
        <v>0</v>
      </c>
      <c r="J2647" s="360" t="str">
        <f>VLOOKUP(bargiri[[#This Row],[شماره پیش فاکتور]],invoice[],16,0)</f>
        <v>عادی</v>
      </c>
      <c r="K2647" s="252">
        <f>bargiri[[#This Row],[فی]]*bargiri[[#This Row],[میزان بارگیری شده]]</f>
        <v>771050000</v>
      </c>
    </row>
    <row r="2648" spans="1:11" ht="18.600000000000001">
      <c r="A2648" s="360" t="s">
        <v>435</v>
      </c>
      <c r="B2648" s="360" t="s">
        <v>108</v>
      </c>
      <c r="C2648" s="355" t="s">
        <v>53</v>
      </c>
      <c r="D2648">
        <v>19870</v>
      </c>
      <c r="E2648" s="143">
        <v>70000</v>
      </c>
      <c r="F2648" s="117">
        <v>1403</v>
      </c>
      <c r="G2648" s="360" t="s">
        <v>301</v>
      </c>
      <c r="H2648" s="144">
        <f>bargiri[[#This Row],[میزان بارگیری شده]]*bargiri[[#This Row],[فی]]</f>
        <v>1390900000</v>
      </c>
      <c r="I2648" s="360">
        <f>IF(year=bargiri[[#This Row],[سال]],1,0)</f>
        <v>0</v>
      </c>
      <c r="J2648" s="360" t="str">
        <f>VLOOKUP(bargiri[[#This Row],[شماره پیش فاکتور]],invoice[],16,0)</f>
        <v>عادی</v>
      </c>
      <c r="K2648" s="252">
        <f>bargiri[[#This Row],[فی]]*bargiri[[#This Row],[میزان بارگیری شده]]</f>
        <v>1390900000</v>
      </c>
    </row>
    <row r="2649" spans="1:11" ht="18.600000000000001">
      <c r="A2649" s="360" t="s">
        <v>435</v>
      </c>
      <c r="B2649" s="360" t="s">
        <v>117</v>
      </c>
      <c r="C2649" s="355" t="s">
        <v>82</v>
      </c>
      <c r="D2649">
        <v>20110</v>
      </c>
      <c r="E2649" s="143">
        <v>70000</v>
      </c>
      <c r="F2649" s="117">
        <v>1403</v>
      </c>
      <c r="G2649" s="360" t="s">
        <v>301</v>
      </c>
      <c r="H2649" s="144">
        <f>bargiri[[#This Row],[میزان بارگیری شده]]*bargiri[[#This Row],[فی]]</f>
        <v>1407700000</v>
      </c>
      <c r="I2649" s="360">
        <f>IF(year=bargiri[[#This Row],[سال]],1,0)</f>
        <v>0</v>
      </c>
      <c r="J2649" s="360" t="str">
        <f>VLOOKUP(bargiri[[#This Row],[شماره پیش فاکتور]],invoice[],16,0)</f>
        <v>عادی</v>
      </c>
      <c r="K2649" s="252">
        <f>bargiri[[#This Row],[فی]]*bargiri[[#This Row],[میزان بارگیری شده]]</f>
        <v>1407700000</v>
      </c>
    </row>
    <row r="2650" spans="1:11" ht="18.600000000000001">
      <c r="A2650" s="360" t="s">
        <v>225</v>
      </c>
      <c r="B2650" s="360" t="s">
        <v>104</v>
      </c>
      <c r="C2650" s="355" t="s">
        <v>41</v>
      </c>
      <c r="D2650">
        <v>18040</v>
      </c>
      <c r="E2650" s="143">
        <v>85000</v>
      </c>
      <c r="F2650" s="117">
        <v>1403</v>
      </c>
      <c r="G2650" s="360" t="s">
        <v>301</v>
      </c>
      <c r="H2650" s="144">
        <f>bargiri[[#This Row],[میزان بارگیری شده]]*bargiri[[#This Row],[فی]]</f>
        <v>1533400000</v>
      </c>
      <c r="I2650" s="360">
        <f>IF(year=bargiri[[#This Row],[سال]],1,0)</f>
        <v>0</v>
      </c>
      <c r="J2650" s="360" t="str">
        <f>VLOOKUP(bargiri[[#This Row],[شماره پیش فاکتور]],invoice[],16,0)</f>
        <v>عادی</v>
      </c>
      <c r="K2650" s="252">
        <f>bargiri[[#This Row],[فی]]*bargiri[[#This Row],[میزان بارگیری شده]]</f>
        <v>1533400000</v>
      </c>
    </row>
    <row r="2651" spans="1:11" ht="18.600000000000001">
      <c r="A2651" s="360" t="s">
        <v>225</v>
      </c>
      <c r="B2651" s="360" t="s">
        <v>107</v>
      </c>
      <c r="C2651" s="355" t="s">
        <v>50</v>
      </c>
      <c r="D2651">
        <v>19060</v>
      </c>
      <c r="E2651" s="143">
        <v>70000</v>
      </c>
      <c r="F2651" s="117">
        <v>1403</v>
      </c>
      <c r="G2651" s="360" t="s">
        <v>301</v>
      </c>
      <c r="H2651" s="144">
        <f>bargiri[[#This Row],[میزان بارگیری شده]]*bargiri[[#This Row],[فی]]</f>
        <v>1334200000</v>
      </c>
      <c r="I2651" s="360">
        <f>IF(year=bargiri[[#This Row],[سال]],1,0)</f>
        <v>0</v>
      </c>
      <c r="J2651" s="360" t="str">
        <f>VLOOKUP(bargiri[[#This Row],[شماره پیش فاکتور]],invoice[],16,0)</f>
        <v>عادی</v>
      </c>
      <c r="K2651" s="252">
        <f>bargiri[[#This Row],[فی]]*bargiri[[#This Row],[میزان بارگیری شده]]</f>
        <v>1334200000</v>
      </c>
    </row>
    <row r="2652" spans="1:11" ht="18.600000000000001">
      <c r="A2652" s="360" t="s">
        <v>225</v>
      </c>
      <c r="B2652" s="360" t="s">
        <v>116</v>
      </c>
      <c r="C2652" s="355" t="s">
        <v>77</v>
      </c>
      <c r="D2652">
        <v>20135</v>
      </c>
      <c r="E2652" s="143">
        <v>68500</v>
      </c>
      <c r="F2652" s="117">
        <v>1403</v>
      </c>
      <c r="G2652" s="360" t="s">
        <v>301</v>
      </c>
      <c r="H2652" s="144">
        <f>bargiri[[#This Row],[میزان بارگیری شده]]*bargiri[[#This Row],[فی]]</f>
        <v>1379247500</v>
      </c>
      <c r="I2652" s="360">
        <f>IF(year=bargiri[[#This Row],[سال]],1,0)</f>
        <v>0</v>
      </c>
      <c r="J2652" s="360" t="str">
        <f>VLOOKUP(bargiri[[#This Row],[شماره پیش فاکتور]],invoice[],16,0)</f>
        <v>عادی</v>
      </c>
      <c r="K2652" s="252">
        <f>bargiri[[#This Row],[فی]]*bargiri[[#This Row],[میزان بارگیری شده]]</f>
        <v>1379247500</v>
      </c>
    </row>
    <row r="2653" spans="1:11" ht="18.600000000000001">
      <c r="A2653" s="360" t="s">
        <v>429</v>
      </c>
      <c r="B2653" s="360" t="s">
        <v>98</v>
      </c>
      <c r="C2653" s="355" t="s">
        <v>11</v>
      </c>
      <c r="D2653">
        <v>22285</v>
      </c>
      <c r="E2653" s="143">
        <v>77000</v>
      </c>
      <c r="F2653" s="117">
        <v>1403</v>
      </c>
      <c r="G2653" s="360" t="s">
        <v>301</v>
      </c>
      <c r="H2653" s="144">
        <f>bargiri[[#This Row],[میزان بارگیری شده]]*bargiri[[#This Row],[فی]]</f>
        <v>1715945000</v>
      </c>
      <c r="I2653" s="360">
        <f>IF(year=bargiri[[#This Row],[سال]],1,0)</f>
        <v>0</v>
      </c>
      <c r="J2653" s="360" t="str">
        <f>VLOOKUP(bargiri[[#This Row],[شماره پیش فاکتور]],invoice[],16,0)</f>
        <v>عادی</v>
      </c>
      <c r="K2653" s="252">
        <f>bargiri[[#This Row],[فی]]*bargiri[[#This Row],[میزان بارگیری شده]]</f>
        <v>1715945000</v>
      </c>
    </row>
    <row r="2654" spans="1:11" ht="18.600000000000001">
      <c r="A2654" s="360" t="s">
        <v>429</v>
      </c>
      <c r="B2654" s="360" t="s">
        <v>116</v>
      </c>
      <c r="C2654" s="355" t="s">
        <v>77</v>
      </c>
      <c r="D2654">
        <v>19935</v>
      </c>
      <c r="E2654" s="143">
        <v>68500</v>
      </c>
      <c r="F2654" s="117">
        <v>1403</v>
      </c>
      <c r="G2654" s="360" t="s">
        <v>301</v>
      </c>
      <c r="H2654" s="144">
        <f>bargiri[[#This Row],[میزان بارگیری شده]]*bargiri[[#This Row],[فی]]</f>
        <v>1365547500</v>
      </c>
      <c r="I2654" s="360">
        <f>IF(year=bargiri[[#This Row],[سال]],1,0)</f>
        <v>0</v>
      </c>
      <c r="J2654" s="360" t="str">
        <f>VLOOKUP(bargiri[[#This Row],[شماره پیش فاکتور]],invoice[],16,0)</f>
        <v>عادی</v>
      </c>
      <c r="K2654" s="252">
        <f>bargiri[[#This Row],[فی]]*bargiri[[#This Row],[میزان بارگیری شده]]</f>
        <v>1365547500</v>
      </c>
    </row>
    <row r="2655" spans="1:11" ht="18.600000000000001">
      <c r="A2655" s="360" t="s">
        <v>429</v>
      </c>
      <c r="B2655" s="360" t="s">
        <v>99</v>
      </c>
      <c r="C2655" s="355" t="s">
        <v>13</v>
      </c>
      <c r="D2655">
        <v>18905</v>
      </c>
      <c r="E2655" s="143">
        <v>65000</v>
      </c>
      <c r="F2655" s="117">
        <v>1403</v>
      </c>
      <c r="G2655" s="360" t="s">
        <v>301</v>
      </c>
      <c r="H2655" s="144">
        <f>bargiri[[#This Row],[میزان بارگیری شده]]*bargiri[[#This Row],[فی]]</f>
        <v>1228825000</v>
      </c>
      <c r="I2655" s="360">
        <f>IF(year=bargiri[[#This Row],[سال]],1,0)</f>
        <v>0</v>
      </c>
      <c r="J2655" s="360" t="str">
        <f>VLOOKUP(bargiri[[#This Row],[شماره پیش فاکتور]],invoice[],16,0)</f>
        <v>عادی</v>
      </c>
      <c r="K2655" s="252">
        <f>bargiri[[#This Row],[فی]]*bargiri[[#This Row],[میزان بارگیری شده]]</f>
        <v>1228825000</v>
      </c>
    </row>
    <row r="2656" spans="1:11" ht="18.600000000000001">
      <c r="A2656" s="360" t="s">
        <v>429</v>
      </c>
      <c r="B2656" s="360" t="s">
        <v>107</v>
      </c>
      <c r="C2656" s="355" t="s">
        <v>50</v>
      </c>
      <c r="D2656">
        <v>18885</v>
      </c>
      <c r="E2656" s="143">
        <v>70000</v>
      </c>
      <c r="F2656" s="117">
        <v>1403</v>
      </c>
      <c r="G2656" s="360" t="s">
        <v>301</v>
      </c>
      <c r="H2656" s="144">
        <f>bargiri[[#This Row],[میزان بارگیری شده]]*bargiri[[#This Row],[فی]]</f>
        <v>1321950000</v>
      </c>
      <c r="I2656" s="360">
        <f>IF(year=bargiri[[#This Row],[سال]],1,0)</f>
        <v>0</v>
      </c>
      <c r="J2656" s="360" t="str">
        <f>VLOOKUP(bargiri[[#This Row],[شماره پیش فاکتور]],invoice[],16,0)</f>
        <v>عادی</v>
      </c>
      <c r="K2656" s="252">
        <f>bargiri[[#This Row],[فی]]*bargiri[[#This Row],[میزان بارگیری شده]]</f>
        <v>1321950000</v>
      </c>
    </row>
    <row r="2657" spans="1:11" ht="18.600000000000001">
      <c r="A2657" s="360" t="s">
        <v>429</v>
      </c>
      <c r="B2657" s="360" t="s">
        <v>118</v>
      </c>
      <c r="C2657" s="355" t="s">
        <v>85</v>
      </c>
      <c r="D2657">
        <v>21100</v>
      </c>
      <c r="E2657" s="143">
        <v>56881</v>
      </c>
      <c r="F2657" s="117">
        <v>1403</v>
      </c>
      <c r="G2657" s="360" t="s">
        <v>301</v>
      </c>
      <c r="H2657" s="144">
        <f>bargiri[[#This Row],[میزان بارگیری شده]]*bargiri[[#This Row],[فی]]</f>
        <v>1200189100</v>
      </c>
      <c r="I2657" s="360">
        <f>IF(year=bargiri[[#This Row],[سال]],1,0)</f>
        <v>0</v>
      </c>
      <c r="J2657" s="360" t="str">
        <f>VLOOKUP(bargiri[[#This Row],[شماره پیش فاکتور]],invoice[],16,0)</f>
        <v>عادی</v>
      </c>
      <c r="K2657" s="252">
        <f>bargiri[[#This Row],[فی]]*bargiri[[#This Row],[میزان بارگیری شده]]</f>
        <v>1200189100</v>
      </c>
    </row>
    <row r="2658" spans="1:11" ht="18.600000000000001">
      <c r="A2658" s="360" t="s">
        <v>429</v>
      </c>
      <c r="B2658" s="360" t="s">
        <v>118</v>
      </c>
      <c r="C2658" s="355" t="s">
        <v>85</v>
      </c>
      <c r="D2658">
        <v>21030</v>
      </c>
      <c r="E2658" s="143">
        <v>56881</v>
      </c>
      <c r="F2658" s="117">
        <v>1403</v>
      </c>
      <c r="G2658" s="360" t="s">
        <v>301</v>
      </c>
      <c r="H2658" s="144">
        <f>bargiri[[#This Row],[میزان بارگیری شده]]*bargiri[[#This Row],[فی]]</f>
        <v>1196207430</v>
      </c>
      <c r="I2658" s="360">
        <f>IF(year=bargiri[[#This Row],[سال]],1,0)</f>
        <v>0</v>
      </c>
      <c r="J2658" s="360" t="str">
        <f>VLOOKUP(bargiri[[#This Row],[شماره پیش فاکتور]],invoice[],16,0)</f>
        <v>عادی</v>
      </c>
      <c r="K2658" s="252">
        <f>bargiri[[#This Row],[فی]]*bargiri[[#This Row],[میزان بارگیری شده]]</f>
        <v>1196207430</v>
      </c>
    </row>
    <row r="2659" spans="1:11" ht="18.600000000000001">
      <c r="A2659" s="360" t="s">
        <v>429</v>
      </c>
      <c r="B2659" s="360" t="s">
        <v>118</v>
      </c>
      <c r="C2659" s="355" t="s">
        <v>85</v>
      </c>
      <c r="D2659">
        <v>20535</v>
      </c>
      <c r="E2659" s="143">
        <v>56881</v>
      </c>
      <c r="F2659" s="117">
        <v>1403</v>
      </c>
      <c r="G2659" s="360" t="s">
        <v>301</v>
      </c>
      <c r="H2659" s="144">
        <f>bargiri[[#This Row],[میزان بارگیری شده]]*bargiri[[#This Row],[فی]]</f>
        <v>1168051335</v>
      </c>
      <c r="I2659" s="360">
        <f>IF(year=bargiri[[#This Row],[سال]],1,0)</f>
        <v>0</v>
      </c>
      <c r="J2659" s="360" t="str">
        <f>VLOOKUP(bargiri[[#This Row],[شماره پیش فاکتور]],invoice[],16,0)</f>
        <v>عادی</v>
      </c>
      <c r="K2659" s="252">
        <f>bargiri[[#This Row],[فی]]*bargiri[[#This Row],[میزان بارگیری شده]]</f>
        <v>1168051335</v>
      </c>
    </row>
    <row r="2660" spans="1:11" ht="18.600000000000001">
      <c r="A2660" s="360" t="s">
        <v>430</v>
      </c>
      <c r="B2660" s="360" t="s">
        <v>99</v>
      </c>
      <c r="C2660" s="355" t="s">
        <v>13</v>
      </c>
      <c r="D2660">
        <v>19020</v>
      </c>
      <c r="E2660" s="143">
        <v>65000</v>
      </c>
      <c r="F2660" s="117">
        <v>1403</v>
      </c>
      <c r="G2660" s="360" t="s">
        <v>301</v>
      </c>
      <c r="H2660" s="144">
        <f>bargiri[[#This Row],[میزان بارگیری شده]]*bargiri[[#This Row],[فی]]</f>
        <v>1236300000</v>
      </c>
      <c r="I2660" s="360">
        <f>IF(year=bargiri[[#This Row],[سال]],1,0)</f>
        <v>0</v>
      </c>
      <c r="J2660" s="360" t="str">
        <f>VLOOKUP(bargiri[[#This Row],[شماره پیش فاکتور]],invoice[],16,0)</f>
        <v>عادی</v>
      </c>
      <c r="K2660" s="252">
        <f>bargiri[[#This Row],[فی]]*bargiri[[#This Row],[میزان بارگیری شده]]</f>
        <v>1236300000</v>
      </c>
    </row>
    <row r="2661" spans="1:11" ht="18.600000000000001">
      <c r="A2661" s="360" t="s">
        <v>430</v>
      </c>
      <c r="B2661" s="360" t="s">
        <v>116</v>
      </c>
      <c r="C2661" s="355" t="s">
        <v>77</v>
      </c>
      <c r="D2661">
        <v>19765</v>
      </c>
      <c r="E2661" s="143">
        <v>68500</v>
      </c>
      <c r="F2661" s="117">
        <v>1403</v>
      </c>
      <c r="G2661" s="360" t="s">
        <v>301</v>
      </c>
      <c r="H2661" s="144">
        <f>bargiri[[#This Row],[میزان بارگیری شده]]*bargiri[[#This Row],[فی]]</f>
        <v>1353902500</v>
      </c>
      <c r="I2661" s="360">
        <f>IF(year=bargiri[[#This Row],[سال]],1,0)</f>
        <v>0</v>
      </c>
      <c r="J2661" s="360" t="str">
        <f>VLOOKUP(bargiri[[#This Row],[شماره پیش فاکتور]],invoice[],16,0)</f>
        <v>عادی</v>
      </c>
      <c r="K2661" s="252">
        <f>bargiri[[#This Row],[فی]]*bargiri[[#This Row],[میزان بارگیری شده]]</f>
        <v>1353902500</v>
      </c>
    </row>
    <row r="2662" spans="1:11" ht="18.600000000000001">
      <c r="A2662" s="360" t="s">
        <v>430</v>
      </c>
      <c r="B2662" s="360" t="s">
        <v>102</v>
      </c>
      <c r="C2662" s="355" t="s">
        <v>26</v>
      </c>
      <c r="D2662">
        <v>10115</v>
      </c>
      <c r="E2662" s="143">
        <v>70000</v>
      </c>
      <c r="F2662" s="117">
        <v>1403</v>
      </c>
      <c r="G2662" s="360" t="s">
        <v>301</v>
      </c>
      <c r="H2662" s="144">
        <f>bargiri[[#This Row],[میزان بارگیری شده]]*bargiri[[#This Row],[فی]]</f>
        <v>708050000</v>
      </c>
      <c r="I2662" s="360">
        <f>IF(year=bargiri[[#This Row],[سال]],1,0)</f>
        <v>0</v>
      </c>
      <c r="J2662" s="360" t="str">
        <f>VLOOKUP(bargiri[[#This Row],[شماره پیش فاکتور]],invoice[],16,0)</f>
        <v>عادی</v>
      </c>
      <c r="K2662" s="252">
        <f>bargiri[[#This Row],[فی]]*bargiri[[#This Row],[میزان بارگیری شده]]</f>
        <v>708050000</v>
      </c>
    </row>
    <row r="2663" spans="1:11" ht="18.600000000000001">
      <c r="A2663" s="360" t="s">
        <v>430</v>
      </c>
      <c r="B2663" s="360" t="s">
        <v>107</v>
      </c>
      <c r="C2663" s="355" t="s">
        <v>50</v>
      </c>
      <c r="D2663">
        <v>20085</v>
      </c>
      <c r="E2663" s="143">
        <v>70000</v>
      </c>
      <c r="F2663" s="117">
        <v>1403</v>
      </c>
      <c r="G2663" s="360" t="s">
        <v>301</v>
      </c>
      <c r="H2663" s="144">
        <f>bargiri[[#This Row],[میزان بارگیری شده]]*bargiri[[#This Row],[فی]]</f>
        <v>1405950000</v>
      </c>
      <c r="I2663" s="360">
        <f>IF(year=bargiri[[#This Row],[سال]],1,0)</f>
        <v>0</v>
      </c>
      <c r="J2663" s="360" t="str">
        <f>VLOOKUP(bargiri[[#This Row],[شماره پیش فاکتور]],invoice[],16,0)</f>
        <v>عادی</v>
      </c>
      <c r="K2663" s="252">
        <f>bargiri[[#This Row],[فی]]*bargiri[[#This Row],[میزان بارگیری شده]]</f>
        <v>1405950000</v>
      </c>
    </row>
    <row r="2664" spans="1:11" ht="18.600000000000001">
      <c r="A2664" s="360" t="s">
        <v>436</v>
      </c>
      <c r="B2664" s="360" t="s">
        <v>107</v>
      </c>
      <c r="C2664" s="355" t="s">
        <v>50</v>
      </c>
      <c r="D2664">
        <v>19995</v>
      </c>
      <c r="E2664" s="143">
        <v>70000</v>
      </c>
      <c r="F2664" s="117">
        <v>1403</v>
      </c>
      <c r="G2664" s="360" t="s">
        <v>301</v>
      </c>
      <c r="H2664" s="144">
        <f>bargiri[[#This Row],[میزان بارگیری شده]]*bargiri[[#This Row],[فی]]</f>
        <v>1399650000</v>
      </c>
      <c r="I2664" s="360">
        <f>IF(year=bargiri[[#This Row],[سال]],1,0)</f>
        <v>0</v>
      </c>
      <c r="J2664" s="360" t="str">
        <f>VLOOKUP(bargiri[[#This Row],[شماره پیش فاکتور]],invoice[],16,0)</f>
        <v>عادی</v>
      </c>
      <c r="K2664" s="252">
        <f>bargiri[[#This Row],[فی]]*bargiri[[#This Row],[میزان بارگیری شده]]</f>
        <v>1399650000</v>
      </c>
    </row>
    <row r="2665" spans="1:11" ht="18.600000000000001">
      <c r="A2665" s="360" t="s">
        <v>437</v>
      </c>
      <c r="B2665" s="360" t="s">
        <v>107</v>
      </c>
      <c r="C2665" s="355" t="s">
        <v>50</v>
      </c>
      <c r="D2665">
        <v>20240</v>
      </c>
      <c r="E2665" s="143">
        <v>70000</v>
      </c>
      <c r="F2665" s="117">
        <v>1403</v>
      </c>
      <c r="G2665" s="360" t="s">
        <v>301</v>
      </c>
      <c r="H2665" s="144">
        <f>bargiri[[#This Row],[میزان بارگیری شده]]*bargiri[[#This Row],[فی]]</f>
        <v>1416800000</v>
      </c>
      <c r="I2665" s="360">
        <f>IF(year=bargiri[[#This Row],[سال]],1,0)</f>
        <v>0</v>
      </c>
      <c r="J2665" s="360" t="str">
        <f>VLOOKUP(bargiri[[#This Row],[شماره پیش فاکتور]],invoice[],16,0)</f>
        <v>عادی</v>
      </c>
      <c r="K2665" s="252">
        <f>bargiri[[#This Row],[فی]]*bargiri[[#This Row],[میزان بارگیری شده]]</f>
        <v>1416800000</v>
      </c>
    </row>
    <row r="2666" spans="1:11" ht="18.600000000000001">
      <c r="A2666" s="360" t="s">
        <v>438</v>
      </c>
      <c r="B2666" s="360" t="s">
        <v>107</v>
      </c>
      <c r="C2666" s="355" t="s">
        <v>50</v>
      </c>
      <c r="D2666">
        <v>19890</v>
      </c>
      <c r="E2666" s="143">
        <v>70000</v>
      </c>
      <c r="F2666" s="117">
        <v>1403</v>
      </c>
      <c r="G2666" s="360" t="s">
        <v>301</v>
      </c>
      <c r="H2666" s="144">
        <f>bargiri[[#This Row],[میزان بارگیری شده]]*bargiri[[#This Row],[فی]]</f>
        <v>1392300000</v>
      </c>
      <c r="I2666" s="360">
        <f>IF(year=bargiri[[#This Row],[سال]],1,0)</f>
        <v>0</v>
      </c>
      <c r="J2666" s="360" t="str">
        <f>VLOOKUP(bargiri[[#This Row],[شماره پیش فاکتور]],invoice[],16,0)</f>
        <v>عادی</v>
      </c>
      <c r="K2666" s="252">
        <f>bargiri[[#This Row],[فی]]*bargiri[[#This Row],[میزان بارگیری شده]]</f>
        <v>1392300000</v>
      </c>
    </row>
    <row r="2667" spans="1:11" ht="18.600000000000001">
      <c r="A2667" s="360" t="s">
        <v>439</v>
      </c>
      <c r="B2667" s="360" t="s">
        <v>107</v>
      </c>
      <c r="C2667" s="355" t="s">
        <v>50</v>
      </c>
      <c r="D2667">
        <v>19870</v>
      </c>
      <c r="E2667" s="143">
        <v>70000</v>
      </c>
      <c r="F2667" s="117">
        <v>1403</v>
      </c>
      <c r="G2667" s="360" t="s">
        <v>301</v>
      </c>
      <c r="H2667" s="144">
        <f>bargiri[[#This Row],[میزان بارگیری شده]]*bargiri[[#This Row],[فی]]</f>
        <v>1390900000</v>
      </c>
      <c r="I2667" s="360">
        <f>IF(year=bargiri[[#This Row],[سال]],1,0)</f>
        <v>0</v>
      </c>
      <c r="J2667" s="360" t="str">
        <f>VLOOKUP(bargiri[[#This Row],[شماره پیش فاکتور]],invoice[],16,0)</f>
        <v>عادی</v>
      </c>
      <c r="K2667" s="252">
        <f>bargiri[[#This Row],[فی]]*bargiri[[#This Row],[میزان بارگیری شده]]</f>
        <v>1390900000</v>
      </c>
    </row>
    <row r="2668" spans="1:11" ht="18.600000000000001">
      <c r="A2668" s="360" t="s">
        <v>440</v>
      </c>
      <c r="B2668" s="360" t="s">
        <v>107</v>
      </c>
      <c r="C2668" s="355" t="s">
        <v>50</v>
      </c>
      <c r="D2668">
        <v>21815</v>
      </c>
      <c r="E2668" s="143">
        <v>70000</v>
      </c>
      <c r="F2668" s="117">
        <v>1403</v>
      </c>
      <c r="G2668" s="360" t="s">
        <v>302</v>
      </c>
      <c r="H2668" s="144">
        <f>bargiri[[#This Row],[میزان بارگیری شده]]*bargiri[[#This Row],[فی]]</f>
        <v>1527050000</v>
      </c>
      <c r="I2668" s="360">
        <f>IF(year=bargiri[[#This Row],[سال]],1,0)</f>
        <v>0</v>
      </c>
      <c r="J2668" s="360" t="str">
        <f>VLOOKUP(bargiri[[#This Row],[شماره پیش فاکتور]],invoice[],16,0)</f>
        <v>عادی</v>
      </c>
      <c r="K2668" s="252">
        <f>bargiri[[#This Row],[فی]]*bargiri[[#This Row],[میزان بارگیری شده]]</f>
        <v>1527050000</v>
      </c>
    </row>
    <row r="2669" spans="1:11" ht="18.600000000000001">
      <c r="A2669" s="360" t="s">
        <v>441</v>
      </c>
      <c r="B2669" s="360" t="s">
        <v>107</v>
      </c>
      <c r="C2669" s="355" t="s">
        <v>50</v>
      </c>
      <c r="D2669">
        <v>21725</v>
      </c>
      <c r="E2669" s="143">
        <v>70000</v>
      </c>
      <c r="F2669" s="117">
        <v>1403</v>
      </c>
      <c r="G2669" s="360" t="s">
        <v>302</v>
      </c>
      <c r="H2669" s="144">
        <f>bargiri[[#This Row],[میزان بارگیری شده]]*bargiri[[#This Row],[فی]]</f>
        <v>1520750000</v>
      </c>
      <c r="I2669" s="360">
        <f>IF(year=bargiri[[#This Row],[سال]],1,0)</f>
        <v>0</v>
      </c>
      <c r="J2669" s="360" t="str">
        <f>VLOOKUP(bargiri[[#This Row],[شماره پیش فاکتور]],invoice[],16,0)</f>
        <v>عادی</v>
      </c>
      <c r="K2669" s="252">
        <f>bargiri[[#This Row],[فی]]*bargiri[[#This Row],[میزان بارگیری شده]]</f>
        <v>1520750000</v>
      </c>
    </row>
    <row r="2670" spans="1:11" ht="18.600000000000001">
      <c r="A2670" s="360" t="s">
        <v>205</v>
      </c>
      <c r="B2670" s="360" t="s">
        <v>107</v>
      </c>
      <c r="C2670" s="355" t="s">
        <v>50</v>
      </c>
      <c r="D2670">
        <v>21015</v>
      </c>
      <c r="E2670" s="143">
        <v>70000</v>
      </c>
      <c r="F2670" s="117">
        <v>1403</v>
      </c>
      <c r="G2670" s="360" t="s">
        <v>302</v>
      </c>
      <c r="H2670" s="144">
        <f>bargiri[[#This Row],[میزان بارگیری شده]]*bargiri[[#This Row],[فی]]</f>
        <v>1471050000</v>
      </c>
      <c r="I2670" s="360">
        <f>IF(year=bargiri[[#This Row],[سال]],1,0)</f>
        <v>0</v>
      </c>
      <c r="J2670" s="360" t="str">
        <f>VLOOKUP(bargiri[[#This Row],[شماره پیش فاکتور]],invoice[],16,0)</f>
        <v>عادی</v>
      </c>
      <c r="K2670" s="252">
        <f>bargiri[[#This Row],[فی]]*bargiri[[#This Row],[میزان بارگیری شده]]</f>
        <v>1471050000</v>
      </c>
    </row>
    <row r="2671" spans="1:11" ht="18.600000000000001">
      <c r="A2671" s="360" t="s">
        <v>143</v>
      </c>
      <c r="B2671" s="360" t="s">
        <v>115</v>
      </c>
      <c r="C2671" s="355" t="s">
        <v>65</v>
      </c>
      <c r="D2671">
        <v>22005</v>
      </c>
      <c r="E2671" s="143">
        <v>75000</v>
      </c>
      <c r="F2671" s="117">
        <v>1403</v>
      </c>
      <c r="G2671" s="360" t="s">
        <v>301</v>
      </c>
      <c r="H2671" s="144">
        <f>bargiri[[#This Row],[میزان بارگیری شده]]*bargiri[[#This Row],[فی]]</f>
        <v>1650375000</v>
      </c>
      <c r="I2671" s="360">
        <f>IF(year=bargiri[[#This Row],[سال]],1,0)</f>
        <v>0</v>
      </c>
      <c r="J2671" s="360" t="str">
        <f>VLOOKUP(bargiri[[#This Row],[شماره پیش فاکتور]],invoice[],16,0)</f>
        <v>عادی</v>
      </c>
      <c r="K2671" s="252">
        <f>bargiri[[#This Row],[فی]]*bargiri[[#This Row],[میزان بارگیری شده]]</f>
        <v>1650375000</v>
      </c>
    </row>
    <row r="2672" spans="1:11" ht="18.600000000000001">
      <c r="A2672" s="360" t="s">
        <v>143</v>
      </c>
      <c r="B2672" s="360" t="s">
        <v>101</v>
      </c>
      <c r="C2672" s="355" t="s">
        <v>20</v>
      </c>
      <c r="D2672">
        <v>20130</v>
      </c>
      <c r="E2672" s="143">
        <v>68000</v>
      </c>
      <c r="F2672" s="117">
        <v>1403</v>
      </c>
      <c r="G2672" s="360" t="s">
        <v>301</v>
      </c>
      <c r="H2672" s="144">
        <f>bargiri[[#This Row],[میزان بارگیری شده]]*bargiri[[#This Row],[فی]]</f>
        <v>1368840000</v>
      </c>
      <c r="I2672" s="360">
        <f>IF(year=bargiri[[#This Row],[سال]],1,0)</f>
        <v>0</v>
      </c>
      <c r="J2672" s="360" t="str">
        <f>VLOOKUP(bargiri[[#This Row],[شماره پیش فاکتور]],invoice[],16,0)</f>
        <v>عادی</v>
      </c>
      <c r="K2672" s="252">
        <f>bargiri[[#This Row],[فی]]*bargiri[[#This Row],[میزان بارگیری شده]]</f>
        <v>1368840000</v>
      </c>
    </row>
    <row r="2673" spans="1:11" ht="18.600000000000001">
      <c r="A2673" s="360" t="s">
        <v>143</v>
      </c>
      <c r="B2673" s="360" t="s">
        <v>116</v>
      </c>
      <c r="C2673" s="355" t="s">
        <v>77</v>
      </c>
      <c r="D2673">
        <v>20095</v>
      </c>
      <c r="E2673" s="143">
        <v>68500</v>
      </c>
      <c r="F2673" s="117">
        <v>1403</v>
      </c>
      <c r="G2673" s="360" t="s">
        <v>301</v>
      </c>
      <c r="H2673" s="144">
        <f>bargiri[[#This Row],[میزان بارگیری شده]]*bargiri[[#This Row],[فی]]</f>
        <v>1376507500</v>
      </c>
      <c r="I2673" s="360">
        <f>IF(year=bargiri[[#This Row],[سال]],1,0)</f>
        <v>0</v>
      </c>
      <c r="J2673" s="360" t="str">
        <f>VLOOKUP(bargiri[[#This Row],[شماره پیش فاکتور]],invoice[],16,0)</f>
        <v>عادی</v>
      </c>
      <c r="K2673" s="252">
        <f>bargiri[[#This Row],[فی]]*bargiri[[#This Row],[میزان بارگیری شده]]</f>
        <v>1376507500</v>
      </c>
    </row>
    <row r="2674" spans="1:11" ht="18.600000000000001">
      <c r="A2674" s="360" t="s">
        <v>143</v>
      </c>
      <c r="B2674" s="360" t="s">
        <v>102</v>
      </c>
      <c r="C2674" s="355" t="s">
        <v>26</v>
      </c>
      <c r="D2674">
        <v>11070</v>
      </c>
      <c r="E2674" s="143">
        <v>70000</v>
      </c>
      <c r="F2674" s="117">
        <v>1403</v>
      </c>
      <c r="G2674" s="360" t="s">
        <v>301</v>
      </c>
      <c r="H2674" s="144">
        <f>bargiri[[#This Row],[میزان بارگیری شده]]*bargiri[[#This Row],[فی]]</f>
        <v>774900000</v>
      </c>
      <c r="I2674" s="360">
        <f>IF(year=bargiri[[#This Row],[سال]],1,0)</f>
        <v>0</v>
      </c>
      <c r="J2674" s="360" t="str">
        <f>VLOOKUP(bargiri[[#This Row],[شماره پیش فاکتور]],invoice[],16,0)</f>
        <v>عادی</v>
      </c>
      <c r="K2674" s="252">
        <f>bargiri[[#This Row],[فی]]*bargiri[[#This Row],[میزان بارگیری شده]]</f>
        <v>774900000</v>
      </c>
    </row>
    <row r="2675" spans="1:11" ht="18.600000000000001">
      <c r="A2675" s="360" t="s">
        <v>143</v>
      </c>
      <c r="B2675" s="360" t="s">
        <v>104</v>
      </c>
      <c r="C2675" s="355" t="s">
        <v>41</v>
      </c>
      <c r="D2675">
        <v>17965</v>
      </c>
      <c r="E2675" s="143">
        <v>85000</v>
      </c>
      <c r="F2675" s="117">
        <v>1403</v>
      </c>
      <c r="G2675" s="360" t="s">
        <v>301</v>
      </c>
      <c r="H2675" s="144">
        <f>bargiri[[#This Row],[میزان بارگیری شده]]*bargiri[[#This Row],[فی]]</f>
        <v>1527025000</v>
      </c>
      <c r="I2675" s="360">
        <f>IF(year=bargiri[[#This Row],[سال]],1,0)</f>
        <v>0</v>
      </c>
      <c r="J2675" s="360" t="str">
        <f>VLOOKUP(bargiri[[#This Row],[شماره پیش فاکتور]],invoice[],16,0)</f>
        <v>عادی</v>
      </c>
      <c r="K2675" s="252">
        <f>bargiri[[#This Row],[فی]]*bargiri[[#This Row],[میزان بارگیری شده]]</f>
        <v>1527025000</v>
      </c>
    </row>
    <row r="2676" spans="1:11" ht="18.600000000000001">
      <c r="A2676" s="360" t="s">
        <v>143</v>
      </c>
      <c r="B2676" s="360" t="s">
        <v>110</v>
      </c>
      <c r="C2676" s="355" t="s">
        <v>57</v>
      </c>
      <c r="D2676">
        <v>19645</v>
      </c>
      <c r="E2676" s="143">
        <v>78000</v>
      </c>
      <c r="F2676" s="117">
        <v>1403</v>
      </c>
      <c r="G2676" s="360" t="s">
        <v>301</v>
      </c>
      <c r="H2676" s="144">
        <f>bargiri[[#This Row],[میزان بارگیری شده]]*bargiri[[#This Row],[فی]]</f>
        <v>1532310000</v>
      </c>
      <c r="I2676" s="360">
        <f>IF(year=bargiri[[#This Row],[سال]],1,0)</f>
        <v>0</v>
      </c>
      <c r="J2676" s="360" t="str">
        <f>VLOOKUP(bargiri[[#This Row],[شماره پیش فاکتور]],invoice[],16,0)</f>
        <v>عادی</v>
      </c>
      <c r="K2676" s="252">
        <f>bargiri[[#This Row],[فی]]*bargiri[[#This Row],[میزان بارگیری شده]]</f>
        <v>1532310000</v>
      </c>
    </row>
    <row r="2677" spans="1:11" ht="18.600000000000001">
      <c r="A2677" s="360" t="s">
        <v>143</v>
      </c>
      <c r="B2677" s="360" t="s">
        <v>117</v>
      </c>
      <c r="C2677" s="355" t="s">
        <v>82</v>
      </c>
      <c r="D2677">
        <v>20395</v>
      </c>
      <c r="E2677" s="143">
        <v>70000</v>
      </c>
      <c r="F2677" s="117">
        <v>1403</v>
      </c>
      <c r="G2677" s="360" t="s">
        <v>301</v>
      </c>
      <c r="H2677" s="144">
        <f>bargiri[[#This Row],[میزان بارگیری شده]]*bargiri[[#This Row],[فی]]</f>
        <v>1427650000</v>
      </c>
      <c r="I2677" s="360">
        <f>IF(year=bargiri[[#This Row],[سال]],1,0)</f>
        <v>0</v>
      </c>
      <c r="J2677" s="360" t="str">
        <f>VLOOKUP(bargiri[[#This Row],[شماره پیش فاکتور]],invoice[],16,0)</f>
        <v>عادی</v>
      </c>
      <c r="K2677" s="252">
        <f>bargiri[[#This Row],[فی]]*bargiri[[#This Row],[میزان بارگیری شده]]</f>
        <v>1427650000</v>
      </c>
    </row>
    <row r="2678" spans="1:11" ht="18.600000000000001">
      <c r="A2678" s="360" t="s">
        <v>436</v>
      </c>
      <c r="B2678" s="360" t="s">
        <v>104</v>
      </c>
      <c r="C2678" s="355" t="s">
        <v>41</v>
      </c>
      <c r="D2678">
        <v>17815</v>
      </c>
      <c r="E2678" s="143">
        <v>85000</v>
      </c>
      <c r="F2678" s="117">
        <v>1403</v>
      </c>
      <c r="G2678" s="360" t="s">
        <v>301</v>
      </c>
      <c r="H2678" s="144">
        <f>bargiri[[#This Row],[میزان بارگیری شده]]*bargiri[[#This Row],[فی]]</f>
        <v>1514275000</v>
      </c>
      <c r="I2678" s="360">
        <f>IF(year=bargiri[[#This Row],[سال]],1,0)</f>
        <v>0</v>
      </c>
      <c r="J2678" s="360" t="str">
        <f>VLOOKUP(bargiri[[#This Row],[شماره پیش فاکتور]],invoice[],16,0)</f>
        <v>عادی</v>
      </c>
      <c r="K2678" s="252">
        <f>bargiri[[#This Row],[فی]]*bargiri[[#This Row],[میزان بارگیری شده]]</f>
        <v>1514275000</v>
      </c>
    </row>
    <row r="2679" spans="1:11" ht="18.600000000000001">
      <c r="A2679" s="360" t="s">
        <v>436</v>
      </c>
      <c r="B2679" s="360" t="s">
        <v>118</v>
      </c>
      <c r="C2679" s="355" t="s">
        <v>85</v>
      </c>
      <c r="D2679">
        <v>20940</v>
      </c>
      <c r="E2679" s="143">
        <v>56881</v>
      </c>
      <c r="F2679" s="117">
        <v>1403</v>
      </c>
      <c r="G2679" s="360" t="s">
        <v>301</v>
      </c>
      <c r="H2679" s="144">
        <f>bargiri[[#This Row],[میزان بارگیری شده]]*bargiri[[#This Row],[فی]]</f>
        <v>1191088140</v>
      </c>
      <c r="I2679" s="360">
        <f>IF(year=bargiri[[#This Row],[سال]],1,0)</f>
        <v>0</v>
      </c>
      <c r="J2679" s="360" t="str">
        <f>VLOOKUP(bargiri[[#This Row],[شماره پیش فاکتور]],invoice[],16,0)</f>
        <v>عادی</v>
      </c>
      <c r="K2679" s="252">
        <f>bargiri[[#This Row],[فی]]*bargiri[[#This Row],[میزان بارگیری شده]]</f>
        <v>1191088140</v>
      </c>
    </row>
    <row r="2680" spans="1:11" ht="18.600000000000001">
      <c r="A2680" s="360" t="s">
        <v>436</v>
      </c>
      <c r="B2680" s="360" t="s">
        <v>118</v>
      </c>
      <c r="C2680" s="355" t="s">
        <v>85</v>
      </c>
      <c r="D2680">
        <v>20930</v>
      </c>
      <c r="E2680" s="143">
        <v>56881</v>
      </c>
      <c r="F2680" s="117">
        <v>1403</v>
      </c>
      <c r="G2680" s="360" t="s">
        <v>301</v>
      </c>
      <c r="H2680" s="144">
        <f>bargiri[[#This Row],[میزان بارگیری شده]]*bargiri[[#This Row],[فی]]</f>
        <v>1190519330</v>
      </c>
      <c r="I2680" s="360">
        <f>IF(year=bargiri[[#This Row],[سال]],1,0)</f>
        <v>0</v>
      </c>
      <c r="J2680" s="360" t="str">
        <f>VLOOKUP(bargiri[[#This Row],[شماره پیش فاکتور]],invoice[],16,0)</f>
        <v>عادی</v>
      </c>
      <c r="K2680" s="252">
        <f>bargiri[[#This Row],[فی]]*bargiri[[#This Row],[میزان بارگیری شده]]</f>
        <v>1190519330</v>
      </c>
    </row>
    <row r="2681" spans="1:11" ht="18.600000000000001">
      <c r="A2681" s="360" t="s">
        <v>436</v>
      </c>
      <c r="B2681" s="360" t="s">
        <v>118</v>
      </c>
      <c r="C2681" s="355" t="s">
        <v>85</v>
      </c>
      <c r="D2681">
        <v>20860</v>
      </c>
      <c r="E2681" s="143">
        <v>56881</v>
      </c>
      <c r="F2681" s="117">
        <v>1403</v>
      </c>
      <c r="G2681" s="360" t="s">
        <v>301</v>
      </c>
      <c r="H2681" s="144">
        <f>bargiri[[#This Row],[میزان بارگیری شده]]*bargiri[[#This Row],[فی]]</f>
        <v>1186537660</v>
      </c>
      <c r="I2681" s="360">
        <f>IF(year=bargiri[[#This Row],[سال]],1,0)</f>
        <v>0</v>
      </c>
      <c r="J2681" s="360" t="str">
        <f>VLOOKUP(bargiri[[#This Row],[شماره پیش فاکتور]],invoice[],16,0)</f>
        <v>عادی</v>
      </c>
      <c r="K2681" s="252">
        <f>bargiri[[#This Row],[فی]]*bargiri[[#This Row],[میزان بارگیری شده]]</f>
        <v>1186537660</v>
      </c>
    </row>
    <row r="2682" spans="1:11" ht="18.600000000000001">
      <c r="A2682" s="360" t="s">
        <v>436</v>
      </c>
      <c r="B2682" s="360" t="s">
        <v>118</v>
      </c>
      <c r="C2682" s="355" t="s">
        <v>85</v>
      </c>
      <c r="D2682">
        <v>20920</v>
      </c>
      <c r="E2682" s="143">
        <v>56881</v>
      </c>
      <c r="F2682" s="117">
        <v>1403</v>
      </c>
      <c r="G2682" s="360" t="s">
        <v>301</v>
      </c>
      <c r="H2682" s="144">
        <f>bargiri[[#This Row],[میزان بارگیری شده]]*bargiri[[#This Row],[فی]]</f>
        <v>1189950520</v>
      </c>
      <c r="I2682" s="360">
        <f>IF(year=bargiri[[#This Row],[سال]],1,0)</f>
        <v>0</v>
      </c>
      <c r="J2682" s="360" t="str">
        <f>VLOOKUP(bargiri[[#This Row],[شماره پیش فاکتور]],invoice[],16,0)</f>
        <v>عادی</v>
      </c>
      <c r="K2682" s="252">
        <f>bargiri[[#This Row],[فی]]*bargiri[[#This Row],[میزان بارگیری شده]]</f>
        <v>1189950520</v>
      </c>
    </row>
    <row r="2683" spans="1:11" ht="18.600000000000001">
      <c r="A2683" s="360" t="s">
        <v>436</v>
      </c>
      <c r="B2683" s="360" t="s">
        <v>116</v>
      </c>
      <c r="C2683" s="355" t="s">
        <v>77</v>
      </c>
      <c r="D2683">
        <v>20135</v>
      </c>
      <c r="E2683" s="143">
        <v>68500</v>
      </c>
      <c r="F2683" s="117">
        <v>1403</v>
      </c>
      <c r="G2683" s="360" t="s">
        <v>301</v>
      </c>
      <c r="H2683" s="144">
        <f>bargiri[[#This Row],[میزان بارگیری شده]]*bargiri[[#This Row],[فی]]</f>
        <v>1379247500</v>
      </c>
      <c r="I2683" s="360">
        <f>IF(year=bargiri[[#This Row],[سال]],1,0)</f>
        <v>0</v>
      </c>
      <c r="J2683" s="360" t="str">
        <f>VLOOKUP(bargiri[[#This Row],[شماره پیش فاکتور]],invoice[],16,0)</f>
        <v>عادی</v>
      </c>
      <c r="K2683" s="252">
        <f>bargiri[[#This Row],[فی]]*bargiri[[#This Row],[میزان بارگیری شده]]</f>
        <v>1379247500</v>
      </c>
    </row>
    <row r="2684" spans="1:11" ht="18.600000000000001">
      <c r="A2684" s="360" t="s">
        <v>442</v>
      </c>
      <c r="B2684" s="360" t="s">
        <v>118</v>
      </c>
      <c r="C2684" s="355" t="s">
        <v>85</v>
      </c>
      <c r="D2684">
        <v>20085</v>
      </c>
      <c r="E2684" s="143">
        <v>56881</v>
      </c>
      <c r="F2684" s="117">
        <v>1403</v>
      </c>
      <c r="G2684" s="360" t="s">
        <v>301</v>
      </c>
      <c r="H2684" s="144">
        <f>bargiri[[#This Row],[میزان بارگیری شده]]*bargiri[[#This Row],[فی]]</f>
        <v>1142454885</v>
      </c>
      <c r="I2684" s="360">
        <f>IF(year=bargiri[[#This Row],[سال]],1,0)</f>
        <v>0</v>
      </c>
      <c r="J2684" s="360" t="str">
        <f>VLOOKUP(bargiri[[#This Row],[شماره پیش فاکتور]],invoice[],16,0)</f>
        <v>عادی</v>
      </c>
      <c r="K2684" s="252">
        <f>bargiri[[#This Row],[فی]]*bargiri[[#This Row],[میزان بارگیری شده]]</f>
        <v>1142454885</v>
      </c>
    </row>
    <row r="2685" spans="1:11" ht="18.600000000000001">
      <c r="A2685" s="360" t="s">
        <v>442</v>
      </c>
      <c r="B2685" s="360" t="s">
        <v>118</v>
      </c>
      <c r="C2685" s="355" t="s">
        <v>85</v>
      </c>
      <c r="D2685">
        <v>20905</v>
      </c>
      <c r="E2685" s="143">
        <v>56881</v>
      </c>
      <c r="F2685" s="117">
        <v>1403</v>
      </c>
      <c r="G2685" s="360" t="s">
        <v>301</v>
      </c>
      <c r="H2685" s="144">
        <f>bargiri[[#This Row],[میزان بارگیری شده]]*bargiri[[#This Row],[فی]]</f>
        <v>1189097305</v>
      </c>
      <c r="I2685" s="360">
        <f>IF(year=bargiri[[#This Row],[سال]],1,0)</f>
        <v>0</v>
      </c>
      <c r="J2685" s="360" t="str">
        <f>VLOOKUP(bargiri[[#This Row],[شماره پیش فاکتور]],invoice[],16,0)</f>
        <v>عادی</v>
      </c>
      <c r="K2685" s="252">
        <f>bargiri[[#This Row],[فی]]*bargiri[[#This Row],[میزان بارگیری شده]]</f>
        <v>1189097305</v>
      </c>
    </row>
    <row r="2686" spans="1:11" ht="18.600000000000001">
      <c r="A2686" s="360" t="s">
        <v>442</v>
      </c>
      <c r="B2686" s="360" t="s">
        <v>118</v>
      </c>
      <c r="C2686" s="355" t="s">
        <v>85</v>
      </c>
      <c r="D2686">
        <v>21160</v>
      </c>
      <c r="E2686" s="143">
        <v>56881</v>
      </c>
      <c r="F2686" s="117">
        <v>1403</v>
      </c>
      <c r="G2686" s="360" t="s">
        <v>301</v>
      </c>
      <c r="H2686" s="144">
        <f>bargiri[[#This Row],[میزان بارگیری شده]]*bargiri[[#This Row],[فی]]</f>
        <v>1203601960</v>
      </c>
      <c r="I2686" s="360">
        <f>IF(year=bargiri[[#This Row],[سال]],1,0)</f>
        <v>0</v>
      </c>
      <c r="J2686" s="360" t="str">
        <f>VLOOKUP(bargiri[[#This Row],[شماره پیش فاکتور]],invoice[],16,0)</f>
        <v>عادی</v>
      </c>
      <c r="K2686" s="252">
        <f>bargiri[[#This Row],[فی]]*bargiri[[#This Row],[میزان بارگیری شده]]</f>
        <v>1203601960</v>
      </c>
    </row>
    <row r="2687" spans="1:11" ht="18.600000000000001">
      <c r="A2687" s="360" t="s">
        <v>442</v>
      </c>
      <c r="B2687" s="360" t="s">
        <v>116</v>
      </c>
      <c r="C2687" s="355" t="s">
        <v>77</v>
      </c>
      <c r="D2687">
        <v>20080</v>
      </c>
      <c r="E2687" s="143">
        <v>68500</v>
      </c>
      <c r="F2687" s="117">
        <v>1403</v>
      </c>
      <c r="G2687" s="360" t="s">
        <v>301</v>
      </c>
      <c r="H2687" s="144">
        <f>bargiri[[#This Row],[میزان بارگیری شده]]*bargiri[[#This Row],[فی]]</f>
        <v>1375480000</v>
      </c>
      <c r="I2687" s="360">
        <f>IF(year=bargiri[[#This Row],[سال]],1,0)</f>
        <v>0</v>
      </c>
      <c r="J2687" s="360" t="str">
        <f>VLOOKUP(bargiri[[#This Row],[شماره پیش فاکتور]],invoice[],16,0)</f>
        <v>عادی</v>
      </c>
      <c r="K2687" s="252">
        <f>bargiri[[#This Row],[فی]]*bargiri[[#This Row],[میزان بارگیری شده]]</f>
        <v>1375480000</v>
      </c>
    </row>
    <row r="2688" spans="1:11" ht="18.600000000000001">
      <c r="A2688" s="360" t="s">
        <v>442</v>
      </c>
      <c r="B2688" s="360" t="s">
        <v>99</v>
      </c>
      <c r="C2688" s="355" t="s">
        <v>13</v>
      </c>
      <c r="D2688">
        <v>18995</v>
      </c>
      <c r="E2688" s="143">
        <v>65000</v>
      </c>
      <c r="F2688" s="117">
        <v>1403</v>
      </c>
      <c r="G2688" s="360" t="s">
        <v>301</v>
      </c>
      <c r="H2688" s="144">
        <f>bargiri[[#This Row],[میزان بارگیری شده]]*bargiri[[#This Row],[فی]]</f>
        <v>1234675000</v>
      </c>
      <c r="I2688" s="360">
        <f>IF(year=bargiri[[#This Row],[سال]],1,0)</f>
        <v>0</v>
      </c>
      <c r="J2688" s="360" t="str">
        <f>VLOOKUP(bargiri[[#This Row],[شماره پیش فاکتور]],invoice[],16,0)</f>
        <v>عادی</v>
      </c>
      <c r="K2688" s="252">
        <f>bargiri[[#This Row],[فی]]*bargiri[[#This Row],[میزان بارگیری شده]]</f>
        <v>1234675000</v>
      </c>
    </row>
    <row r="2689" spans="1:11" ht="18.600000000000001">
      <c r="A2689" s="360" t="s">
        <v>442</v>
      </c>
      <c r="B2689" s="360" t="s">
        <v>102</v>
      </c>
      <c r="C2689" s="355" t="s">
        <v>26</v>
      </c>
      <c r="D2689">
        <v>11185</v>
      </c>
      <c r="E2689" s="143">
        <v>70000</v>
      </c>
      <c r="F2689" s="117">
        <v>1403</v>
      </c>
      <c r="G2689" s="360" t="s">
        <v>301</v>
      </c>
      <c r="H2689" s="144">
        <f>bargiri[[#This Row],[میزان بارگیری شده]]*bargiri[[#This Row],[فی]]</f>
        <v>782950000</v>
      </c>
      <c r="I2689" s="360">
        <f>IF(year=bargiri[[#This Row],[سال]],1,0)</f>
        <v>0</v>
      </c>
      <c r="J2689" s="360" t="str">
        <f>VLOOKUP(bargiri[[#This Row],[شماره پیش فاکتور]],invoice[],16,0)</f>
        <v>عادی</v>
      </c>
      <c r="K2689" s="252">
        <f>bargiri[[#This Row],[فی]]*bargiri[[#This Row],[میزان بارگیری شده]]</f>
        <v>782950000</v>
      </c>
    </row>
    <row r="2690" spans="1:11" ht="18.600000000000001">
      <c r="A2690" s="360" t="s">
        <v>442</v>
      </c>
      <c r="B2690" s="360" t="s">
        <v>116</v>
      </c>
      <c r="C2690" s="355" t="s">
        <v>77</v>
      </c>
      <c r="D2690">
        <v>8060</v>
      </c>
      <c r="E2690" s="143">
        <v>68500</v>
      </c>
      <c r="F2690" s="117">
        <v>1403</v>
      </c>
      <c r="G2690" s="360" t="s">
        <v>301</v>
      </c>
      <c r="H2690" s="144">
        <f>bargiri[[#This Row],[میزان بارگیری شده]]*bargiri[[#This Row],[فی]]</f>
        <v>552110000</v>
      </c>
      <c r="I2690" s="360">
        <f>IF(year=bargiri[[#This Row],[سال]],1,0)</f>
        <v>0</v>
      </c>
      <c r="J2690" s="360" t="str">
        <f>VLOOKUP(bargiri[[#This Row],[شماره پیش فاکتور]],invoice[],16,0)</f>
        <v>عادی</v>
      </c>
      <c r="K2690" s="252">
        <f>bargiri[[#This Row],[فی]]*bargiri[[#This Row],[میزان بارگیری شده]]</f>
        <v>552110000</v>
      </c>
    </row>
    <row r="2691" spans="1:11" ht="18.600000000000001">
      <c r="A2691" s="360" t="s">
        <v>442</v>
      </c>
      <c r="B2691" s="360" t="s">
        <v>106</v>
      </c>
      <c r="C2691" s="355" t="s">
        <v>48</v>
      </c>
      <c r="D2691">
        <v>20310</v>
      </c>
      <c r="E2691" s="143">
        <v>65000</v>
      </c>
      <c r="F2691" s="117">
        <v>1403</v>
      </c>
      <c r="G2691" s="360" t="s">
        <v>301</v>
      </c>
      <c r="H2691" s="144">
        <f>bargiri[[#This Row],[میزان بارگیری شده]]*bargiri[[#This Row],[فی]]</f>
        <v>1320150000</v>
      </c>
      <c r="I2691" s="360">
        <f>IF(year=bargiri[[#This Row],[سال]],1,0)</f>
        <v>0</v>
      </c>
      <c r="J2691" s="360" t="str">
        <f>VLOOKUP(bargiri[[#This Row],[شماره پیش فاکتور]],invoice[],16,0)</f>
        <v>عادی</v>
      </c>
      <c r="K2691" s="252">
        <f>bargiri[[#This Row],[فی]]*bargiri[[#This Row],[میزان بارگیری شده]]</f>
        <v>1320150000</v>
      </c>
    </row>
    <row r="2692" spans="1:11" ht="18.600000000000001">
      <c r="A2692" s="360" t="s">
        <v>442</v>
      </c>
      <c r="B2692" s="360" t="s">
        <v>99</v>
      </c>
      <c r="C2692" s="355" t="s">
        <v>13</v>
      </c>
      <c r="D2692">
        <v>19095</v>
      </c>
      <c r="E2692" s="143">
        <v>65000</v>
      </c>
      <c r="F2692" s="117">
        <v>1403</v>
      </c>
      <c r="G2692" s="360" t="s">
        <v>301</v>
      </c>
      <c r="H2692" s="144">
        <f>bargiri[[#This Row],[میزان بارگیری شده]]*bargiri[[#This Row],[فی]]</f>
        <v>1241175000</v>
      </c>
      <c r="I2692" s="360">
        <f>IF(year=bargiri[[#This Row],[سال]],1,0)</f>
        <v>0</v>
      </c>
      <c r="J2692" s="360" t="str">
        <f>VLOOKUP(bargiri[[#This Row],[شماره پیش فاکتور]],invoice[],16,0)</f>
        <v>عادی</v>
      </c>
      <c r="K2692" s="252">
        <f>bargiri[[#This Row],[فی]]*bargiri[[#This Row],[میزان بارگیری شده]]</f>
        <v>1241175000</v>
      </c>
    </row>
    <row r="2693" spans="1:11" ht="18.600000000000001">
      <c r="A2693" s="360" t="s">
        <v>443</v>
      </c>
      <c r="B2693" s="360" t="s">
        <v>106</v>
      </c>
      <c r="C2693" s="355" t="s">
        <v>48</v>
      </c>
      <c r="D2693">
        <v>20120</v>
      </c>
      <c r="E2693" s="143">
        <v>65000</v>
      </c>
      <c r="F2693" s="117">
        <v>1403</v>
      </c>
      <c r="G2693" s="360" t="s">
        <v>301</v>
      </c>
      <c r="H2693" s="144">
        <f>bargiri[[#This Row],[میزان بارگیری شده]]*bargiri[[#This Row],[فی]]</f>
        <v>1307800000</v>
      </c>
      <c r="I2693" s="360">
        <f>IF(year=bargiri[[#This Row],[سال]],1,0)</f>
        <v>0</v>
      </c>
      <c r="J2693" s="360" t="str">
        <f>VLOOKUP(bargiri[[#This Row],[شماره پیش فاکتور]],invoice[],16,0)</f>
        <v>عادی</v>
      </c>
      <c r="K2693" s="252">
        <f>bargiri[[#This Row],[فی]]*bargiri[[#This Row],[میزان بارگیری شده]]</f>
        <v>1307800000</v>
      </c>
    </row>
    <row r="2694" spans="1:11" ht="18.600000000000001">
      <c r="A2694" s="360" t="s">
        <v>443</v>
      </c>
      <c r="B2694" s="360" t="s">
        <v>98</v>
      </c>
      <c r="C2694" s="355" t="s">
        <v>11</v>
      </c>
      <c r="D2694">
        <v>20205</v>
      </c>
      <c r="E2694" s="143">
        <v>77000</v>
      </c>
      <c r="F2694" s="117">
        <v>1403</v>
      </c>
      <c r="G2694" s="360" t="s">
        <v>301</v>
      </c>
      <c r="H2694" s="144">
        <f>bargiri[[#This Row],[میزان بارگیری شده]]*bargiri[[#This Row],[فی]]</f>
        <v>1555785000</v>
      </c>
      <c r="I2694" s="360">
        <f>IF(year=bargiri[[#This Row],[سال]],1,0)</f>
        <v>0</v>
      </c>
      <c r="J2694" s="360" t="str">
        <f>VLOOKUP(bargiri[[#This Row],[شماره پیش فاکتور]],invoice[],16,0)</f>
        <v>عادی</v>
      </c>
      <c r="K2694" s="252">
        <f>bargiri[[#This Row],[فی]]*bargiri[[#This Row],[میزان بارگیری شده]]</f>
        <v>1555785000</v>
      </c>
    </row>
    <row r="2695" spans="1:11" ht="18.600000000000001">
      <c r="A2695" s="360" t="s">
        <v>443</v>
      </c>
      <c r="B2695" s="360" t="s">
        <v>101</v>
      </c>
      <c r="C2695" s="355" t="s">
        <v>20</v>
      </c>
      <c r="D2695">
        <v>20300</v>
      </c>
      <c r="E2695" s="143">
        <v>68000</v>
      </c>
      <c r="F2695" s="117">
        <v>1403</v>
      </c>
      <c r="G2695" s="360" t="s">
        <v>301</v>
      </c>
      <c r="H2695" s="144">
        <f>bargiri[[#This Row],[میزان بارگیری شده]]*bargiri[[#This Row],[فی]]</f>
        <v>1380400000</v>
      </c>
      <c r="I2695" s="360">
        <f>IF(year=bargiri[[#This Row],[سال]],1,0)</f>
        <v>0</v>
      </c>
      <c r="J2695" s="360" t="str">
        <f>VLOOKUP(bargiri[[#This Row],[شماره پیش فاکتور]],invoice[],16,0)</f>
        <v>عادی</v>
      </c>
      <c r="K2695" s="252">
        <f>bargiri[[#This Row],[فی]]*bargiri[[#This Row],[میزان بارگیری شده]]</f>
        <v>1380400000</v>
      </c>
    </row>
    <row r="2696" spans="1:11" ht="18.600000000000001">
      <c r="A2696" s="360" t="s">
        <v>443</v>
      </c>
      <c r="B2696" s="360" t="s">
        <v>104</v>
      </c>
      <c r="C2696" s="355" t="s">
        <v>41</v>
      </c>
      <c r="D2696">
        <v>18140</v>
      </c>
      <c r="E2696" s="143">
        <v>85000</v>
      </c>
      <c r="F2696" s="117">
        <v>1403</v>
      </c>
      <c r="G2696" s="360" t="s">
        <v>301</v>
      </c>
      <c r="H2696" s="144">
        <f>bargiri[[#This Row],[میزان بارگیری شده]]*bargiri[[#This Row],[فی]]</f>
        <v>1541900000</v>
      </c>
      <c r="I2696" s="360">
        <f>IF(year=bargiri[[#This Row],[سال]],1,0)</f>
        <v>0</v>
      </c>
      <c r="J2696" s="360" t="str">
        <f>VLOOKUP(bargiri[[#This Row],[شماره پیش فاکتور]],invoice[],16,0)</f>
        <v>عادی</v>
      </c>
      <c r="K2696" s="252">
        <f>bargiri[[#This Row],[فی]]*bargiri[[#This Row],[میزان بارگیری شده]]</f>
        <v>1541900000</v>
      </c>
    </row>
    <row r="2697" spans="1:11" ht="18.600000000000001">
      <c r="A2697" s="360" t="s">
        <v>443</v>
      </c>
      <c r="B2697" s="360" t="s">
        <v>116</v>
      </c>
      <c r="C2697" s="355" t="s">
        <v>77</v>
      </c>
      <c r="D2697">
        <v>20200</v>
      </c>
      <c r="E2697" s="143">
        <v>68500</v>
      </c>
      <c r="F2697" s="117">
        <v>1403</v>
      </c>
      <c r="G2697" s="360" t="s">
        <v>301</v>
      </c>
      <c r="H2697" s="144">
        <f>bargiri[[#This Row],[میزان بارگیری شده]]*bargiri[[#This Row],[فی]]</f>
        <v>1383700000</v>
      </c>
      <c r="I2697" s="360">
        <f>IF(year=bargiri[[#This Row],[سال]],1,0)</f>
        <v>0</v>
      </c>
      <c r="J2697" s="360" t="str">
        <f>VLOOKUP(bargiri[[#This Row],[شماره پیش فاکتور]],invoice[],16,0)</f>
        <v>عادی</v>
      </c>
      <c r="K2697" s="252">
        <f>bargiri[[#This Row],[فی]]*bargiri[[#This Row],[میزان بارگیری شده]]</f>
        <v>1383700000</v>
      </c>
    </row>
    <row r="2698" spans="1:11" ht="18.600000000000001">
      <c r="A2698" s="360" t="s">
        <v>444</v>
      </c>
      <c r="B2698" s="360" t="s">
        <v>116</v>
      </c>
      <c r="C2698" s="355" t="s">
        <v>77</v>
      </c>
      <c r="D2698">
        <v>19995</v>
      </c>
      <c r="E2698" s="143">
        <v>68500</v>
      </c>
      <c r="F2698" s="117">
        <v>1403</v>
      </c>
      <c r="G2698" s="360" t="s">
        <v>301</v>
      </c>
      <c r="H2698" s="144">
        <f>bargiri[[#This Row],[میزان بارگیری شده]]*bargiri[[#This Row],[فی]]</f>
        <v>1369657500</v>
      </c>
      <c r="I2698" s="360">
        <f>IF(year=bargiri[[#This Row],[سال]],1,0)</f>
        <v>0</v>
      </c>
      <c r="J2698" s="360" t="str">
        <f>VLOOKUP(bargiri[[#This Row],[شماره پیش فاکتور]],invoice[],16,0)</f>
        <v>عادی</v>
      </c>
      <c r="K2698" s="252">
        <f>bargiri[[#This Row],[فی]]*bargiri[[#This Row],[میزان بارگیری شده]]</f>
        <v>1369657500</v>
      </c>
    </row>
    <row r="2699" spans="1:11" ht="18.600000000000001">
      <c r="A2699" s="360" t="s">
        <v>444</v>
      </c>
      <c r="B2699" s="360" t="s">
        <v>116</v>
      </c>
      <c r="C2699" s="355" t="s">
        <v>77</v>
      </c>
      <c r="D2699">
        <v>8120</v>
      </c>
      <c r="E2699" s="143">
        <v>68500</v>
      </c>
      <c r="F2699" s="117">
        <v>1403</v>
      </c>
      <c r="G2699" s="360" t="s">
        <v>301</v>
      </c>
      <c r="H2699" s="144">
        <f>bargiri[[#This Row],[میزان بارگیری شده]]*bargiri[[#This Row],[فی]]</f>
        <v>556220000</v>
      </c>
      <c r="I2699" s="360">
        <f>IF(year=bargiri[[#This Row],[سال]],1,0)</f>
        <v>0</v>
      </c>
      <c r="J2699" s="360" t="str">
        <f>VLOOKUP(bargiri[[#This Row],[شماره پیش فاکتور]],invoice[],16,0)</f>
        <v>عادی</v>
      </c>
      <c r="K2699" s="252">
        <f>bargiri[[#This Row],[فی]]*bargiri[[#This Row],[میزان بارگیری شده]]</f>
        <v>556220000</v>
      </c>
    </row>
    <row r="2700" spans="1:11" ht="18.600000000000001">
      <c r="A2700" s="360" t="s">
        <v>444</v>
      </c>
      <c r="B2700" s="360" t="s">
        <v>117</v>
      </c>
      <c r="C2700" s="355" t="s">
        <v>82</v>
      </c>
      <c r="D2700">
        <v>20285</v>
      </c>
      <c r="E2700" s="143">
        <v>70000</v>
      </c>
      <c r="F2700" s="117">
        <v>1403</v>
      </c>
      <c r="G2700" s="360" t="s">
        <v>301</v>
      </c>
      <c r="H2700" s="144">
        <f>bargiri[[#This Row],[میزان بارگیری شده]]*bargiri[[#This Row],[فی]]</f>
        <v>1419950000</v>
      </c>
      <c r="I2700" s="360">
        <f>IF(year=bargiri[[#This Row],[سال]],1,0)</f>
        <v>0</v>
      </c>
      <c r="J2700" s="360" t="str">
        <f>VLOOKUP(bargiri[[#This Row],[شماره پیش فاکتور]],invoice[],16,0)</f>
        <v>عادی</v>
      </c>
      <c r="K2700" s="252">
        <f>bargiri[[#This Row],[فی]]*bargiri[[#This Row],[میزان بارگیری شده]]</f>
        <v>1419950000</v>
      </c>
    </row>
    <row r="2701" spans="1:11" ht="18.600000000000001">
      <c r="A2701" s="360" t="s">
        <v>437</v>
      </c>
      <c r="B2701" s="360" t="s">
        <v>99</v>
      </c>
      <c r="C2701" s="355" t="s">
        <v>13</v>
      </c>
      <c r="D2701">
        <v>19035</v>
      </c>
      <c r="E2701" s="143">
        <v>65000</v>
      </c>
      <c r="F2701" s="117">
        <v>1403</v>
      </c>
      <c r="G2701" s="360" t="s">
        <v>301</v>
      </c>
      <c r="H2701" s="144">
        <f>bargiri[[#This Row],[میزان بارگیری شده]]*bargiri[[#This Row],[فی]]</f>
        <v>1237275000</v>
      </c>
      <c r="I2701" s="360">
        <f>IF(year=bargiri[[#This Row],[سال]],1,0)</f>
        <v>0</v>
      </c>
      <c r="J2701" s="360" t="str">
        <f>VLOOKUP(bargiri[[#This Row],[شماره پیش فاکتور]],invoice[],16,0)</f>
        <v>عادی</v>
      </c>
      <c r="K2701" s="252">
        <f>bargiri[[#This Row],[فی]]*bargiri[[#This Row],[میزان بارگیری شده]]</f>
        <v>1237275000</v>
      </c>
    </row>
    <row r="2702" spans="1:11" ht="18.600000000000001">
      <c r="A2702" s="360" t="s">
        <v>437</v>
      </c>
      <c r="B2702" s="360" t="s">
        <v>102</v>
      </c>
      <c r="C2702" s="355" t="s">
        <v>26</v>
      </c>
      <c r="D2702">
        <v>11410</v>
      </c>
      <c r="E2702" s="143">
        <v>70000</v>
      </c>
      <c r="F2702" s="117">
        <v>1403</v>
      </c>
      <c r="G2702" s="360" t="s">
        <v>301</v>
      </c>
      <c r="H2702" s="144">
        <f>bargiri[[#This Row],[میزان بارگیری شده]]*bargiri[[#This Row],[فی]]</f>
        <v>798700000</v>
      </c>
      <c r="I2702" s="360">
        <f>IF(year=bargiri[[#This Row],[سال]],1,0)</f>
        <v>0</v>
      </c>
      <c r="J2702" s="360" t="str">
        <f>VLOOKUP(bargiri[[#This Row],[شماره پیش فاکتور]],invoice[],16,0)</f>
        <v>عادی</v>
      </c>
      <c r="K2702" s="252">
        <f>bargiri[[#This Row],[فی]]*bargiri[[#This Row],[میزان بارگیری شده]]</f>
        <v>798700000</v>
      </c>
    </row>
    <row r="2703" spans="1:11" ht="18.600000000000001">
      <c r="A2703" s="360" t="s">
        <v>437</v>
      </c>
      <c r="B2703" s="360" t="s">
        <v>115</v>
      </c>
      <c r="C2703" s="355" t="s">
        <v>65</v>
      </c>
      <c r="D2703">
        <v>22180</v>
      </c>
      <c r="E2703" s="143">
        <v>75000</v>
      </c>
      <c r="F2703" s="117">
        <v>1403</v>
      </c>
      <c r="G2703" s="360" t="s">
        <v>301</v>
      </c>
      <c r="H2703" s="144">
        <f>bargiri[[#This Row],[میزان بارگیری شده]]*bargiri[[#This Row],[فی]]</f>
        <v>1663500000</v>
      </c>
      <c r="I2703" s="360">
        <f>IF(year=bargiri[[#This Row],[سال]],1,0)</f>
        <v>0</v>
      </c>
      <c r="J2703" s="360" t="str">
        <f>VLOOKUP(bargiri[[#This Row],[شماره پیش فاکتور]],invoice[],16,0)</f>
        <v>عادی</v>
      </c>
      <c r="K2703" s="252">
        <f>bargiri[[#This Row],[فی]]*bargiri[[#This Row],[میزان بارگیری شده]]</f>
        <v>1663500000</v>
      </c>
    </row>
    <row r="2704" spans="1:11" ht="18.600000000000001">
      <c r="A2704" s="360" t="s">
        <v>437</v>
      </c>
      <c r="B2704" s="360" t="s">
        <v>116</v>
      </c>
      <c r="C2704" s="355" t="s">
        <v>77</v>
      </c>
      <c r="D2704">
        <v>20165</v>
      </c>
      <c r="E2704" s="143">
        <v>68500</v>
      </c>
      <c r="F2704" s="117">
        <v>1403</v>
      </c>
      <c r="G2704" s="360" t="s">
        <v>301</v>
      </c>
      <c r="H2704" s="144">
        <f>bargiri[[#This Row],[میزان بارگیری شده]]*bargiri[[#This Row],[فی]]</f>
        <v>1381302500</v>
      </c>
      <c r="I2704" s="360">
        <f>IF(year=bargiri[[#This Row],[سال]],1,0)</f>
        <v>0</v>
      </c>
      <c r="J2704" s="360" t="str">
        <f>VLOOKUP(bargiri[[#This Row],[شماره پیش فاکتور]],invoice[],16,0)</f>
        <v>عادی</v>
      </c>
      <c r="K2704" s="252">
        <f>bargiri[[#This Row],[فی]]*bargiri[[#This Row],[میزان بارگیری شده]]</f>
        <v>1381302500</v>
      </c>
    </row>
    <row r="2705" spans="1:11" ht="18.600000000000001">
      <c r="A2705" s="360" t="s">
        <v>437</v>
      </c>
      <c r="B2705" s="360" t="s">
        <v>104</v>
      </c>
      <c r="C2705" s="355" t="s">
        <v>41</v>
      </c>
      <c r="D2705">
        <v>18055</v>
      </c>
      <c r="E2705" s="143">
        <v>85000</v>
      </c>
      <c r="F2705" s="117">
        <v>1403</v>
      </c>
      <c r="G2705" s="360" t="s">
        <v>301</v>
      </c>
      <c r="H2705" s="144">
        <f>bargiri[[#This Row],[میزان بارگیری شده]]*bargiri[[#This Row],[فی]]</f>
        <v>1534675000</v>
      </c>
      <c r="I2705" s="360">
        <f>IF(year=bargiri[[#This Row],[سال]],1,0)</f>
        <v>0</v>
      </c>
      <c r="J2705" s="360" t="str">
        <f>VLOOKUP(bargiri[[#This Row],[شماره پیش فاکتور]],invoice[],16,0)</f>
        <v>عادی</v>
      </c>
      <c r="K2705" s="252">
        <f>bargiri[[#This Row],[فی]]*bargiri[[#This Row],[میزان بارگیری شده]]</f>
        <v>1534675000</v>
      </c>
    </row>
    <row r="2706" spans="1:11" ht="18.600000000000001">
      <c r="A2706" s="360" t="s">
        <v>438</v>
      </c>
      <c r="B2706" s="360" t="s">
        <v>116</v>
      </c>
      <c r="C2706" s="355" t="s">
        <v>77</v>
      </c>
      <c r="D2706">
        <v>20205</v>
      </c>
      <c r="E2706" s="143">
        <v>68500</v>
      </c>
      <c r="F2706" s="117">
        <v>1403</v>
      </c>
      <c r="G2706" s="360" t="s">
        <v>301</v>
      </c>
      <c r="H2706" s="144">
        <f>bargiri[[#This Row],[میزان بارگیری شده]]*bargiri[[#This Row],[فی]]</f>
        <v>1384042500</v>
      </c>
      <c r="I2706" s="360">
        <f>IF(year=bargiri[[#This Row],[سال]],1,0)</f>
        <v>0</v>
      </c>
      <c r="J2706" s="360" t="str">
        <f>VLOOKUP(bargiri[[#This Row],[شماره پیش فاکتور]],invoice[],16,0)</f>
        <v>عادی</v>
      </c>
      <c r="K2706" s="252">
        <f>bargiri[[#This Row],[فی]]*bargiri[[#This Row],[میزان بارگیری شده]]</f>
        <v>1384042500</v>
      </c>
    </row>
    <row r="2707" spans="1:11" ht="18.600000000000001">
      <c r="A2707" s="360" t="s">
        <v>438</v>
      </c>
      <c r="B2707" s="360" t="s">
        <v>115</v>
      </c>
      <c r="C2707" s="355" t="s">
        <v>65</v>
      </c>
      <c r="D2707">
        <v>21965</v>
      </c>
      <c r="E2707" s="143">
        <v>75000</v>
      </c>
      <c r="F2707" s="117">
        <v>1403</v>
      </c>
      <c r="G2707" s="360" t="s">
        <v>301</v>
      </c>
      <c r="H2707" s="144">
        <f>bargiri[[#This Row],[میزان بارگیری شده]]*bargiri[[#This Row],[فی]]</f>
        <v>1647375000</v>
      </c>
      <c r="I2707" s="360">
        <f>IF(year=bargiri[[#This Row],[سال]],1,0)</f>
        <v>0</v>
      </c>
      <c r="J2707" s="360" t="str">
        <f>VLOOKUP(bargiri[[#This Row],[شماره پیش فاکتور]],invoice[],16,0)</f>
        <v>عادی</v>
      </c>
      <c r="K2707" s="252">
        <f>bargiri[[#This Row],[فی]]*bargiri[[#This Row],[میزان بارگیری شده]]</f>
        <v>1647375000</v>
      </c>
    </row>
    <row r="2708" spans="1:11" ht="18.600000000000001">
      <c r="A2708" s="360" t="s">
        <v>438</v>
      </c>
      <c r="B2708" s="360" t="s">
        <v>118</v>
      </c>
      <c r="C2708" s="355" t="s">
        <v>85</v>
      </c>
      <c r="D2708">
        <v>20520</v>
      </c>
      <c r="E2708" s="143">
        <v>56881</v>
      </c>
      <c r="F2708" s="117">
        <v>1403</v>
      </c>
      <c r="G2708" s="360" t="s">
        <v>301</v>
      </c>
      <c r="H2708" s="144">
        <f>bargiri[[#This Row],[میزان بارگیری شده]]*bargiri[[#This Row],[فی]]</f>
        <v>1167198120</v>
      </c>
      <c r="I2708" s="360">
        <f>IF(year=bargiri[[#This Row],[سال]],1,0)</f>
        <v>0</v>
      </c>
      <c r="J2708" s="360" t="str">
        <f>VLOOKUP(bargiri[[#This Row],[شماره پیش فاکتور]],invoice[],16,0)</f>
        <v>عادی</v>
      </c>
      <c r="K2708" s="252">
        <f>bargiri[[#This Row],[فی]]*bargiri[[#This Row],[میزان بارگیری شده]]</f>
        <v>1167198120</v>
      </c>
    </row>
    <row r="2709" spans="1:11" ht="18.600000000000001">
      <c r="A2709" s="360" t="s">
        <v>438</v>
      </c>
      <c r="B2709" s="360" t="s">
        <v>118</v>
      </c>
      <c r="C2709" s="355" t="s">
        <v>85</v>
      </c>
      <c r="D2709">
        <v>20470</v>
      </c>
      <c r="E2709" s="143">
        <v>56881</v>
      </c>
      <c r="F2709" s="117">
        <v>1403</v>
      </c>
      <c r="G2709" s="360" t="s">
        <v>301</v>
      </c>
      <c r="H2709" s="144">
        <f>bargiri[[#This Row],[میزان بارگیری شده]]*bargiri[[#This Row],[فی]]</f>
        <v>1164354070</v>
      </c>
      <c r="I2709" s="360">
        <f>IF(year=bargiri[[#This Row],[سال]],1,0)</f>
        <v>0</v>
      </c>
      <c r="J2709" s="360" t="str">
        <f>VLOOKUP(bargiri[[#This Row],[شماره پیش فاکتور]],invoice[],16,0)</f>
        <v>عادی</v>
      </c>
      <c r="K2709" s="252">
        <f>bargiri[[#This Row],[فی]]*bargiri[[#This Row],[میزان بارگیری شده]]</f>
        <v>1164354070</v>
      </c>
    </row>
    <row r="2710" spans="1:11" ht="18.600000000000001">
      <c r="A2710" s="360" t="s">
        <v>438</v>
      </c>
      <c r="B2710" s="360" t="s">
        <v>118</v>
      </c>
      <c r="C2710" s="355" t="s">
        <v>85</v>
      </c>
      <c r="D2710">
        <v>21180</v>
      </c>
      <c r="E2710" s="143">
        <v>56881</v>
      </c>
      <c r="F2710" s="117">
        <v>1403</v>
      </c>
      <c r="G2710" s="360" t="s">
        <v>301</v>
      </c>
      <c r="H2710" s="144">
        <f>bargiri[[#This Row],[میزان بارگیری شده]]*bargiri[[#This Row],[فی]]</f>
        <v>1204739580</v>
      </c>
      <c r="I2710" s="360">
        <f>IF(year=bargiri[[#This Row],[سال]],1,0)</f>
        <v>0</v>
      </c>
      <c r="J2710" s="360" t="str">
        <f>VLOOKUP(bargiri[[#This Row],[شماره پیش فاکتور]],invoice[],16,0)</f>
        <v>عادی</v>
      </c>
      <c r="K2710" s="252">
        <f>bargiri[[#This Row],[فی]]*bargiri[[#This Row],[میزان بارگیری شده]]</f>
        <v>1204739580</v>
      </c>
    </row>
    <row r="2711" spans="1:11" ht="18.600000000000001">
      <c r="A2711" s="360" t="s">
        <v>438</v>
      </c>
      <c r="B2711" s="360" t="s">
        <v>99</v>
      </c>
      <c r="C2711" s="355" t="s">
        <v>13</v>
      </c>
      <c r="D2711">
        <v>19050</v>
      </c>
      <c r="E2711" s="143">
        <v>65000</v>
      </c>
      <c r="F2711" s="117">
        <v>1403</v>
      </c>
      <c r="G2711" s="360" t="s">
        <v>301</v>
      </c>
      <c r="H2711" s="144">
        <f>bargiri[[#This Row],[میزان بارگیری شده]]*bargiri[[#This Row],[فی]]</f>
        <v>1238250000</v>
      </c>
      <c r="I2711" s="360">
        <f>IF(year=bargiri[[#This Row],[سال]],1,0)</f>
        <v>0</v>
      </c>
      <c r="J2711" s="360" t="str">
        <f>VLOOKUP(bargiri[[#This Row],[شماره پیش فاکتور]],invoice[],16,0)</f>
        <v>عادی</v>
      </c>
      <c r="K2711" s="252">
        <f>bargiri[[#This Row],[فی]]*bargiri[[#This Row],[میزان بارگیری شده]]</f>
        <v>1238250000</v>
      </c>
    </row>
    <row r="2712" spans="1:11" ht="18.600000000000001">
      <c r="A2712" s="360" t="s">
        <v>439</v>
      </c>
      <c r="B2712" s="360" t="s">
        <v>102</v>
      </c>
      <c r="C2712" s="355" t="s">
        <v>26</v>
      </c>
      <c r="D2712">
        <v>11740</v>
      </c>
      <c r="E2712" s="143">
        <v>70000</v>
      </c>
      <c r="F2712" s="117">
        <v>1403</v>
      </c>
      <c r="G2712" s="360" t="s">
        <v>301</v>
      </c>
      <c r="H2712" s="144">
        <f>bargiri[[#This Row],[میزان بارگیری شده]]*bargiri[[#This Row],[فی]]</f>
        <v>821800000</v>
      </c>
      <c r="I2712" s="360">
        <f>IF(year=bargiri[[#This Row],[سال]],1,0)</f>
        <v>0</v>
      </c>
      <c r="J2712" s="360" t="str">
        <f>VLOOKUP(bargiri[[#This Row],[شماره پیش فاکتور]],invoice[],16,0)</f>
        <v>عادی</v>
      </c>
      <c r="K2712" s="252">
        <f>bargiri[[#This Row],[فی]]*bargiri[[#This Row],[میزان بارگیری شده]]</f>
        <v>821800000</v>
      </c>
    </row>
    <row r="2713" spans="1:11" ht="18.600000000000001">
      <c r="A2713" s="360" t="s">
        <v>439</v>
      </c>
      <c r="B2713" s="360" t="s">
        <v>118</v>
      </c>
      <c r="C2713" s="355" t="s">
        <v>85</v>
      </c>
      <c r="D2713">
        <v>20460</v>
      </c>
      <c r="E2713" s="143">
        <v>56881</v>
      </c>
      <c r="F2713" s="117">
        <v>1403</v>
      </c>
      <c r="G2713" s="360" t="s">
        <v>301</v>
      </c>
      <c r="H2713" s="144">
        <f>bargiri[[#This Row],[میزان بارگیری شده]]*bargiri[[#This Row],[فی]]</f>
        <v>1163785260</v>
      </c>
      <c r="I2713" s="360">
        <f>IF(year=bargiri[[#This Row],[سال]],1,0)</f>
        <v>0</v>
      </c>
      <c r="J2713" s="360" t="str">
        <f>VLOOKUP(bargiri[[#This Row],[شماره پیش فاکتور]],invoice[],16,0)</f>
        <v>عادی</v>
      </c>
      <c r="K2713" s="252">
        <f>bargiri[[#This Row],[فی]]*bargiri[[#This Row],[میزان بارگیری شده]]</f>
        <v>1163785260</v>
      </c>
    </row>
    <row r="2714" spans="1:11" ht="18.600000000000001">
      <c r="A2714" s="360" t="s">
        <v>439</v>
      </c>
      <c r="B2714" s="360" t="s">
        <v>118</v>
      </c>
      <c r="C2714" s="355" t="s">
        <v>85</v>
      </c>
      <c r="D2714">
        <v>20925</v>
      </c>
      <c r="E2714" s="143">
        <v>56881</v>
      </c>
      <c r="F2714" s="117">
        <v>1403</v>
      </c>
      <c r="G2714" s="360" t="s">
        <v>301</v>
      </c>
      <c r="H2714" s="144">
        <f>bargiri[[#This Row],[میزان بارگیری شده]]*bargiri[[#This Row],[فی]]</f>
        <v>1190234925</v>
      </c>
      <c r="I2714" s="360">
        <f>IF(year=bargiri[[#This Row],[سال]],1,0)</f>
        <v>0</v>
      </c>
      <c r="J2714" s="360" t="str">
        <f>VLOOKUP(bargiri[[#This Row],[شماره پیش فاکتور]],invoice[],16,0)</f>
        <v>عادی</v>
      </c>
      <c r="K2714" s="252">
        <f>bargiri[[#This Row],[فی]]*bargiri[[#This Row],[میزان بارگیری شده]]</f>
        <v>1190234925</v>
      </c>
    </row>
    <row r="2715" spans="1:11" ht="18.600000000000001">
      <c r="A2715" s="360" t="s">
        <v>439</v>
      </c>
      <c r="B2715" s="360" t="s">
        <v>118</v>
      </c>
      <c r="C2715" s="355" t="s">
        <v>85</v>
      </c>
      <c r="D2715">
        <v>21000</v>
      </c>
      <c r="E2715" s="143">
        <v>56881</v>
      </c>
      <c r="F2715" s="117">
        <v>1403</v>
      </c>
      <c r="G2715" s="360" t="s">
        <v>301</v>
      </c>
      <c r="H2715" s="144">
        <f>bargiri[[#This Row],[میزان بارگیری شده]]*bargiri[[#This Row],[فی]]</f>
        <v>1194501000</v>
      </c>
      <c r="I2715" s="360">
        <f>IF(year=bargiri[[#This Row],[سال]],1,0)</f>
        <v>0</v>
      </c>
      <c r="J2715" s="360" t="str">
        <f>VLOOKUP(bargiri[[#This Row],[شماره پیش فاکتور]],invoice[],16,0)</f>
        <v>عادی</v>
      </c>
      <c r="K2715" s="252">
        <f>bargiri[[#This Row],[فی]]*bargiri[[#This Row],[میزان بارگیری شده]]</f>
        <v>1194501000</v>
      </c>
    </row>
    <row r="2716" spans="1:11" ht="18.600000000000001">
      <c r="A2716" s="360" t="s">
        <v>439</v>
      </c>
      <c r="B2716" s="360" t="s">
        <v>106</v>
      </c>
      <c r="C2716" s="355" t="s">
        <v>48</v>
      </c>
      <c r="D2716">
        <v>20225</v>
      </c>
      <c r="E2716" s="143">
        <v>65000</v>
      </c>
      <c r="F2716" s="117">
        <v>1403</v>
      </c>
      <c r="G2716" s="360" t="s">
        <v>301</v>
      </c>
      <c r="H2716" s="144">
        <f>bargiri[[#This Row],[میزان بارگیری شده]]*bargiri[[#This Row],[فی]]</f>
        <v>1314625000</v>
      </c>
      <c r="I2716" s="360">
        <f>IF(year=bargiri[[#This Row],[سال]],1,0)</f>
        <v>0</v>
      </c>
      <c r="J2716" s="360" t="str">
        <f>VLOOKUP(bargiri[[#This Row],[شماره پیش فاکتور]],invoice[],16,0)</f>
        <v>عادی</v>
      </c>
      <c r="K2716" s="252">
        <f>bargiri[[#This Row],[فی]]*bargiri[[#This Row],[میزان بارگیری شده]]</f>
        <v>1314625000</v>
      </c>
    </row>
    <row r="2717" spans="1:11" ht="18.600000000000001">
      <c r="A2717" s="360" t="s">
        <v>439</v>
      </c>
      <c r="B2717" s="360" t="s">
        <v>104</v>
      </c>
      <c r="C2717" s="355" t="s">
        <v>41</v>
      </c>
      <c r="D2717">
        <v>18270</v>
      </c>
      <c r="E2717" s="143">
        <v>85000</v>
      </c>
      <c r="F2717" s="117">
        <v>1403</v>
      </c>
      <c r="G2717" s="360" t="s">
        <v>301</v>
      </c>
      <c r="H2717" s="144">
        <f>bargiri[[#This Row],[میزان بارگیری شده]]*bargiri[[#This Row],[فی]]</f>
        <v>1552950000</v>
      </c>
      <c r="I2717" s="360">
        <f>IF(year=bargiri[[#This Row],[سال]],1,0)</f>
        <v>0</v>
      </c>
      <c r="J2717" s="360" t="str">
        <f>VLOOKUP(bargiri[[#This Row],[شماره پیش فاکتور]],invoice[],16,0)</f>
        <v>عادی</v>
      </c>
      <c r="K2717" s="252">
        <f>bargiri[[#This Row],[فی]]*bargiri[[#This Row],[میزان بارگیری شده]]</f>
        <v>1552950000</v>
      </c>
    </row>
    <row r="2718" spans="1:11" ht="18.600000000000001">
      <c r="A2718" s="360" t="s">
        <v>439</v>
      </c>
      <c r="B2718" s="360" t="s">
        <v>116</v>
      </c>
      <c r="C2718" s="355" t="s">
        <v>77</v>
      </c>
      <c r="D2718">
        <v>19880</v>
      </c>
      <c r="E2718" s="143">
        <v>68500</v>
      </c>
      <c r="F2718" s="117">
        <v>1403</v>
      </c>
      <c r="G2718" s="360" t="s">
        <v>301</v>
      </c>
      <c r="H2718" s="144">
        <f>bargiri[[#This Row],[میزان بارگیری شده]]*bargiri[[#This Row],[فی]]</f>
        <v>1361780000</v>
      </c>
      <c r="I2718" s="360">
        <f>IF(year=bargiri[[#This Row],[سال]],1,0)</f>
        <v>0</v>
      </c>
      <c r="J2718" s="360" t="str">
        <f>VLOOKUP(bargiri[[#This Row],[شماره پیش فاکتور]],invoice[],16,0)</f>
        <v>عادی</v>
      </c>
      <c r="K2718" s="252">
        <f>bargiri[[#This Row],[فی]]*bargiri[[#This Row],[میزان بارگیری شده]]</f>
        <v>1361780000</v>
      </c>
    </row>
    <row r="2719" spans="1:11" ht="18.600000000000001">
      <c r="A2719" s="360" t="s">
        <v>439</v>
      </c>
      <c r="B2719" s="360" t="s">
        <v>98</v>
      </c>
      <c r="C2719" s="355" t="s">
        <v>11</v>
      </c>
      <c r="D2719">
        <v>22540</v>
      </c>
      <c r="E2719" s="143">
        <v>77000</v>
      </c>
      <c r="F2719" s="117">
        <v>1403</v>
      </c>
      <c r="G2719" s="360" t="s">
        <v>301</v>
      </c>
      <c r="H2719" s="144">
        <f>bargiri[[#This Row],[میزان بارگیری شده]]*bargiri[[#This Row],[فی]]</f>
        <v>1735580000</v>
      </c>
      <c r="I2719" s="360">
        <f>IF(year=bargiri[[#This Row],[سال]],1,0)</f>
        <v>0</v>
      </c>
      <c r="J2719" s="360" t="str">
        <f>VLOOKUP(bargiri[[#This Row],[شماره پیش فاکتور]],invoice[],16,0)</f>
        <v>عادی</v>
      </c>
      <c r="K2719" s="252">
        <f>bargiri[[#This Row],[فی]]*bargiri[[#This Row],[میزان بارگیری شده]]</f>
        <v>1735580000</v>
      </c>
    </row>
    <row r="2720" spans="1:11" ht="18.600000000000001">
      <c r="A2720" s="360" t="s">
        <v>445</v>
      </c>
      <c r="B2720" s="360" t="s">
        <v>106</v>
      </c>
      <c r="C2720" s="355" t="s">
        <v>48</v>
      </c>
      <c r="D2720">
        <v>20070</v>
      </c>
      <c r="E2720" s="143">
        <v>65000</v>
      </c>
      <c r="F2720" s="117">
        <v>1403</v>
      </c>
      <c r="G2720" s="360" t="s">
        <v>302</v>
      </c>
      <c r="H2720" s="144">
        <f>bargiri[[#This Row],[میزان بارگیری شده]]*bargiri[[#This Row],[فی]]</f>
        <v>1304550000</v>
      </c>
      <c r="I2720" s="360">
        <f>IF(year=bargiri[[#This Row],[سال]],1,0)</f>
        <v>0</v>
      </c>
      <c r="J2720" s="360" t="str">
        <f>VLOOKUP(bargiri[[#This Row],[شماره پیش فاکتور]],invoice[],16,0)</f>
        <v>عادی</v>
      </c>
      <c r="K2720" s="252">
        <f>bargiri[[#This Row],[فی]]*bargiri[[#This Row],[میزان بارگیری شده]]</f>
        <v>1304550000</v>
      </c>
    </row>
    <row r="2721" spans="1:11" ht="18.600000000000001">
      <c r="A2721" s="360" t="s">
        <v>445</v>
      </c>
      <c r="B2721" s="360" t="s">
        <v>117</v>
      </c>
      <c r="C2721" s="355" t="s">
        <v>82</v>
      </c>
      <c r="D2721">
        <v>19955</v>
      </c>
      <c r="E2721" s="143">
        <v>70000</v>
      </c>
      <c r="F2721" s="117">
        <v>1403</v>
      </c>
      <c r="G2721" s="360" t="s">
        <v>302</v>
      </c>
      <c r="H2721" s="144">
        <f>bargiri[[#This Row],[میزان بارگیری شده]]*bargiri[[#This Row],[فی]]</f>
        <v>1396850000</v>
      </c>
      <c r="I2721" s="360">
        <f>IF(year=bargiri[[#This Row],[سال]],1,0)</f>
        <v>0</v>
      </c>
      <c r="J2721" s="360" t="str">
        <f>VLOOKUP(bargiri[[#This Row],[شماره پیش فاکتور]],invoice[],16,0)</f>
        <v>عادی</v>
      </c>
      <c r="K2721" s="252">
        <f>bargiri[[#This Row],[فی]]*bargiri[[#This Row],[میزان بارگیری شده]]</f>
        <v>1396850000</v>
      </c>
    </row>
    <row r="2722" spans="1:11" ht="18.600000000000001">
      <c r="A2722" s="360" t="s">
        <v>445</v>
      </c>
      <c r="B2722" s="360" t="s">
        <v>115</v>
      </c>
      <c r="C2722" s="355" t="s">
        <v>65</v>
      </c>
      <c r="D2722">
        <v>22045</v>
      </c>
      <c r="E2722" s="143">
        <v>75000</v>
      </c>
      <c r="F2722" s="117">
        <v>1403</v>
      </c>
      <c r="G2722" s="360" t="s">
        <v>302</v>
      </c>
      <c r="H2722" s="144">
        <f>bargiri[[#This Row],[میزان بارگیری شده]]*bargiri[[#This Row],[فی]]</f>
        <v>1653375000</v>
      </c>
      <c r="I2722" s="360">
        <f>IF(year=bargiri[[#This Row],[سال]],1,0)</f>
        <v>0</v>
      </c>
      <c r="J2722" s="360" t="str">
        <f>VLOOKUP(bargiri[[#This Row],[شماره پیش فاکتور]],invoice[],16,0)</f>
        <v>عادی</v>
      </c>
      <c r="K2722" s="252">
        <f>bargiri[[#This Row],[فی]]*bargiri[[#This Row],[میزان بارگیری شده]]</f>
        <v>1653375000</v>
      </c>
    </row>
    <row r="2723" spans="1:11" ht="18.600000000000001">
      <c r="A2723" s="360" t="s">
        <v>445</v>
      </c>
      <c r="B2723" s="360" t="s">
        <v>99</v>
      </c>
      <c r="C2723" s="355" t="s">
        <v>13</v>
      </c>
      <c r="D2723">
        <v>18990</v>
      </c>
      <c r="E2723" s="143">
        <v>65000</v>
      </c>
      <c r="F2723" s="117">
        <v>1403</v>
      </c>
      <c r="G2723" s="360" t="s">
        <v>302</v>
      </c>
      <c r="H2723" s="144">
        <f>bargiri[[#This Row],[میزان بارگیری شده]]*bargiri[[#This Row],[فی]]</f>
        <v>1234350000</v>
      </c>
      <c r="I2723" s="360">
        <f>IF(year=bargiri[[#This Row],[سال]],1,0)</f>
        <v>0</v>
      </c>
      <c r="J2723" s="360" t="str">
        <f>VLOOKUP(bargiri[[#This Row],[شماره پیش فاکتور]],invoice[],16,0)</f>
        <v>عادی</v>
      </c>
      <c r="K2723" s="252">
        <f>bargiri[[#This Row],[فی]]*bargiri[[#This Row],[میزان بارگیری شده]]</f>
        <v>1234350000</v>
      </c>
    </row>
    <row r="2724" spans="1:11" ht="18.600000000000001">
      <c r="A2724" s="360" t="s">
        <v>445</v>
      </c>
      <c r="B2724" s="360" t="s">
        <v>124</v>
      </c>
      <c r="C2724" s="355" t="s">
        <v>94</v>
      </c>
      <c r="D2724">
        <v>20010</v>
      </c>
      <c r="E2724" s="143">
        <v>70000</v>
      </c>
      <c r="F2724" s="117">
        <v>1403</v>
      </c>
      <c r="G2724" s="360" t="s">
        <v>302</v>
      </c>
      <c r="H2724" s="144">
        <f>bargiri[[#This Row],[میزان بارگیری شده]]*bargiri[[#This Row],[فی]]</f>
        <v>1400700000</v>
      </c>
      <c r="I2724" s="360">
        <f>IF(year=bargiri[[#This Row],[سال]],1,0)</f>
        <v>0</v>
      </c>
      <c r="J2724" s="360" t="str">
        <f>VLOOKUP(bargiri[[#This Row],[شماره پیش فاکتور]],invoice[],16,0)</f>
        <v>عادی</v>
      </c>
      <c r="K2724" s="252">
        <f>bargiri[[#This Row],[فی]]*bargiri[[#This Row],[میزان بارگیری شده]]</f>
        <v>1400700000</v>
      </c>
    </row>
    <row r="2725" spans="1:11" ht="18.600000000000001">
      <c r="A2725" s="360" t="s">
        <v>446</v>
      </c>
      <c r="B2725" s="360" t="s">
        <v>116</v>
      </c>
      <c r="C2725" s="355" t="s">
        <v>77</v>
      </c>
      <c r="D2725">
        <v>8060</v>
      </c>
      <c r="E2725" s="143">
        <v>68500</v>
      </c>
      <c r="F2725" s="117">
        <v>1403</v>
      </c>
      <c r="G2725" s="360" t="s">
        <v>302</v>
      </c>
      <c r="H2725" s="144">
        <f>bargiri[[#This Row],[میزان بارگیری شده]]*bargiri[[#This Row],[فی]]</f>
        <v>552110000</v>
      </c>
      <c r="I2725" s="360">
        <f>IF(year=bargiri[[#This Row],[سال]],1,0)</f>
        <v>0</v>
      </c>
      <c r="J2725" s="360" t="str">
        <f>VLOOKUP(bargiri[[#This Row],[شماره پیش فاکتور]],invoice[],16,0)</f>
        <v>عادی</v>
      </c>
      <c r="K2725" s="252">
        <f>bargiri[[#This Row],[فی]]*bargiri[[#This Row],[میزان بارگیری شده]]</f>
        <v>552110000</v>
      </c>
    </row>
    <row r="2726" spans="1:11" ht="18.600000000000001">
      <c r="A2726" s="360" t="s">
        <v>446</v>
      </c>
      <c r="B2726" s="360" t="s">
        <v>116</v>
      </c>
      <c r="C2726" s="355" t="s">
        <v>77</v>
      </c>
      <c r="D2726">
        <v>20180</v>
      </c>
      <c r="E2726" s="143">
        <v>68500</v>
      </c>
      <c r="F2726" s="117">
        <v>1403</v>
      </c>
      <c r="G2726" s="360" t="s">
        <v>302</v>
      </c>
      <c r="H2726" s="144">
        <f>bargiri[[#This Row],[میزان بارگیری شده]]*bargiri[[#This Row],[فی]]</f>
        <v>1382330000</v>
      </c>
      <c r="I2726" s="360">
        <f>IF(year=bargiri[[#This Row],[سال]],1,0)</f>
        <v>0</v>
      </c>
      <c r="J2726" s="360" t="str">
        <f>VLOOKUP(bargiri[[#This Row],[شماره پیش فاکتور]],invoice[],16,0)</f>
        <v>عادی</v>
      </c>
      <c r="K2726" s="252">
        <f>bargiri[[#This Row],[فی]]*bargiri[[#This Row],[میزان بارگیری شده]]</f>
        <v>1382330000</v>
      </c>
    </row>
    <row r="2727" spans="1:11" ht="18.600000000000001">
      <c r="A2727" s="360" t="s">
        <v>447</v>
      </c>
      <c r="B2727" s="360" t="s">
        <v>118</v>
      </c>
      <c r="C2727" s="355" t="s">
        <v>85</v>
      </c>
      <c r="D2727">
        <v>20950</v>
      </c>
      <c r="E2727" s="143">
        <v>56881</v>
      </c>
      <c r="F2727" s="117">
        <v>1403</v>
      </c>
      <c r="G2727" s="360" t="s">
        <v>302</v>
      </c>
      <c r="H2727" s="144">
        <f>bargiri[[#This Row],[میزان بارگیری شده]]*bargiri[[#This Row],[فی]]</f>
        <v>1191656950</v>
      </c>
      <c r="I2727" s="360">
        <f>IF(year=bargiri[[#This Row],[سال]],1,0)</f>
        <v>0</v>
      </c>
      <c r="J2727" s="360" t="str">
        <f>VLOOKUP(bargiri[[#This Row],[شماره پیش فاکتور]],invoice[],16,0)</f>
        <v>عادی</v>
      </c>
      <c r="K2727" s="252">
        <f>bargiri[[#This Row],[فی]]*bargiri[[#This Row],[میزان بارگیری شده]]</f>
        <v>1191656950</v>
      </c>
    </row>
    <row r="2728" spans="1:11" ht="18.600000000000001">
      <c r="A2728" s="360" t="s">
        <v>447</v>
      </c>
      <c r="B2728" s="360" t="s">
        <v>118</v>
      </c>
      <c r="C2728" s="355" t="s">
        <v>85</v>
      </c>
      <c r="D2728">
        <v>20885</v>
      </c>
      <c r="E2728" s="143">
        <v>56881</v>
      </c>
      <c r="F2728" s="117">
        <v>1403</v>
      </c>
      <c r="G2728" s="360" t="s">
        <v>302</v>
      </c>
      <c r="H2728" s="144">
        <f>bargiri[[#This Row],[میزان بارگیری شده]]*bargiri[[#This Row],[فی]]</f>
        <v>1187959685</v>
      </c>
      <c r="I2728" s="360">
        <f>IF(year=bargiri[[#This Row],[سال]],1,0)</f>
        <v>0</v>
      </c>
      <c r="J2728" s="360" t="str">
        <f>VLOOKUP(bargiri[[#This Row],[شماره پیش فاکتور]],invoice[],16,0)</f>
        <v>عادی</v>
      </c>
      <c r="K2728" s="252">
        <f>bargiri[[#This Row],[فی]]*bargiri[[#This Row],[میزان بارگیری شده]]</f>
        <v>1187959685</v>
      </c>
    </row>
    <row r="2729" spans="1:11" ht="18.600000000000001">
      <c r="A2729" s="360" t="s">
        <v>447</v>
      </c>
      <c r="B2729" s="360" t="s">
        <v>118</v>
      </c>
      <c r="C2729" s="355" t="s">
        <v>85</v>
      </c>
      <c r="D2729">
        <v>20925</v>
      </c>
      <c r="E2729" s="143">
        <v>56881</v>
      </c>
      <c r="F2729" s="117">
        <v>1403</v>
      </c>
      <c r="G2729" s="360" t="s">
        <v>302</v>
      </c>
      <c r="H2729" s="144">
        <f>bargiri[[#This Row],[میزان بارگیری شده]]*bargiri[[#This Row],[فی]]</f>
        <v>1190234925</v>
      </c>
      <c r="I2729" s="360">
        <f>IF(year=bargiri[[#This Row],[سال]],1,0)</f>
        <v>0</v>
      </c>
      <c r="J2729" s="360" t="str">
        <f>VLOOKUP(bargiri[[#This Row],[شماره پیش فاکتور]],invoice[],16,0)</f>
        <v>عادی</v>
      </c>
      <c r="K2729" s="252">
        <f>bargiri[[#This Row],[فی]]*bargiri[[#This Row],[میزان بارگیری شده]]</f>
        <v>1190234925</v>
      </c>
    </row>
    <row r="2730" spans="1:11" ht="18.600000000000001">
      <c r="A2730" s="360" t="s">
        <v>447</v>
      </c>
      <c r="B2730" s="360" t="s">
        <v>116</v>
      </c>
      <c r="C2730" s="355" t="s">
        <v>77</v>
      </c>
      <c r="D2730">
        <v>19945</v>
      </c>
      <c r="E2730" s="143">
        <v>68500</v>
      </c>
      <c r="F2730" s="117">
        <v>1403</v>
      </c>
      <c r="G2730" s="360" t="s">
        <v>302</v>
      </c>
      <c r="H2730" s="144">
        <f>bargiri[[#This Row],[میزان بارگیری شده]]*bargiri[[#This Row],[فی]]</f>
        <v>1366232500</v>
      </c>
      <c r="I2730" s="360">
        <f>IF(year=bargiri[[#This Row],[سال]],1,0)</f>
        <v>0</v>
      </c>
      <c r="J2730" s="360" t="str">
        <f>VLOOKUP(bargiri[[#This Row],[شماره پیش فاکتور]],invoice[],16,0)</f>
        <v>عادی</v>
      </c>
      <c r="K2730" s="252">
        <f>bargiri[[#This Row],[فی]]*bargiri[[#This Row],[میزان بارگیری شده]]</f>
        <v>1366232500</v>
      </c>
    </row>
    <row r="2731" spans="1:11" ht="18.600000000000001">
      <c r="A2731" s="360" t="s">
        <v>447</v>
      </c>
      <c r="B2731" s="360" t="s">
        <v>110</v>
      </c>
      <c r="C2731" s="355" t="s">
        <v>57</v>
      </c>
      <c r="D2731">
        <v>19930</v>
      </c>
      <c r="E2731" s="143">
        <v>78000</v>
      </c>
      <c r="F2731" s="117">
        <v>1403</v>
      </c>
      <c r="G2731" s="360" t="s">
        <v>302</v>
      </c>
      <c r="H2731" s="144">
        <f>bargiri[[#This Row],[میزان بارگیری شده]]*bargiri[[#This Row],[فی]]</f>
        <v>1554540000</v>
      </c>
      <c r="I2731" s="360">
        <f>IF(year=bargiri[[#This Row],[سال]],1,0)</f>
        <v>0</v>
      </c>
      <c r="J2731" s="360" t="str">
        <f>VLOOKUP(bargiri[[#This Row],[شماره پیش فاکتور]],invoice[],16,0)</f>
        <v>عادی</v>
      </c>
      <c r="K2731" s="252">
        <f>bargiri[[#This Row],[فی]]*bargiri[[#This Row],[میزان بارگیری شده]]</f>
        <v>1554540000</v>
      </c>
    </row>
    <row r="2732" spans="1:11" ht="18.600000000000001">
      <c r="A2732" s="360" t="s">
        <v>447</v>
      </c>
      <c r="B2732" s="360" t="s">
        <v>102</v>
      </c>
      <c r="C2732" s="355" t="s">
        <v>26</v>
      </c>
      <c r="D2732">
        <v>11630</v>
      </c>
      <c r="E2732" s="143">
        <v>70000</v>
      </c>
      <c r="F2732" s="117">
        <v>1403</v>
      </c>
      <c r="G2732" s="360" t="s">
        <v>302</v>
      </c>
      <c r="H2732" s="144">
        <f>bargiri[[#This Row],[میزان بارگیری شده]]*bargiri[[#This Row],[فی]]</f>
        <v>814100000</v>
      </c>
      <c r="I2732" s="360">
        <f>IF(year=bargiri[[#This Row],[سال]],1,0)</f>
        <v>0</v>
      </c>
      <c r="J2732" s="360" t="str">
        <f>VLOOKUP(bargiri[[#This Row],[شماره پیش فاکتور]],invoice[],16,0)</f>
        <v>عادی</v>
      </c>
      <c r="K2732" s="252">
        <f>bargiri[[#This Row],[فی]]*bargiri[[#This Row],[میزان بارگیری شده]]</f>
        <v>814100000</v>
      </c>
    </row>
    <row r="2733" spans="1:11" ht="18.600000000000001">
      <c r="A2733" s="360" t="s">
        <v>447</v>
      </c>
      <c r="B2733" s="360" t="s">
        <v>106</v>
      </c>
      <c r="C2733" s="355" t="s">
        <v>48</v>
      </c>
      <c r="D2733">
        <v>20225</v>
      </c>
      <c r="E2733" s="143">
        <v>65000</v>
      </c>
      <c r="F2733" s="117">
        <v>1403</v>
      </c>
      <c r="G2733" s="360" t="s">
        <v>302</v>
      </c>
      <c r="H2733" s="144">
        <f>bargiri[[#This Row],[میزان بارگیری شده]]*bargiri[[#This Row],[فی]]</f>
        <v>1314625000</v>
      </c>
      <c r="I2733" s="360">
        <f>IF(year=bargiri[[#This Row],[سال]],1,0)</f>
        <v>0</v>
      </c>
      <c r="J2733" s="360" t="str">
        <f>VLOOKUP(bargiri[[#This Row],[شماره پیش فاکتور]],invoice[],16,0)</f>
        <v>عادی</v>
      </c>
      <c r="K2733" s="252">
        <f>bargiri[[#This Row],[فی]]*bargiri[[#This Row],[میزان بارگیری شده]]</f>
        <v>1314625000</v>
      </c>
    </row>
    <row r="2734" spans="1:11" ht="18.600000000000001">
      <c r="A2734" s="360" t="s">
        <v>447</v>
      </c>
      <c r="B2734" s="360" t="s">
        <v>99</v>
      </c>
      <c r="C2734" s="355" t="s">
        <v>13</v>
      </c>
      <c r="D2734">
        <v>19075</v>
      </c>
      <c r="E2734" s="143">
        <v>65000</v>
      </c>
      <c r="F2734" s="117">
        <v>1403</v>
      </c>
      <c r="G2734" s="360" t="s">
        <v>302</v>
      </c>
      <c r="H2734" s="144">
        <f>bargiri[[#This Row],[میزان بارگیری شده]]*bargiri[[#This Row],[فی]]</f>
        <v>1239875000</v>
      </c>
      <c r="I2734" s="360">
        <f>IF(year=bargiri[[#This Row],[سال]],1,0)</f>
        <v>0</v>
      </c>
      <c r="J2734" s="360" t="str">
        <f>VLOOKUP(bargiri[[#This Row],[شماره پیش فاکتور]],invoice[],16,0)</f>
        <v>عادی</v>
      </c>
      <c r="K2734" s="252">
        <f>bargiri[[#This Row],[فی]]*bargiri[[#This Row],[میزان بارگیری شده]]</f>
        <v>1239875000</v>
      </c>
    </row>
    <row r="2735" spans="1:11" ht="18.600000000000001">
      <c r="A2735" s="360" t="s">
        <v>448</v>
      </c>
      <c r="B2735" s="360" t="s">
        <v>106</v>
      </c>
      <c r="C2735" s="355" t="s">
        <v>48</v>
      </c>
      <c r="D2735">
        <v>20060</v>
      </c>
      <c r="E2735" s="143">
        <v>65000</v>
      </c>
      <c r="F2735" s="117">
        <v>1403</v>
      </c>
      <c r="G2735" s="360" t="s">
        <v>302</v>
      </c>
      <c r="H2735" s="144">
        <f>bargiri[[#This Row],[میزان بارگیری شده]]*bargiri[[#This Row],[فی]]</f>
        <v>1303900000</v>
      </c>
      <c r="I2735" s="360">
        <f>IF(year=bargiri[[#This Row],[سال]],1,0)</f>
        <v>0</v>
      </c>
      <c r="J2735" s="360" t="str">
        <f>VLOOKUP(bargiri[[#This Row],[شماره پیش فاکتور]],invoice[],16,0)</f>
        <v>عادی</v>
      </c>
      <c r="K2735" s="252">
        <f>bargiri[[#This Row],[فی]]*bargiri[[#This Row],[میزان بارگیری شده]]</f>
        <v>1303900000</v>
      </c>
    </row>
    <row r="2736" spans="1:11" ht="18.600000000000001">
      <c r="A2736" s="360" t="s">
        <v>448</v>
      </c>
      <c r="B2736" s="360" t="s">
        <v>116</v>
      </c>
      <c r="C2736" s="355" t="s">
        <v>77</v>
      </c>
      <c r="D2736">
        <v>20015</v>
      </c>
      <c r="E2736" s="143">
        <v>68500</v>
      </c>
      <c r="F2736" s="117">
        <v>1403</v>
      </c>
      <c r="G2736" s="360" t="s">
        <v>302</v>
      </c>
      <c r="H2736" s="144">
        <f>bargiri[[#This Row],[میزان بارگیری شده]]*bargiri[[#This Row],[فی]]</f>
        <v>1371027500</v>
      </c>
      <c r="I2736" s="360">
        <f>IF(year=bargiri[[#This Row],[سال]],1,0)</f>
        <v>0</v>
      </c>
      <c r="J2736" s="360" t="str">
        <f>VLOOKUP(bargiri[[#This Row],[شماره پیش فاکتور]],invoice[],16,0)</f>
        <v>عادی</v>
      </c>
      <c r="K2736" s="252">
        <f>bargiri[[#This Row],[فی]]*bargiri[[#This Row],[میزان بارگیری شده]]</f>
        <v>1371027500</v>
      </c>
    </row>
    <row r="2737" spans="1:11" ht="18.600000000000001">
      <c r="A2737" s="360" t="s">
        <v>448</v>
      </c>
      <c r="B2737" s="360" t="s">
        <v>104</v>
      </c>
      <c r="C2737" s="355" t="s">
        <v>41</v>
      </c>
      <c r="D2737">
        <v>18005</v>
      </c>
      <c r="E2737" s="143">
        <v>85000</v>
      </c>
      <c r="F2737" s="117">
        <v>1403</v>
      </c>
      <c r="G2737" s="360" t="s">
        <v>302</v>
      </c>
      <c r="H2737" s="144">
        <f>bargiri[[#This Row],[میزان بارگیری شده]]*bargiri[[#This Row],[فی]]</f>
        <v>1530425000</v>
      </c>
      <c r="I2737" s="360">
        <f>IF(year=bargiri[[#This Row],[سال]],1,0)</f>
        <v>0</v>
      </c>
      <c r="J2737" s="360" t="str">
        <f>VLOOKUP(bargiri[[#This Row],[شماره پیش فاکتور]],invoice[],16,0)</f>
        <v>عادی</v>
      </c>
      <c r="K2737" s="252">
        <f>bargiri[[#This Row],[فی]]*bargiri[[#This Row],[میزان بارگیری شده]]</f>
        <v>1530425000</v>
      </c>
    </row>
    <row r="2738" spans="1:11" ht="18.600000000000001">
      <c r="A2738" s="360" t="s">
        <v>448</v>
      </c>
      <c r="B2738" s="360" t="s">
        <v>108</v>
      </c>
      <c r="C2738" s="355" t="s">
        <v>53</v>
      </c>
      <c r="D2738">
        <v>23380</v>
      </c>
      <c r="E2738" s="143">
        <v>70000</v>
      </c>
      <c r="F2738" s="117">
        <v>1403</v>
      </c>
      <c r="G2738" s="360" t="s">
        <v>302</v>
      </c>
      <c r="H2738" s="144">
        <f>bargiri[[#This Row],[میزان بارگیری شده]]*bargiri[[#This Row],[فی]]</f>
        <v>1636600000</v>
      </c>
      <c r="I2738" s="360">
        <f>IF(year=bargiri[[#This Row],[سال]],1,0)</f>
        <v>0</v>
      </c>
      <c r="J2738" s="360" t="str">
        <f>VLOOKUP(bargiri[[#This Row],[شماره پیش فاکتور]],invoice[],16,0)</f>
        <v>عادی</v>
      </c>
      <c r="K2738" s="252">
        <f>bargiri[[#This Row],[فی]]*bargiri[[#This Row],[میزان بارگیری شده]]</f>
        <v>1636600000</v>
      </c>
    </row>
    <row r="2739" spans="1:11" ht="18.600000000000001">
      <c r="A2739" s="360" t="s">
        <v>448</v>
      </c>
      <c r="B2739" s="360" t="s">
        <v>98</v>
      </c>
      <c r="C2739" s="355" t="s">
        <v>11</v>
      </c>
      <c r="D2739">
        <v>21805</v>
      </c>
      <c r="E2739" s="143">
        <v>77000</v>
      </c>
      <c r="F2739" s="117">
        <v>1403</v>
      </c>
      <c r="G2739" s="360" t="s">
        <v>302</v>
      </c>
      <c r="H2739" s="144">
        <f>bargiri[[#This Row],[میزان بارگیری شده]]*bargiri[[#This Row],[فی]]</f>
        <v>1678985000</v>
      </c>
      <c r="I2739" s="360">
        <f>IF(year=bargiri[[#This Row],[سال]],1,0)</f>
        <v>0</v>
      </c>
      <c r="J2739" s="360" t="str">
        <f>VLOOKUP(bargiri[[#This Row],[شماره پیش فاکتور]],invoice[],16,0)</f>
        <v>عادی</v>
      </c>
      <c r="K2739" s="252">
        <f>bargiri[[#This Row],[فی]]*bargiri[[#This Row],[میزان بارگیری شده]]</f>
        <v>1678985000</v>
      </c>
    </row>
    <row r="2740" spans="1:11" ht="18.600000000000001">
      <c r="A2740" s="360" t="s">
        <v>448</v>
      </c>
      <c r="B2740" s="360" t="s">
        <v>99</v>
      </c>
      <c r="C2740" s="355" t="s">
        <v>13</v>
      </c>
      <c r="D2740">
        <v>18515</v>
      </c>
      <c r="E2740" s="143">
        <v>65000</v>
      </c>
      <c r="F2740" s="117">
        <v>1403</v>
      </c>
      <c r="G2740" s="360" t="s">
        <v>302</v>
      </c>
      <c r="H2740" s="144">
        <f>bargiri[[#This Row],[میزان بارگیری شده]]*bargiri[[#This Row],[فی]]</f>
        <v>1203475000</v>
      </c>
      <c r="I2740" s="360">
        <f>IF(year=bargiri[[#This Row],[سال]],1,0)</f>
        <v>0</v>
      </c>
      <c r="J2740" s="360" t="str">
        <f>VLOOKUP(bargiri[[#This Row],[شماره پیش فاکتور]],invoice[],16,0)</f>
        <v>عادی</v>
      </c>
      <c r="K2740" s="252">
        <f>bargiri[[#This Row],[فی]]*bargiri[[#This Row],[میزان بارگیری شده]]</f>
        <v>1203475000</v>
      </c>
    </row>
    <row r="2741" spans="1:11" ht="18.600000000000001">
      <c r="A2741" s="360" t="s">
        <v>449</v>
      </c>
      <c r="B2741" s="360" t="s">
        <v>116</v>
      </c>
      <c r="C2741" s="355" t="s">
        <v>77</v>
      </c>
      <c r="D2741">
        <v>20160</v>
      </c>
      <c r="E2741" s="143">
        <v>68500</v>
      </c>
      <c r="F2741" s="117">
        <v>1403</v>
      </c>
      <c r="G2741" s="360" t="s">
        <v>302</v>
      </c>
      <c r="H2741" s="144">
        <f>bargiri[[#This Row],[میزان بارگیری شده]]*bargiri[[#This Row],[فی]]</f>
        <v>1380960000</v>
      </c>
      <c r="I2741" s="360">
        <f>IF(year=bargiri[[#This Row],[سال]],1,0)</f>
        <v>0</v>
      </c>
      <c r="J2741" s="360" t="str">
        <f>VLOOKUP(bargiri[[#This Row],[شماره پیش فاکتور]],invoice[],16,0)</f>
        <v>عادی</v>
      </c>
      <c r="K2741" s="252">
        <f>bargiri[[#This Row],[فی]]*bargiri[[#This Row],[میزان بارگیری شده]]</f>
        <v>1380960000</v>
      </c>
    </row>
    <row r="2742" spans="1:11" ht="18.600000000000001">
      <c r="A2742" s="360" t="s">
        <v>449</v>
      </c>
      <c r="B2742" s="360" t="s">
        <v>102</v>
      </c>
      <c r="C2742" s="355" t="s">
        <v>26</v>
      </c>
      <c r="D2742">
        <v>11235</v>
      </c>
      <c r="E2742" s="143">
        <v>70000</v>
      </c>
      <c r="F2742" s="117">
        <v>1403</v>
      </c>
      <c r="G2742" s="360" t="s">
        <v>302</v>
      </c>
      <c r="H2742" s="144">
        <f>bargiri[[#This Row],[میزان بارگیری شده]]*bargiri[[#This Row],[فی]]</f>
        <v>786450000</v>
      </c>
      <c r="I2742" s="360">
        <f>IF(year=bargiri[[#This Row],[سال]],1,0)</f>
        <v>0</v>
      </c>
      <c r="J2742" s="360" t="str">
        <f>VLOOKUP(bargiri[[#This Row],[شماره پیش فاکتور]],invoice[],16,0)</f>
        <v>عادی</v>
      </c>
      <c r="K2742" s="252">
        <f>bargiri[[#This Row],[فی]]*bargiri[[#This Row],[میزان بارگیری شده]]</f>
        <v>786450000</v>
      </c>
    </row>
    <row r="2743" spans="1:11" ht="18.600000000000001">
      <c r="A2743" s="360" t="s">
        <v>449</v>
      </c>
      <c r="B2743" s="360" t="s">
        <v>101</v>
      </c>
      <c r="C2743" s="355" t="s">
        <v>20</v>
      </c>
      <c r="D2743">
        <v>21055</v>
      </c>
      <c r="E2743" s="143">
        <v>68000</v>
      </c>
      <c r="F2743" s="117">
        <v>1403</v>
      </c>
      <c r="G2743" s="360" t="s">
        <v>302</v>
      </c>
      <c r="H2743" s="144">
        <f>bargiri[[#This Row],[میزان بارگیری شده]]*bargiri[[#This Row],[فی]]</f>
        <v>1431740000</v>
      </c>
      <c r="I2743" s="360">
        <f>IF(year=bargiri[[#This Row],[سال]],1,0)</f>
        <v>0</v>
      </c>
      <c r="J2743" s="360" t="str">
        <f>VLOOKUP(bargiri[[#This Row],[شماره پیش فاکتور]],invoice[],16,0)</f>
        <v>عادی</v>
      </c>
      <c r="K2743" s="252">
        <f>bargiri[[#This Row],[فی]]*bargiri[[#This Row],[میزان بارگیری شده]]</f>
        <v>1431740000</v>
      </c>
    </row>
    <row r="2744" spans="1:11" ht="18.600000000000001">
      <c r="A2744" s="360" t="s">
        <v>449</v>
      </c>
      <c r="B2744" s="360" t="s">
        <v>117</v>
      </c>
      <c r="C2744" s="355" t="s">
        <v>82</v>
      </c>
      <c r="D2744">
        <v>19860</v>
      </c>
      <c r="E2744" s="143">
        <v>70000</v>
      </c>
      <c r="F2744" s="117">
        <v>1403</v>
      </c>
      <c r="G2744" s="360" t="s">
        <v>302</v>
      </c>
      <c r="H2744" s="144">
        <f>bargiri[[#This Row],[میزان بارگیری شده]]*bargiri[[#This Row],[فی]]</f>
        <v>1390200000</v>
      </c>
      <c r="I2744" s="360">
        <f>IF(year=bargiri[[#This Row],[سال]],1,0)</f>
        <v>0</v>
      </c>
      <c r="J2744" s="360" t="str">
        <f>VLOOKUP(bargiri[[#This Row],[شماره پیش فاکتور]],invoice[],16,0)</f>
        <v>عادی</v>
      </c>
      <c r="K2744" s="252">
        <f>bargiri[[#This Row],[فی]]*bargiri[[#This Row],[میزان بارگیری شده]]</f>
        <v>1390200000</v>
      </c>
    </row>
    <row r="2745" spans="1:11" ht="18.600000000000001">
      <c r="A2745" s="360" t="s">
        <v>449</v>
      </c>
      <c r="B2745" s="360" t="s">
        <v>115</v>
      </c>
      <c r="C2745" s="355" t="s">
        <v>65</v>
      </c>
      <c r="D2745">
        <v>21460</v>
      </c>
      <c r="E2745" s="143">
        <v>75000</v>
      </c>
      <c r="F2745" s="117">
        <v>1403</v>
      </c>
      <c r="G2745" s="360" t="s">
        <v>302</v>
      </c>
      <c r="H2745" s="144">
        <f>bargiri[[#This Row],[میزان بارگیری شده]]*bargiri[[#This Row],[فی]]</f>
        <v>1609500000</v>
      </c>
      <c r="I2745" s="360">
        <f>IF(year=bargiri[[#This Row],[سال]],1,0)</f>
        <v>0</v>
      </c>
      <c r="J2745" s="360" t="str">
        <f>VLOOKUP(bargiri[[#This Row],[شماره پیش فاکتور]],invoice[],16,0)</f>
        <v>عادی</v>
      </c>
      <c r="K2745" s="252">
        <f>bargiri[[#This Row],[فی]]*bargiri[[#This Row],[میزان بارگیری شده]]</f>
        <v>1609500000</v>
      </c>
    </row>
    <row r="2746" spans="1:11" ht="18.600000000000001">
      <c r="A2746" s="360" t="s">
        <v>449</v>
      </c>
      <c r="B2746" s="360" t="s">
        <v>99</v>
      </c>
      <c r="C2746" s="355" t="s">
        <v>13</v>
      </c>
      <c r="D2746">
        <v>19225</v>
      </c>
      <c r="E2746" s="143">
        <v>65000</v>
      </c>
      <c r="F2746" s="117">
        <v>1403</v>
      </c>
      <c r="G2746" s="360" t="s">
        <v>302</v>
      </c>
      <c r="H2746" s="144">
        <f>bargiri[[#This Row],[میزان بارگیری شده]]*bargiri[[#This Row],[فی]]</f>
        <v>1249625000</v>
      </c>
      <c r="I2746" s="360">
        <f>IF(year=bargiri[[#This Row],[سال]],1,0)</f>
        <v>0</v>
      </c>
      <c r="J2746" s="360" t="str">
        <f>VLOOKUP(bargiri[[#This Row],[شماره پیش فاکتور]],invoice[],16,0)</f>
        <v>عادی</v>
      </c>
      <c r="K2746" s="252">
        <f>bargiri[[#This Row],[فی]]*bargiri[[#This Row],[میزان بارگیری شده]]</f>
        <v>1249625000</v>
      </c>
    </row>
    <row r="2747" spans="1:11" ht="18.600000000000001">
      <c r="A2747" s="360" t="s">
        <v>450</v>
      </c>
      <c r="B2747" s="360" t="s">
        <v>116</v>
      </c>
      <c r="C2747" s="355" t="s">
        <v>77</v>
      </c>
      <c r="D2747">
        <v>7545</v>
      </c>
      <c r="E2747" s="143">
        <v>68500</v>
      </c>
      <c r="F2747" s="117">
        <v>1403</v>
      </c>
      <c r="G2747" s="360" t="s">
        <v>302</v>
      </c>
      <c r="H2747" s="144">
        <f>bargiri[[#This Row],[میزان بارگیری شده]]*bargiri[[#This Row],[فی]]</f>
        <v>516832500</v>
      </c>
      <c r="I2747" s="360">
        <f>IF(year=bargiri[[#This Row],[سال]],1,0)</f>
        <v>0</v>
      </c>
      <c r="J2747" s="360" t="str">
        <f>VLOOKUP(bargiri[[#This Row],[شماره پیش فاکتور]],invoice[],16,0)</f>
        <v>عادی</v>
      </c>
      <c r="K2747" s="252">
        <f>bargiri[[#This Row],[فی]]*bargiri[[#This Row],[میزان بارگیری شده]]</f>
        <v>516832500</v>
      </c>
    </row>
    <row r="2748" spans="1:11" ht="18.600000000000001">
      <c r="A2748" s="360" t="s">
        <v>450</v>
      </c>
      <c r="B2748" s="360" t="s">
        <v>99</v>
      </c>
      <c r="C2748" s="355" t="s">
        <v>13</v>
      </c>
      <c r="D2748">
        <v>17850</v>
      </c>
      <c r="E2748" s="143">
        <v>65000</v>
      </c>
      <c r="F2748" s="117">
        <v>1403</v>
      </c>
      <c r="G2748" s="360" t="s">
        <v>302</v>
      </c>
      <c r="H2748" s="144">
        <f>bargiri[[#This Row],[میزان بارگیری شده]]*bargiri[[#This Row],[فی]]</f>
        <v>1160250000</v>
      </c>
      <c r="I2748" s="360">
        <f>IF(year=bargiri[[#This Row],[سال]],1,0)</f>
        <v>0</v>
      </c>
      <c r="J2748" s="360" t="str">
        <f>VLOOKUP(bargiri[[#This Row],[شماره پیش فاکتور]],invoice[],16,0)</f>
        <v>عادی</v>
      </c>
      <c r="K2748" s="252">
        <f>bargiri[[#This Row],[فی]]*bargiri[[#This Row],[میزان بارگیری شده]]</f>
        <v>1160250000</v>
      </c>
    </row>
    <row r="2749" spans="1:11" ht="18.600000000000001">
      <c r="A2749" s="360" t="s">
        <v>450</v>
      </c>
      <c r="B2749" s="360" t="s">
        <v>116</v>
      </c>
      <c r="C2749" s="355" t="s">
        <v>77</v>
      </c>
      <c r="D2749">
        <v>20940</v>
      </c>
      <c r="E2749" s="143">
        <v>68500</v>
      </c>
      <c r="F2749" s="117">
        <v>1403</v>
      </c>
      <c r="G2749" s="360" t="s">
        <v>302</v>
      </c>
      <c r="H2749" s="144">
        <f>bargiri[[#This Row],[میزان بارگیری شده]]*bargiri[[#This Row],[فی]]</f>
        <v>1434390000</v>
      </c>
      <c r="I2749" s="360">
        <f>IF(year=bargiri[[#This Row],[سال]],1,0)</f>
        <v>0</v>
      </c>
      <c r="J2749" s="360" t="str">
        <f>VLOOKUP(bargiri[[#This Row],[شماره پیش فاکتور]],invoice[],16,0)</f>
        <v>عادی</v>
      </c>
      <c r="K2749" s="252">
        <f>bargiri[[#This Row],[فی]]*bargiri[[#This Row],[میزان بارگیری شده]]</f>
        <v>1434390000</v>
      </c>
    </row>
    <row r="2750" spans="1:11" ht="18.600000000000001">
      <c r="A2750" s="360" t="s">
        <v>450</v>
      </c>
      <c r="B2750" s="360" t="s">
        <v>106</v>
      </c>
      <c r="C2750" s="355" t="s">
        <v>48</v>
      </c>
      <c r="D2750">
        <v>19965</v>
      </c>
      <c r="E2750" s="143">
        <v>65000</v>
      </c>
      <c r="F2750" s="117">
        <v>1403</v>
      </c>
      <c r="G2750" s="360" t="s">
        <v>302</v>
      </c>
      <c r="H2750" s="144">
        <f>bargiri[[#This Row],[میزان بارگیری شده]]*bargiri[[#This Row],[فی]]</f>
        <v>1297725000</v>
      </c>
      <c r="I2750" s="360">
        <f>IF(year=bargiri[[#This Row],[سال]],1,0)</f>
        <v>0</v>
      </c>
      <c r="J2750" s="360" t="str">
        <f>VLOOKUP(bargiri[[#This Row],[شماره پیش فاکتور]],invoice[],16,0)</f>
        <v>عادی</v>
      </c>
      <c r="K2750" s="252">
        <f>bargiri[[#This Row],[فی]]*bargiri[[#This Row],[میزان بارگیری شده]]</f>
        <v>1297725000</v>
      </c>
    </row>
    <row r="2751" spans="1:11" ht="18.600000000000001">
      <c r="A2751" s="360" t="s">
        <v>450</v>
      </c>
      <c r="B2751" s="360" t="s">
        <v>118</v>
      </c>
      <c r="C2751" s="355" t="s">
        <v>85</v>
      </c>
      <c r="D2751">
        <v>21090</v>
      </c>
      <c r="E2751" s="143">
        <v>56881</v>
      </c>
      <c r="F2751" s="117">
        <v>1403</v>
      </c>
      <c r="G2751" s="360" t="s">
        <v>302</v>
      </c>
      <c r="H2751" s="144">
        <f>bargiri[[#This Row],[میزان بارگیری شده]]*bargiri[[#This Row],[فی]]</f>
        <v>1199620290</v>
      </c>
      <c r="I2751" s="360">
        <f>IF(year=bargiri[[#This Row],[سال]],1,0)</f>
        <v>0</v>
      </c>
      <c r="J2751" s="360" t="str">
        <f>VLOOKUP(bargiri[[#This Row],[شماره پیش فاکتور]],invoice[],16,0)</f>
        <v>عادی</v>
      </c>
      <c r="K2751" s="252">
        <f>bargiri[[#This Row],[فی]]*bargiri[[#This Row],[میزان بارگیری شده]]</f>
        <v>1199620290</v>
      </c>
    </row>
    <row r="2752" spans="1:11" ht="18.600000000000001">
      <c r="A2752" s="360" t="s">
        <v>450</v>
      </c>
      <c r="B2752" s="360" t="s">
        <v>118</v>
      </c>
      <c r="C2752" s="355" t="s">
        <v>85</v>
      </c>
      <c r="D2752">
        <v>21110</v>
      </c>
      <c r="E2752" s="143">
        <v>56881</v>
      </c>
      <c r="F2752" s="117">
        <v>1403</v>
      </c>
      <c r="G2752" s="360" t="s">
        <v>302</v>
      </c>
      <c r="H2752" s="144">
        <f>bargiri[[#This Row],[میزان بارگیری شده]]*bargiri[[#This Row],[فی]]</f>
        <v>1200757910</v>
      </c>
      <c r="I2752" s="360">
        <f>IF(year=bargiri[[#This Row],[سال]],1,0)</f>
        <v>0</v>
      </c>
      <c r="J2752" s="360" t="str">
        <f>VLOOKUP(bargiri[[#This Row],[شماره پیش فاکتور]],invoice[],16,0)</f>
        <v>عادی</v>
      </c>
      <c r="K2752" s="252">
        <f>bargiri[[#This Row],[فی]]*bargiri[[#This Row],[میزان بارگیری شده]]</f>
        <v>1200757910</v>
      </c>
    </row>
    <row r="2753" spans="1:11" ht="18.600000000000001">
      <c r="A2753" s="360" t="s">
        <v>450</v>
      </c>
      <c r="B2753" s="360" t="s">
        <v>118</v>
      </c>
      <c r="C2753" s="355" t="s">
        <v>85</v>
      </c>
      <c r="D2753">
        <v>21160</v>
      </c>
      <c r="E2753" s="143">
        <v>56881</v>
      </c>
      <c r="F2753" s="117">
        <v>1403</v>
      </c>
      <c r="G2753" s="360" t="s">
        <v>302</v>
      </c>
      <c r="H2753" s="144">
        <f>bargiri[[#This Row],[میزان بارگیری شده]]*bargiri[[#This Row],[فی]]</f>
        <v>1203601960</v>
      </c>
      <c r="I2753" s="360">
        <f>IF(year=bargiri[[#This Row],[سال]],1,0)</f>
        <v>0</v>
      </c>
      <c r="J2753" s="360" t="str">
        <f>VLOOKUP(bargiri[[#This Row],[شماره پیش فاکتور]],invoice[],16,0)</f>
        <v>عادی</v>
      </c>
      <c r="K2753" s="252">
        <f>bargiri[[#This Row],[فی]]*bargiri[[#This Row],[میزان بارگیری شده]]</f>
        <v>1203601960</v>
      </c>
    </row>
    <row r="2754" spans="1:11" ht="18.600000000000001">
      <c r="A2754" s="360" t="s">
        <v>450</v>
      </c>
      <c r="B2754" s="360" t="s">
        <v>118</v>
      </c>
      <c r="C2754" s="355" t="s">
        <v>85</v>
      </c>
      <c r="D2754">
        <v>20485</v>
      </c>
      <c r="E2754" s="143">
        <v>56881</v>
      </c>
      <c r="F2754" s="117">
        <v>1403</v>
      </c>
      <c r="G2754" s="360" t="s">
        <v>302</v>
      </c>
      <c r="H2754" s="144">
        <f>bargiri[[#This Row],[میزان بارگیری شده]]*bargiri[[#This Row],[فی]]</f>
        <v>1165207285</v>
      </c>
      <c r="I2754" s="360">
        <f>IF(year=bargiri[[#This Row],[سال]],1,0)</f>
        <v>0</v>
      </c>
      <c r="J2754" s="360" t="str">
        <f>VLOOKUP(bargiri[[#This Row],[شماره پیش فاکتور]],invoice[],16,0)</f>
        <v>عادی</v>
      </c>
      <c r="K2754" s="252">
        <f>bargiri[[#This Row],[فی]]*bargiri[[#This Row],[میزان بارگیری شده]]</f>
        <v>1165207285</v>
      </c>
    </row>
    <row r="2755" spans="1:11" ht="18.600000000000001">
      <c r="A2755" s="360" t="s">
        <v>450</v>
      </c>
      <c r="B2755" s="360" t="s">
        <v>104</v>
      </c>
      <c r="C2755" s="355" t="s">
        <v>41</v>
      </c>
      <c r="D2755">
        <v>18225</v>
      </c>
      <c r="E2755" s="143">
        <v>85000</v>
      </c>
      <c r="F2755" s="117">
        <v>1403</v>
      </c>
      <c r="G2755" s="360" t="s">
        <v>302</v>
      </c>
      <c r="H2755" s="144">
        <f>bargiri[[#This Row],[میزان بارگیری شده]]*bargiri[[#This Row],[فی]]</f>
        <v>1549125000</v>
      </c>
      <c r="I2755" s="360">
        <f>IF(year=bargiri[[#This Row],[سال]],1,0)</f>
        <v>0</v>
      </c>
      <c r="J2755" s="360" t="str">
        <f>VLOOKUP(bargiri[[#This Row],[شماره پیش فاکتور]],invoice[],16,0)</f>
        <v>عادی</v>
      </c>
      <c r="K2755" s="252">
        <f>bargiri[[#This Row],[فی]]*bargiri[[#This Row],[میزان بارگیری شده]]</f>
        <v>1549125000</v>
      </c>
    </row>
    <row r="2756" spans="1:11" ht="18.600000000000001">
      <c r="A2756" s="360" t="s">
        <v>165</v>
      </c>
      <c r="B2756" s="360" t="s">
        <v>116</v>
      </c>
      <c r="C2756" s="355" t="s">
        <v>77</v>
      </c>
      <c r="D2756">
        <v>20100</v>
      </c>
      <c r="E2756" s="143">
        <v>68500</v>
      </c>
      <c r="F2756" s="117">
        <v>1403</v>
      </c>
      <c r="G2756" s="360" t="s">
        <v>302</v>
      </c>
      <c r="H2756" s="144">
        <f>bargiri[[#This Row],[میزان بارگیری شده]]*bargiri[[#This Row],[فی]]</f>
        <v>1376850000</v>
      </c>
      <c r="I2756" s="360">
        <f>IF(year=bargiri[[#This Row],[سال]],1,0)</f>
        <v>0</v>
      </c>
      <c r="J2756" s="360" t="str">
        <f>VLOOKUP(bargiri[[#This Row],[شماره پیش فاکتور]],invoice[],16,0)</f>
        <v>عادی</v>
      </c>
      <c r="K2756" s="252">
        <f>bargiri[[#This Row],[فی]]*bargiri[[#This Row],[میزان بارگیری شده]]</f>
        <v>1376850000</v>
      </c>
    </row>
    <row r="2757" spans="1:11" ht="18.600000000000001">
      <c r="A2757" s="360" t="s">
        <v>165</v>
      </c>
      <c r="B2757" s="360" t="s">
        <v>99</v>
      </c>
      <c r="C2757" s="355" t="s">
        <v>13</v>
      </c>
      <c r="D2757">
        <v>17710</v>
      </c>
      <c r="E2757" s="143">
        <v>65000</v>
      </c>
      <c r="F2757" s="117">
        <v>1403</v>
      </c>
      <c r="G2757" s="360" t="s">
        <v>302</v>
      </c>
      <c r="H2757" s="144">
        <f>bargiri[[#This Row],[میزان بارگیری شده]]*bargiri[[#This Row],[فی]]</f>
        <v>1151150000</v>
      </c>
      <c r="I2757" s="360">
        <f>IF(year=bargiri[[#This Row],[سال]],1,0)</f>
        <v>0</v>
      </c>
      <c r="J2757" s="360" t="str">
        <f>VLOOKUP(bargiri[[#This Row],[شماره پیش فاکتور]],invoice[],16,0)</f>
        <v>عادی</v>
      </c>
      <c r="K2757" s="252">
        <f>bargiri[[#This Row],[فی]]*bargiri[[#This Row],[میزان بارگیری شده]]</f>
        <v>1151150000</v>
      </c>
    </row>
    <row r="2758" spans="1:11" ht="18.600000000000001">
      <c r="A2758" s="360" t="s">
        <v>165</v>
      </c>
      <c r="B2758" s="360" t="s">
        <v>103</v>
      </c>
      <c r="C2758" s="355" t="s">
        <v>30</v>
      </c>
      <c r="D2758">
        <v>6370</v>
      </c>
      <c r="E2758" s="143">
        <v>70000</v>
      </c>
      <c r="F2758" s="117">
        <v>1403</v>
      </c>
      <c r="G2758" s="360" t="s">
        <v>302</v>
      </c>
      <c r="H2758" s="144">
        <f>bargiri[[#This Row],[میزان بارگیری شده]]*bargiri[[#This Row],[فی]]</f>
        <v>445900000</v>
      </c>
      <c r="I2758" s="360">
        <f>IF(year=bargiri[[#This Row],[سال]],1,0)</f>
        <v>0</v>
      </c>
      <c r="J2758" s="360" t="str">
        <f>VLOOKUP(bargiri[[#This Row],[شماره پیش فاکتور]],invoice[],16,0)</f>
        <v>عادی</v>
      </c>
      <c r="K2758" s="252">
        <f>bargiri[[#This Row],[فی]]*bargiri[[#This Row],[میزان بارگیری شده]]</f>
        <v>445900000</v>
      </c>
    </row>
    <row r="2759" spans="1:11" ht="18.600000000000001">
      <c r="A2759" s="360" t="s">
        <v>165</v>
      </c>
      <c r="B2759" s="360" t="s">
        <v>118</v>
      </c>
      <c r="C2759" s="355" t="s">
        <v>85</v>
      </c>
      <c r="D2759">
        <v>20950</v>
      </c>
      <c r="E2759" s="143">
        <v>56881</v>
      </c>
      <c r="F2759" s="117">
        <v>1403</v>
      </c>
      <c r="G2759" s="360" t="s">
        <v>302</v>
      </c>
      <c r="H2759" s="144">
        <f>bargiri[[#This Row],[میزان بارگیری شده]]*bargiri[[#This Row],[فی]]</f>
        <v>1191656950</v>
      </c>
      <c r="I2759" s="360">
        <f>IF(year=bargiri[[#This Row],[سال]],1,0)</f>
        <v>0</v>
      </c>
      <c r="J2759" s="360" t="str">
        <f>VLOOKUP(bargiri[[#This Row],[شماره پیش فاکتور]],invoice[],16,0)</f>
        <v>عادی</v>
      </c>
      <c r="K2759" s="252">
        <f>bargiri[[#This Row],[فی]]*bargiri[[#This Row],[میزان بارگیری شده]]</f>
        <v>1191656950</v>
      </c>
    </row>
    <row r="2760" spans="1:11" ht="18.600000000000001">
      <c r="A2760" s="360" t="s">
        <v>165</v>
      </c>
      <c r="B2760" s="360" t="s">
        <v>118</v>
      </c>
      <c r="C2760" s="355" t="s">
        <v>85</v>
      </c>
      <c r="D2760">
        <v>20800</v>
      </c>
      <c r="E2760" s="143">
        <v>56881</v>
      </c>
      <c r="F2760" s="117">
        <v>1403</v>
      </c>
      <c r="G2760" s="360" t="s">
        <v>302</v>
      </c>
      <c r="H2760" s="144">
        <f>bargiri[[#This Row],[میزان بارگیری شده]]*bargiri[[#This Row],[فی]]</f>
        <v>1183124800</v>
      </c>
      <c r="I2760" s="360">
        <f>IF(year=bargiri[[#This Row],[سال]],1,0)</f>
        <v>0</v>
      </c>
      <c r="J2760" s="360" t="str">
        <f>VLOOKUP(bargiri[[#This Row],[شماره پیش فاکتور]],invoice[],16,0)</f>
        <v>عادی</v>
      </c>
      <c r="K2760" s="252">
        <f>bargiri[[#This Row],[فی]]*bargiri[[#This Row],[میزان بارگیری شده]]</f>
        <v>1183124800</v>
      </c>
    </row>
    <row r="2761" spans="1:11" ht="18.600000000000001">
      <c r="A2761" s="360" t="s">
        <v>165</v>
      </c>
      <c r="B2761" s="360" t="s">
        <v>118</v>
      </c>
      <c r="C2761" s="355" t="s">
        <v>85</v>
      </c>
      <c r="D2761">
        <v>21055</v>
      </c>
      <c r="E2761" s="143">
        <v>56881</v>
      </c>
      <c r="F2761" s="117">
        <v>1403</v>
      </c>
      <c r="G2761" s="360" t="s">
        <v>302</v>
      </c>
      <c r="H2761" s="144">
        <f>bargiri[[#This Row],[میزان بارگیری شده]]*bargiri[[#This Row],[فی]]</f>
        <v>1197629455</v>
      </c>
      <c r="I2761" s="360">
        <f>IF(year=bargiri[[#This Row],[سال]],1,0)</f>
        <v>0</v>
      </c>
      <c r="J2761" s="360" t="str">
        <f>VLOOKUP(bargiri[[#This Row],[شماره پیش فاکتور]],invoice[],16,0)</f>
        <v>عادی</v>
      </c>
      <c r="K2761" s="252">
        <f>bargiri[[#This Row],[فی]]*bargiri[[#This Row],[میزان بارگیری شده]]</f>
        <v>1197629455</v>
      </c>
    </row>
    <row r="2762" spans="1:11" ht="18.600000000000001">
      <c r="A2762" s="360" t="s">
        <v>165</v>
      </c>
      <c r="B2762" s="360" t="s">
        <v>104</v>
      </c>
      <c r="C2762" s="355" t="s">
        <v>41</v>
      </c>
      <c r="D2762">
        <v>17940</v>
      </c>
      <c r="E2762" s="143">
        <v>85000</v>
      </c>
      <c r="F2762" s="117">
        <v>1403</v>
      </c>
      <c r="G2762" s="360" t="s">
        <v>302</v>
      </c>
      <c r="H2762" s="144">
        <f>bargiri[[#This Row],[میزان بارگیری شده]]*bargiri[[#This Row],[فی]]</f>
        <v>1524900000</v>
      </c>
      <c r="I2762" s="360">
        <f>IF(year=bargiri[[#This Row],[سال]],1,0)</f>
        <v>0</v>
      </c>
      <c r="J2762" s="360" t="str">
        <f>VLOOKUP(bargiri[[#This Row],[شماره پیش فاکتور]],invoice[],16,0)</f>
        <v>عادی</v>
      </c>
      <c r="K2762" s="252">
        <f>bargiri[[#This Row],[فی]]*bargiri[[#This Row],[میزان بارگیری شده]]</f>
        <v>1524900000</v>
      </c>
    </row>
    <row r="2763" spans="1:11" ht="18.600000000000001">
      <c r="A2763" s="360" t="s">
        <v>441</v>
      </c>
      <c r="B2763" s="360" t="s">
        <v>102</v>
      </c>
      <c r="C2763" s="355" t="s">
        <v>26</v>
      </c>
      <c r="D2763">
        <v>8205</v>
      </c>
      <c r="E2763" s="143">
        <v>70000</v>
      </c>
      <c r="F2763" s="117">
        <v>1403</v>
      </c>
      <c r="G2763" s="360" t="s">
        <v>302</v>
      </c>
      <c r="H2763" s="144">
        <f>bargiri[[#This Row],[میزان بارگیری شده]]*bargiri[[#This Row],[فی]]</f>
        <v>574350000</v>
      </c>
      <c r="I2763" s="360">
        <f>IF(year=bargiri[[#This Row],[سال]],1,0)</f>
        <v>0</v>
      </c>
      <c r="J2763" s="360" t="str">
        <f>VLOOKUP(bargiri[[#This Row],[شماره پیش فاکتور]],invoice[],16,0)</f>
        <v>عادی</v>
      </c>
      <c r="K2763" s="252">
        <f>bargiri[[#This Row],[فی]]*bargiri[[#This Row],[میزان بارگیری شده]]</f>
        <v>574350000</v>
      </c>
    </row>
    <row r="2764" spans="1:11" ht="18.600000000000001">
      <c r="A2764" s="360" t="s">
        <v>441</v>
      </c>
      <c r="B2764" s="360" t="s">
        <v>99</v>
      </c>
      <c r="C2764" s="355" t="s">
        <v>13</v>
      </c>
      <c r="D2764">
        <v>19240</v>
      </c>
      <c r="E2764" s="143">
        <v>65000</v>
      </c>
      <c r="F2764" s="117">
        <v>1403</v>
      </c>
      <c r="G2764" s="360" t="s">
        <v>302</v>
      </c>
      <c r="H2764" s="144">
        <f>bargiri[[#This Row],[میزان بارگیری شده]]*bargiri[[#This Row],[فی]]</f>
        <v>1250600000</v>
      </c>
      <c r="I2764" s="360">
        <f>IF(year=bargiri[[#This Row],[سال]],1,0)</f>
        <v>0</v>
      </c>
      <c r="J2764" s="360" t="str">
        <f>VLOOKUP(bargiri[[#This Row],[شماره پیش فاکتور]],invoice[],16,0)</f>
        <v>عادی</v>
      </c>
      <c r="K2764" s="252">
        <f>bargiri[[#This Row],[فی]]*bargiri[[#This Row],[میزان بارگیری شده]]</f>
        <v>1250600000</v>
      </c>
    </row>
    <row r="2765" spans="1:11" ht="18.600000000000001">
      <c r="A2765" s="360" t="s">
        <v>441</v>
      </c>
      <c r="B2765" s="360" t="s">
        <v>102</v>
      </c>
      <c r="C2765" s="355" t="s">
        <v>26</v>
      </c>
      <c r="D2765">
        <v>9495</v>
      </c>
      <c r="E2765" s="143">
        <v>70000</v>
      </c>
      <c r="F2765" s="117">
        <v>1403</v>
      </c>
      <c r="G2765" s="360" t="s">
        <v>302</v>
      </c>
      <c r="H2765" s="144">
        <f>bargiri[[#This Row],[میزان بارگیری شده]]*bargiri[[#This Row],[فی]]</f>
        <v>664650000</v>
      </c>
      <c r="I2765" s="360">
        <f>IF(year=bargiri[[#This Row],[سال]],1,0)</f>
        <v>0</v>
      </c>
      <c r="J2765" s="360" t="str">
        <f>VLOOKUP(bargiri[[#This Row],[شماره پیش فاکتور]],invoice[],16,0)</f>
        <v>عادی</v>
      </c>
      <c r="K2765" s="252">
        <f>bargiri[[#This Row],[فی]]*bargiri[[#This Row],[میزان بارگیری شده]]</f>
        <v>664650000</v>
      </c>
    </row>
    <row r="2766" spans="1:11" ht="18.600000000000001">
      <c r="A2766" s="360" t="s">
        <v>441</v>
      </c>
      <c r="B2766" s="360" t="s">
        <v>115</v>
      </c>
      <c r="C2766" s="355" t="s">
        <v>65</v>
      </c>
      <c r="D2766">
        <v>22125</v>
      </c>
      <c r="E2766" s="143">
        <v>75000</v>
      </c>
      <c r="F2766" s="117">
        <v>1403</v>
      </c>
      <c r="G2766" s="360" t="s">
        <v>302</v>
      </c>
      <c r="H2766" s="144">
        <f>bargiri[[#This Row],[میزان بارگیری شده]]*bargiri[[#This Row],[فی]]</f>
        <v>1659375000</v>
      </c>
      <c r="I2766" s="360">
        <f>IF(year=bargiri[[#This Row],[سال]],1,0)</f>
        <v>0</v>
      </c>
      <c r="J2766" s="360" t="str">
        <f>VLOOKUP(bargiri[[#This Row],[شماره پیش فاکتور]],invoice[],16,0)</f>
        <v>عادی</v>
      </c>
      <c r="K2766" s="252">
        <f>bargiri[[#This Row],[فی]]*bargiri[[#This Row],[میزان بارگیری شده]]</f>
        <v>1659375000</v>
      </c>
    </row>
    <row r="2767" spans="1:11" ht="18.600000000000001">
      <c r="A2767" s="360" t="s">
        <v>441</v>
      </c>
      <c r="B2767" s="360" t="s">
        <v>116</v>
      </c>
      <c r="C2767" s="355" t="s">
        <v>77</v>
      </c>
      <c r="D2767">
        <v>20045</v>
      </c>
      <c r="E2767" s="143">
        <v>68500</v>
      </c>
      <c r="F2767" s="117">
        <v>1403</v>
      </c>
      <c r="G2767" s="360" t="s">
        <v>302</v>
      </c>
      <c r="H2767" s="144">
        <f>bargiri[[#This Row],[میزان بارگیری شده]]*bargiri[[#This Row],[فی]]</f>
        <v>1373082500</v>
      </c>
      <c r="I2767" s="360">
        <f>IF(year=bargiri[[#This Row],[سال]],1,0)</f>
        <v>0</v>
      </c>
      <c r="J2767" s="360" t="str">
        <f>VLOOKUP(bargiri[[#This Row],[شماره پیش فاکتور]],invoice[],16,0)</f>
        <v>عادی</v>
      </c>
      <c r="K2767" s="252">
        <f>bargiri[[#This Row],[فی]]*bargiri[[#This Row],[میزان بارگیری شده]]</f>
        <v>1373082500</v>
      </c>
    </row>
    <row r="2768" spans="1:11" ht="18.600000000000001">
      <c r="A2768" s="360" t="s">
        <v>441</v>
      </c>
      <c r="B2768" s="360" t="s">
        <v>106</v>
      </c>
      <c r="C2768" s="355" t="s">
        <v>48</v>
      </c>
      <c r="D2768">
        <v>20160</v>
      </c>
      <c r="E2768" s="143">
        <v>65000</v>
      </c>
      <c r="F2768" s="117">
        <v>1403</v>
      </c>
      <c r="G2768" s="360" t="s">
        <v>302</v>
      </c>
      <c r="H2768" s="144">
        <f>bargiri[[#This Row],[میزان بارگیری شده]]*bargiri[[#This Row],[فی]]</f>
        <v>1310400000</v>
      </c>
      <c r="I2768" s="360">
        <f>IF(year=bargiri[[#This Row],[سال]],1,0)</f>
        <v>0</v>
      </c>
      <c r="J2768" s="360" t="str">
        <f>VLOOKUP(bargiri[[#This Row],[شماره پیش فاکتور]],invoice[],16,0)</f>
        <v>عادی</v>
      </c>
      <c r="K2768" s="252">
        <f>bargiri[[#This Row],[فی]]*bargiri[[#This Row],[میزان بارگیری شده]]</f>
        <v>1310400000</v>
      </c>
    </row>
    <row r="2769" spans="1:11" ht="18.600000000000001">
      <c r="A2769" s="360" t="s">
        <v>441</v>
      </c>
      <c r="B2769" s="360" t="s">
        <v>98</v>
      </c>
      <c r="C2769" s="355" t="s">
        <v>11</v>
      </c>
      <c r="D2769">
        <v>22275</v>
      </c>
      <c r="E2769" s="143">
        <v>77000</v>
      </c>
      <c r="F2769" s="117">
        <v>1403</v>
      </c>
      <c r="G2769" s="360" t="s">
        <v>302</v>
      </c>
      <c r="H2769" s="144">
        <f>bargiri[[#This Row],[میزان بارگیری شده]]*bargiri[[#This Row],[فی]]</f>
        <v>1715175000</v>
      </c>
      <c r="I2769" s="360">
        <f>IF(year=bargiri[[#This Row],[سال]],1,0)</f>
        <v>0</v>
      </c>
      <c r="J2769" s="360" t="str">
        <f>VLOOKUP(bargiri[[#This Row],[شماره پیش فاکتور]],invoice[],16,0)</f>
        <v>عادی</v>
      </c>
      <c r="K2769" s="252">
        <f>bargiri[[#This Row],[فی]]*bargiri[[#This Row],[میزان بارگیری شده]]</f>
        <v>1715175000</v>
      </c>
    </row>
    <row r="2770" spans="1:11" ht="18.600000000000001">
      <c r="A2770" s="360" t="s">
        <v>441</v>
      </c>
      <c r="B2770" s="360" t="s">
        <v>99</v>
      </c>
      <c r="C2770" s="355" t="s">
        <v>13</v>
      </c>
      <c r="D2770">
        <v>18530</v>
      </c>
      <c r="E2770" s="143">
        <v>65000</v>
      </c>
      <c r="F2770" s="117">
        <v>1403</v>
      </c>
      <c r="G2770" s="360" t="s">
        <v>302</v>
      </c>
      <c r="H2770" s="144">
        <f>bargiri[[#This Row],[میزان بارگیری شده]]*bargiri[[#This Row],[فی]]</f>
        <v>1204450000</v>
      </c>
      <c r="I2770" s="360">
        <f>IF(year=bargiri[[#This Row],[سال]],1,0)</f>
        <v>0</v>
      </c>
      <c r="J2770" s="360" t="str">
        <f>VLOOKUP(bargiri[[#This Row],[شماره پیش فاکتور]],invoice[],16,0)</f>
        <v>عادی</v>
      </c>
      <c r="K2770" s="252">
        <f>bargiri[[#This Row],[فی]]*bargiri[[#This Row],[میزان بارگیری شده]]</f>
        <v>1204450000</v>
      </c>
    </row>
    <row r="2771" spans="1:11" ht="18.600000000000001">
      <c r="A2771" s="360" t="s">
        <v>451</v>
      </c>
      <c r="B2771" s="360" t="s">
        <v>101</v>
      </c>
      <c r="C2771" s="355" t="s">
        <v>20</v>
      </c>
      <c r="D2771">
        <v>5970</v>
      </c>
      <c r="E2771" s="143">
        <v>68000</v>
      </c>
      <c r="F2771" s="117">
        <v>1403</v>
      </c>
      <c r="G2771" s="360" t="s">
        <v>303</v>
      </c>
      <c r="H2771" s="144">
        <f>bargiri[[#This Row],[میزان بارگیری شده]]*bargiri[[#This Row],[فی]]</f>
        <v>405960000</v>
      </c>
      <c r="I2771" s="360">
        <f>IF(year=bargiri[[#This Row],[سال]],1,0)</f>
        <v>0</v>
      </c>
      <c r="J2771" s="360" t="str">
        <f>VLOOKUP(bargiri[[#This Row],[شماره پیش فاکتور]],invoice[],16,0)</f>
        <v>عادی</v>
      </c>
      <c r="K2771" s="252">
        <f>bargiri[[#This Row],[فی]]*bargiri[[#This Row],[میزان بارگیری شده]]</f>
        <v>405960000</v>
      </c>
    </row>
    <row r="2772" spans="1:11" ht="18.600000000000001">
      <c r="A2772" s="360" t="s">
        <v>452</v>
      </c>
      <c r="B2772" s="360" t="s">
        <v>116</v>
      </c>
      <c r="C2772" s="355" t="s">
        <v>77</v>
      </c>
      <c r="D2772">
        <v>20040</v>
      </c>
      <c r="E2772" s="143">
        <v>68500</v>
      </c>
      <c r="F2772" s="117">
        <v>1403</v>
      </c>
      <c r="G2772" s="360" t="s">
        <v>302</v>
      </c>
      <c r="H2772" s="144">
        <f>bargiri[[#This Row],[میزان بارگیری شده]]*bargiri[[#This Row],[فی]]</f>
        <v>1372740000</v>
      </c>
      <c r="I2772" s="360">
        <f>IF(year=bargiri[[#This Row],[سال]],1,0)</f>
        <v>0</v>
      </c>
      <c r="J2772" s="360" t="str">
        <f>VLOOKUP(bargiri[[#This Row],[شماره پیش فاکتور]],invoice[],16,0)</f>
        <v>عادی</v>
      </c>
      <c r="K2772" s="252">
        <f>bargiri[[#This Row],[فی]]*bargiri[[#This Row],[میزان بارگیری شده]]</f>
        <v>1372740000</v>
      </c>
    </row>
    <row r="2773" spans="1:11" ht="18.600000000000001">
      <c r="A2773" s="360" t="s">
        <v>452</v>
      </c>
      <c r="B2773" s="360" t="s">
        <v>116</v>
      </c>
      <c r="C2773" s="355" t="s">
        <v>77</v>
      </c>
      <c r="D2773">
        <v>8100</v>
      </c>
      <c r="E2773" s="143">
        <v>68500</v>
      </c>
      <c r="F2773" s="117">
        <v>1403</v>
      </c>
      <c r="G2773" s="360" t="s">
        <v>302</v>
      </c>
      <c r="H2773" s="144">
        <f>bargiri[[#This Row],[میزان بارگیری شده]]*bargiri[[#This Row],[فی]]</f>
        <v>554850000</v>
      </c>
      <c r="I2773" s="360">
        <f>IF(year=bargiri[[#This Row],[سال]],1,0)</f>
        <v>0</v>
      </c>
      <c r="J2773" s="360" t="str">
        <f>VLOOKUP(bargiri[[#This Row],[شماره پیش فاکتور]],invoice[],16,0)</f>
        <v>عادی</v>
      </c>
      <c r="K2773" s="252">
        <f>bargiri[[#This Row],[فی]]*bargiri[[#This Row],[میزان بارگیری شده]]</f>
        <v>554850000</v>
      </c>
    </row>
    <row r="2774" spans="1:11" ht="18.600000000000001">
      <c r="A2774" s="360" t="s">
        <v>452</v>
      </c>
      <c r="B2774" s="360" t="s">
        <v>101</v>
      </c>
      <c r="C2774" s="355" t="s">
        <v>20</v>
      </c>
      <c r="D2774">
        <v>20100</v>
      </c>
      <c r="E2774" s="143">
        <v>68000</v>
      </c>
      <c r="F2774" s="117">
        <v>1403</v>
      </c>
      <c r="G2774" s="360" t="s">
        <v>302</v>
      </c>
      <c r="H2774" s="144">
        <f>bargiri[[#This Row],[میزان بارگیری شده]]*bargiri[[#This Row],[فی]]</f>
        <v>1366800000</v>
      </c>
      <c r="I2774" s="360">
        <f>IF(year=bargiri[[#This Row],[سال]],1,0)</f>
        <v>0</v>
      </c>
      <c r="J2774" s="360" t="str">
        <f>VLOOKUP(bargiri[[#This Row],[شماره پیش فاکتور]],invoice[],16,0)</f>
        <v>عادی</v>
      </c>
      <c r="K2774" s="252">
        <f>bargiri[[#This Row],[فی]]*bargiri[[#This Row],[میزان بارگیری شده]]</f>
        <v>1366800000</v>
      </c>
    </row>
    <row r="2775" spans="1:11" ht="18.600000000000001">
      <c r="A2775" s="360" t="s">
        <v>452</v>
      </c>
      <c r="B2775" s="360" t="s">
        <v>104</v>
      </c>
      <c r="C2775" s="355" t="s">
        <v>41</v>
      </c>
      <c r="D2775">
        <v>18155</v>
      </c>
      <c r="E2775" s="143">
        <v>85000</v>
      </c>
      <c r="F2775" s="117">
        <v>1403</v>
      </c>
      <c r="G2775" s="360" t="s">
        <v>302</v>
      </c>
      <c r="H2775" s="144">
        <f>bargiri[[#This Row],[میزان بارگیری شده]]*bargiri[[#This Row],[فی]]</f>
        <v>1543175000</v>
      </c>
      <c r="I2775" s="360">
        <f>IF(year=bargiri[[#This Row],[سال]],1,0)</f>
        <v>0</v>
      </c>
      <c r="J2775" s="360" t="str">
        <f>VLOOKUP(bargiri[[#This Row],[شماره پیش فاکتور]],invoice[],16,0)</f>
        <v>عادی</v>
      </c>
      <c r="K2775" s="252">
        <f>bargiri[[#This Row],[فی]]*bargiri[[#This Row],[میزان بارگیری شده]]</f>
        <v>1543175000</v>
      </c>
    </row>
    <row r="2776" spans="1:11" ht="18.600000000000001">
      <c r="A2776" s="360" t="s">
        <v>452</v>
      </c>
      <c r="B2776" s="360" t="s">
        <v>103</v>
      </c>
      <c r="C2776" s="355" t="s">
        <v>30</v>
      </c>
      <c r="D2776">
        <v>7510</v>
      </c>
      <c r="E2776" s="143">
        <v>70000</v>
      </c>
      <c r="F2776" s="117">
        <v>1403</v>
      </c>
      <c r="G2776" s="360" t="s">
        <v>302</v>
      </c>
      <c r="H2776" s="144">
        <f>bargiri[[#This Row],[میزان بارگیری شده]]*bargiri[[#This Row],[فی]]</f>
        <v>525700000</v>
      </c>
      <c r="I2776" s="360">
        <f>IF(year=bargiri[[#This Row],[سال]],1,0)</f>
        <v>0</v>
      </c>
      <c r="J2776" s="360" t="str">
        <f>VLOOKUP(bargiri[[#This Row],[شماره پیش فاکتور]],invoice[],16,0)</f>
        <v>عادی</v>
      </c>
      <c r="K2776" s="252">
        <f>bargiri[[#This Row],[فی]]*bargiri[[#This Row],[میزان بارگیری شده]]</f>
        <v>525700000</v>
      </c>
    </row>
    <row r="2777" spans="1:11" ht="18.600000000000001">
      <c r="A2777" s="360" t="s">
        <v>452</v>
      </c>
      <c r="B2777" s="360" t="s">
        <v>115</v>
      </c>
      <c r="C2777" s="355" t="s">
        <v>65</v>
      </c>
      <c r="D2777">
        <v>22095</v>
      </c>
      <c r="E2777" s="143">
        <v>75000</v>
      </c>
      <c r="F2777" s="117">
        <v>1403</v>
      </c>
      <c r="G2777" s="360" t="s">
        <v>302</v>
      </c>
      <c r="H2777" s="144">
        <f>bargiri[[#This Row],[میزان بارگیری شده]]*bargiri[[#This Row],[فی]]</f>
        <v>1657125000</v>
      </c>
      <c r="I2777" s="360">
        <f>IF(year=bargiri[[#This Row],[سال]],1,0)</f>
        <v>0</v>
      </c>
      <c r="J2777" s="360" t="str">
        <f>VLOOKUP(bargiri[[#This Row],[شماره پیش فاکتور]],invoice[],16,0)</f>
        <v>عادی</v>
      </c>
      <c r="K2777" s="252">
        <f>bargiri[[#This Row],[فی]]*bargiri[[#This Row],[میزان بارگیری شده]]</f>
        <v>1657125000</v>
      </c>
    </row>
    <row r="2778" spans="1:11" ht="18.600000000000001">
      <c r="A2778" s="360" t="s">
        <v>452</v>
      </c>
      <c r="B2778" s="360" t="s">
        <v>106</v>
      </c>
      <c r="C2778" s="355" t="s">
        <v>48</v>
      </c>
      <c r="D2778">
        <v>20245</v>
      </c>
      <c r="E2778" s="143">
        <v>65000</v>
      </c>
      <c r="F2778" s="117">
        <v>1403</v>
      </c>
      <c r="G2778" s="360" t="s">
        <v>302</v>
      </c>
      <c r="H2778" s="144">
        <f>bargiri[[#This Row],[میزان بارگیری شده]]*bargiri[[#This Row],[فی]]</f>
        <v>1315925000</v>
      </c>
      <c r="I2778" s="360">
        <f>IF(year=bargiri[[#This Row],[سال]],1,0)</f>
        <v>0</v>
      </c>
      <c r="J2778" s="360" t="str">
        <f>VLOOKUP(bargiri[[#This Row],[شماره پیش فاکتور]],invoice[],16,0)</f>
        <v>عادی</v>
      </c>
      <c r="K2778" s="252">
        <f>bargiri[[#This Row],[فی]]*bargiri[[#This Row],[میزان بارگیری شده]]</f>
        <v>1315925000</v>
      </c>
    </row>
    <row r="2779" spans="1:11" ht="18.600000000000001">
      <c r="A2779" s="360" t="s">
        <v>452</v>
      </c>
      <c r="B2779" s="360" t="s">
        <v>117</v>
      </c>
      <c r="C2779" s="355" t="s">
        <v>82</v>
      </c>
      <c r="D2779">
        <v>20115</v>
      </c>
      <c r="E2779" s="143">
        <v>70000</v>
      </c>
      <c r="F2779" s="117">
        <v>1403</v>
      </c>
      <c r="G2779" s="360" t="s">
        <v>302</v>
      </c>
      <c r="H2779" s="144">
        <f>bargiri[[#This Row],[میزان بارگیری شده]]*bargiri[[#This Row],[فی]]</f>
        <v>1408050000</v>
      </c>
      <c r="I2779" s="360">
        <f>IF(year=bargiri[[#This Row],[سال]],1,0)</f>
        <v>0</v>
      </c>
      <c r="J2779" s="360" t="str">
        <f>VLOOKUP(bargiri[[#This Row],[شماره پیش فاکتور]],invoice[],16,0)</f>
        <v>عادی</v>
      </c>
      <c r="K2779" s="252">
        <f>bargiri[[#This Row],[فی]]*bargiri[[#This Row],[میزان بارگیری شده]]</f>
        <v>1408050000</v>
      </c>
    </row>
    <row r="2780" spans="1:11" ht="18.600000000000001">
      <c r="A2780" s="360" t="s">
        <v>205</v>
      </c>
      <c r="B2780" s="360" t="s">
        <v>106</v>
      </c>
      <c r="C2780" s="355" t="s">
        <v>48</v>
      </c>
      <c r="D2780">
        <v>5050</v>
      </c>
      <c r="E2780" s="143">
        <v>65000</v>
      </c>
      <c r="F2780" s="117">
        <v>1403</v>
      </c>
      <c r="G2780" s="360" t="s">
        <v>302</v>
      </c>
      <c r="H2780" s="144">
        <f>bargiri[[#This Row],[میزان بارگیری شده]]*bargiri[[#This Row],[فی]]</f>
        <v>328250000</v>
      </c>
      <c r="I2780" s="360">
        <f>IF(year=bargiri[[#This Row],[سال]],1,0)</f>
        <v>0</v>
      </c>
      <c r="J2780" s="360" t="str">
        <f>VLOOKUP(bargiri[[#This Row],[شماره پیش فاکتور]],invoice[],16,0)</f>
        <v>عادی</v>
      </c>
      <c r="K2780" s="252">
        <f>bargiri[[#This Row],[فی]]*bargiri[[#This Row],[میزان بارگیری شده]]</f>
        <v>328250000</v>
      </c>
    </row>
    <row r="2781" spans="1:11" ht="18.600000000000001">
      <c r="A2781" s="360" t="s">
        <v>453</v>
      </c>
      <c r="B2781" s="360" t="s">
        <v>106</v>
      </c>
      <c r="C2781" s="355" t="s">
        <v>48</v>
      </c>
      <c r="D2781">
        <v>20265</v>
      </c>
      <c r="E2781" s="143">
        <v>65000</v>
      </c>
      <c r="F2781" s="117">
        <v>1403</v>
      </c>
      <c r="G2781" s="360" t="s">
        <v>302</v>
      </c>
      <c r="H2781" s="144">
        <f>bargiri[[#This Row],[میزان بارگیری شده]]*bargiri[[#This Row],[فی]]</f>
        <v>1317225000</v>
      </c>
      <c r="I2781" s="360">
        <f>IF(year=bargiri[[#This Row],[سال]],1,0)</f>
        <v>0</v>
      </c>
      <c r="J2781" s="360" t="str">
        <f>VLOOKUP(bargiri[[#This Row],[شماره پیش فاکتور]],invoice[],16,0)</f>
        <v>عادی</v>
      </c>
      <c r="K2781" s="252">
        <f>bargiri[[#This Row],[فی]]*bargiri[[#This Row],[میزان بارگیری شده]]</f>
        <v>1317225000</v>
      </c>
    </row>
    <row r="2782" spans="1:11" ht="18.600000000000001">
      <c r="A2782" s="360" t="s">
        <v>454</v>
      </c>
      <c r="B2782" s="360" t="s">
        <v>106</v>
      </c>
      <c r="C2782" s="355" t="s">
        <v>48</v>
      </c>
      <c r="D2782">
        <v>20255</v>
      </c>
      <c r="E2782" s="143">
        <v>65000</v>
      </c>
      <c r="F2782" s="117">
        <v>1403</v>
      </c>
      <c r="G2782" s="360" t="s">
        <v>302</v>
      </c>
      <c r="H2782" s="144">
        <f>bargiri[[#This Row],[میزان بارگیری شده]]*bargiri[[#This Row],[فی]]</f>
        <v>1316575000</v>
      </c>
      <c r="I2782" s="360">
        <f>IF(year=bargiri[[#This Row],[سال]],1,0)</f>
        <v>0</v>
      </c>
      <c r="J2782" s="360" t="str">
        <f>VLOOKUP(bargiri[[#This Row],[شماره پیش فاکتور]],invoice[],16,0)</f>
        <v>عادی</v>
      </c>
      <c r="K2782" s="252">
        <f>bargiri[[#This Row],[فی]]*bargiri[[#This Row],[میزان بارگیری شده]]</f>
        <v>1316575000</v>
      </c>
    </row>
    <row r="2783" spans="1:11" ht="18.600000000000001">
      <c r="A2783" s="360" t="s">
        <v>455</v>
      </c>
      <c r="B2783" s="360" t="s">
        <v>106</v>
      </c>
      <c r="C2783" s="355" t="s">
        <v>48</v>
      </c>
      <c r="D2783">
        <v>10050</v>
      </c>
      <c r="E2783" s="143">
        <v>65000</v>
      </c>
      <c r="F2783" s="117">
        <v>1403</v>
      </c>
      <c r="G2783" s="360" t="s">
        <v>302</v>
      </c>
      <c r="H2783" s="144">
        <f>bargiri[[#This Row],[میزان بارگیری شده]]*bargiri[[#This Row],[فی]]</f>
        <v>653250000</v>
      </c>
      <c r="I2783" s="360">
        <f>IF(year=bargiri[[#This Row],[سال]],1,0)</f>
        <v>0</v>
      </c>
      <c r="J2783" s="360" t="str">
        <f>VLOOKUP(bargiri[[#This Row],[شماره پیش فاکتور]],invoice[],16,0)</f>
        <v>عادی</v>
      </c>
      <c r="K2783" s="252">
        <f>bargiri[[#This Row],[فی]]*bargiri[[#This Row],[میزان بارگیری شده]]</f>
        <v>653250000</v>
      </c>
    </row>
    <row r="2784" spans="1:11" ht="18.600000000000001">
      <c r="A2784" s="360" t="s">
        <v>455</v>
      </c>
      <c r="B2784" s="360" t="s">
        <v>106</v>
      </c>
      <c r="C2784" s="355" t="s">
        <v>48</v>
      </c>
      <c r="D2784">
        <v>19965</v>
      </c>
      <c r="E2784" s="143">
        <v>65000</v>
      </c>
      <c r="F2784" s="117">
        <v>1403</v>
      </c>
      <c r="G2784" s="360" t="s">
        <v>302</v>
      </c>
      <c r="H2784" s="144">
        <f>bargiri[[#This Row],[میزان بارگیری شده]]*bargiri[[#This Row],[فی]]</f>
        <v>1297725000</v>
      </c>
      <c r="I2784" s="360">
        <f>IF(year=bargiri[[#This Row],[سال]],1,0)</f>
        <v>0</v>
      </c>
      <c r="J2784" s="360" t="str">
        <f>VLOOKUP(bargiri[[#This Row],[شماره پیش فاکتور]],invoice[],16,0)</f>
        <v>عادی</v>
      </c>
      <c r="K2784" s="252">
        <f>bargiri[[#This Row],[فی]]*bargiri[[#This Row],[میزان بارگیری شده]]</f>
        <v>1297725000</v>
      </c>
    </row>
    <row r="2785" spans="1:11" ht="18.600000000000001">
      <c r="A2785" s="360" t="s">
        <v>159</v>
      </c>
      <c r="B2785" s="360" t="s">
        <v>106</v>
      </c>
      <c r="C2785" s="355" t="s">
        <v>48</v>
      </c>
      <c r="D2785">
        <v>20445</v>
      </c>
      <c r="E2785" s="143">
        <v>65000</v>
      </c>
      <c r="F2785" s="117">
        <v>1403</v>
      </c>
      <c r="G2785" s="360" t="s">
        <v>302</v>
      </c>
      <c r="H2785" s="144">
        <f>bargiri[[#This Row],[میزان بارگیری شده]]*bargiri[[#This Row],[فی]]</f>
        <v>1328925000</v>
      </c>
      <c r="I2785" s="360">
        <f>IF(year=bargiri[[#This Row],[سال]],1,0)</f>
        <v>0</v>
      </c>
      <c r="J2785" s="360" t="str">
        <f>VLOOKUP(bargiri[[#This Row],[شماره پیش فاکتور]],invoice[],16,0)</f>
        <v>عادی</v>
      </c>
      <c r="K2785" s="252">
        <f>bargiri[[#This Row],[فی]]*bargiri[[#This Row],[میزان بارگیری شده]]</f>
        <v>1328925000</v>
      </c>
    </row>
    <row r="2786" spans="1:11" ht="18.600000000000001">
      <c r="A2786" s="360" t="s">
        <v>451</v>
      </c>
      <c r="B2786" s="360" t="s">
        <v>106</v>
      </c>
      <c r="C2786" s="355" t="s">
        <v>48</v>
      </c>
      <c r="D2786">
        <v>5115</v>
      </c>
      <c r="E2786" s="143">
        <v>65000</v>
      </c>
      <c r="F2786" s="117">
        <v>1403</v>
      </c>
      <c r="G2786" s="360" t="s">
        <v>303</v>
      </c>
      <c r="H2786" s="144">
        <f>bargiri[[#This Row],[میزان بارگیری شده]]*bargiri[[#This Row],[فی]]</f>
        <v>332475000</v>
      </c>
      <c r="I2786" s="360">
        <f>IF(year=bargiri[[#This Row],[سال]],1,0)</f>
        <v>0</v>
      </c>
      <c r="J2786" s="360" t="str">
        <f>VLOOKUP(bargiri[[#This Row],[شماره پیش فاکتور]],invoice[],16,0)</f>
        <v>عادی</v>
      </c>
      <c r="K2786" s="252">
        <f>bargiri[[#This Row],[فی]]*bargiri[[#This Row],[میزان بارگیری شده]]</f>
        <v>332475000</v>
      </c>
    </row>
    <row r="2787" spans="1:11" ht="18.600000000000001">
      <c r="A2787" s="360" t="s">
        <v>136</v>
      </c>
      <c r="B2787" s="360" t="s">
        <v>106</v>
      </c>
      <c r="C2787" s="355" t="s">
        <v>48</v>
      </c>
      <c r="D2787">
        <v>20050</v>
      </c>
      <c r="E2787" s="143">
        <v>65000</v>
      </c>
      <c r="F2787" s="117">
        <v>1403</v>
      </c>
      <c r="G2787" s="360" t="s">
        <v>303</v>
      </c>
      <c r="H2787" s="144">
        <f>bargiri[[#This Row],[میزان بارگیری شده]]*bargiri[[#This Row],[فی]]</f>
        <v>1303250000</v>
      </c>
      <c r="I2787" s="360">
        <f>IF(year=bargiri[[#This Row],[سال]],1,0)</f>
        <v>0</v>
      </c>
      <c r="J2787" s="360" t="str">
        <f>VLOOKUP(bargiri[[#This Row],[شماره پیش فاکتور]],invoice[],16,0)</f>
        <v>عادی</v>
      </c>
      <c r="K2787" s="252">
        <f>bargiri[[#This Row],[فی]]*bargiri[[#This Row],[میزان بارگیری شده]]</f>
        <v>1303250000</v>
      </c>
    </row>
    <row r="2788" spans="1:11" ht="18.600000000000001">
      <c r="A2788" s="360" t="s">
        <v>231</v>
      </c>
      <c r="B2788" s="360" t="s">
        <v>106</v>
      </c>
      <c r="C2788" s="355" t="s">
        <v>49</v>
      </c>
      <c r="D2788">
        <v>2490</v>
      </c>
      <c r="E2788" s="143">
        <v>50000</v>
      </c>
      <c r="F2788" s="117">
        <v>1403</v>
      </c>
      <c r="G2788" s="360" t="s">
        <v>303</v>
      </c>
      <c r="H2788" s="144">
        <f>bargiri[[#This Row],[میزان بارگیری شده]]*bargiri[[#This Row],[فی]]</f>
        <v>124500000</v>
      </c>
      <c r="I2788" s="360">
        <f>IF(year=bargiri[[#This Row],[سال]],1,0)</f>
        <v>0</v>
      </c>
      <c r="J2788" s="360" t="str">
        <f>VLOOKUP(bargiri[[#This Row],[شماره پیش فاکتور]],invoice[],16,0)</f>
        <v>عادی</v>
      </c>
      <c r="K2788" s="252">
        <f>bargiri[[#This Row],[فی]]*bargiri[[#This Row],[میزان بارگیری شده]]</f>
        <v>124500000</v>
      </c>
    </row>
    <row r="2789" spans="1:11" ht="18.600000000000001">
      <c r="A2789" s="360" t="s">
        <v>231</v>
      </c>
      <c r="B2789" s="360" t="s">
        <v>106</v>
      </c>
      <c r="C2789" s="355" t="s">
        <v>47</v>
      </c>
      <c r="D2789">
        <v>9130</v>
      </c>
      <c r="E2789" s="143">
        <v>50000</v>
      </c>
      <c r="F2789" s="117">
        <v>1403</v>
      </c>
      <c r="G2789" s="360" t="s">
        <v>303</v>
      </c>
      <c r="H2789" s="144">
        <f>bargiri[[#This Row],[میزان بارگیری شده]]*bargiri[[#This Row],[فی]]</f>
        <v>456500000</v>
      </c>
      <c r="I2789" s="360">
        <f>IF(year=bargiri[[#This Row],[سال]],1,0)</f>
        <v>0</v>
      </c>
      <c r="J2789" s="360" t="str">
        <f>VLOOKUP(bargiri[[#This Row],[شماره پیش فاکتور]],invoice[],16,0)</f>
        <v>عادی</v>
      </c>
      <c r="K2789" s="252">
        <f>bargiri[[#This Row],[فی]]*bargiri[[#This Row],[میزان بارگیری شده]]</f>
        <v>456500000</v>
      </c>
    </row>
    <row r="2790" spans="1:11" ht="18.600000000000001">
      <c r="A2790" s="360" t="s">
        <v>231</v>
      </c>
      <c r="B2790" s="360" t="s">
        <v>106</v>
      </c>
      <c r="C2790" s="355" t="s">
        <v>48</v>
      </c>
      <c r="D2790">
        <v>8510</v>
      </c>
      <c r="E2790" s="143">
        <v>65000</v>
      </c>
      <c r="F2790" s="117">
        <v>1403</v>
      </c>
      <c r="G2790" s="360" t="s">
        <v>303</v>
      </c>
      <c r="H2790" s="144">
        <f>bargiri[[#This Row],[میزان بارگیری شده]]*bargiri[[#This Row],[فی]]</f>
        <v>553150000</v>
      </c>
      <c r="I2790" s="360">
        <f>IF(year=bargiri[[#This Row],[سال]],1,0)</f>
        <v>0</v>
      </c>
      <c r="J2790" s="360" t="str">
        <f>VLOOKUP(bargiri[[#This Row],[شماره پیش فاکتور]],invoice[],16,0)</f>
        <v>عادی</v>
      </c>
      <c r="K2790" s="252">
        <f>bargiri[[#This Row],[فی]]*bargiri[[#This Row],[میزان بارگیری شده]]</f>
        <v>553150000</v>
      </c>
    </row>
    <row r="2791" spans="1:11" ht="18.600000000000001">
      <c r="A2791" s="360" t="s">
        <v>205</v>
      </c>
      <c r="B2791" s="360" t="s">
        <v>116</v>
      </c>
      <c r="C2791" s="355" t="s">
        <v>77</v>
      </c>
      <c r="D2791">
        <v>8215</v>
      </c>
      <c r="E2791" s="143">
        <v>68500</v>
      </c>
      <c r="F2791" s="117">
        <v>1403</v>
      </c>
      <c r="G2791" s="360" t="s">
        <v>302</v>
      </c>
      <c r="H2791" s="144">
        <f>bargiri[[#This Row],[میزان بارگیری شده]]*bargiri[[#This Row],[فی]]</f>
        <v>562727500</v>
      </c>
      <c r="I2791" s="360">
        <f>IF(year=bargiri[[#This Row],[سال]],1,0)</f>
        <v>0</v>
      </c>
      <c r="J2791" s="360" t="str">
        <f>VLOOKUP(bargiri[[#This Row],[شماره پیش فاکتور]],invoice[],16,0)</f>
        <v>عادی</v>
      </c>
      <c r="K2791" s="252">
        <f>bargiri[[#This Row],[فی]]*bargiri[[#This Row],[میزان بارگیری شده]]</f>
        <v>562727500</v>
      </c>
    </row>
    <row r="2792" spans="1:11" ht="18.600000000000001">
      <c r="A2792" s="360" t="s">
        <v>205</v>
      </c>
      <c r="B2792" s="360" t="s">
        <v>117</v>
      </c>
      <c r="C2792" s="355" t="s">
        <v>82</v>
      </c>
      <c r="D2792">
        <v>19960</v>
      </c>
      <c r="E2792" s="143">
        <v>70000</v>
      </c>
      <c r="F2792" s="117">
        <v>1403</v>
      </c>
      <c r="G2792" s="360" t="s">
        <v>302</v>
      </c>
      <c r="H2792" s="144">
        <f>bargiri[[#This Row],[میزان بارگیری شده]]*bargiri[[#This Row],[فی]]</f>
        <v>1397200000</v>
      </c>
      <c r="I2792" s="360">
        <f>IF(year=bargiri[[#This Row],[سال]],1,0)</f>
        <v>0</v>
      </c>
      <c r="J2792" s="360" t="str">
        <f>VLOOKUP(bargiri[[#This Row],[شماره پیش فاکتور]],invoice[],16,0)</f>
        <v>عادی</v>
      </c>
      <c r="K2792" s="252">
        <f>bargiri[[#This Row],[فی]]*bargiri[[#This Row],[میزان بارگیری شده]]</f>
        <v>1397200000</v>
      </c>
    </row>
    <row r="2793" spans="1:11" ht="18.600000000000001">
      <c r="A2793" s="360" t="s">
        <v>205</v>
      </c>
      <c r="B2793" s="360" t="s">
        <v>116</v>
      </c>
      <c r="C2793" s="355" t="s">
        <v>77</v>
      </c>
      <c r="D2793">
        <v>19790</v>
      </c>
      <c r="E2793" s="143">
        <v>68500</v>
      </c>
      <c r="F2793" s="117">
        <v>1403</v>
      </c>
      <c r="G2793" s="360" t="s">
        <v>302</v>
      </c>
      <c r="H2793" s="144">
        <f>bargiri[[#This Row],[میزان بارگیری شده]]*bargiri[[#This Row],[فی]]</f>
        <v>1355615000</v>
      </c>
      <c r="I2793" s="360">
        <f>IF(year=bargiri[[#This Row],[سال]],1,0)</f>
        <v>0</v>
      </c>
      <c r="J2793" s="360" t="str">
        <f>VLOOKUP(bargiri[[#This Row],[شماره پیش فاکتور]],invoice[],16,0)</f>
        <v>عادی</v>
      </c>
      <c r="K2793" s="252">
        <f>bargiri[[#This Row],[فی]]*bargiri[[#This Row],[میزان بارگیری شده]]</f>
        <v>1355615000</v>
      </c>
    </row>
    <row r="2794" spans="1:11" ht="18.600000000000001">
      <c r="A2794" s="360" t="s">
        <v>205</v>
      </c>
      <c r="B2794" s="360" t="s">
        <v>118</v>
      </c>
      <c r="C2794" s="355" t="s">
        <v>85</v>
      </c>
      <c r="D2794">
        <v>20905</v>
      </c>
      <c r="E2794" s="143">
        <v>56881</v>
      </c>
      <c r="F2794" s="117">
        <v>1403</v>
      </c>
      <c r="G2794" s="360" t="s">
        <v>302</v>
      </c>
      <c r="H2794" s="144">
        <f>bargiri[[#This Row],[میزان بارگیری شده]]*bargiri[[#This Row],[فی]]</f>
        <v>1189097305</v>
      </c>
      <c r="I2794" s="360">
        <f>IF(year=bargiri[[#This Row],[سال]],1,0)</f>
        <v>0</v>
      </c>
      <c r="J2794" s="360" t="str">
        <f>VLOOKUP(bargiri[[#This Row],[شماره پیش فاکتور]],invoice[],16,0)</f>
        <v>عادی</v>
      </c>
      <c r="K2794" s="252">
        <f>bargiri[[#This Row],[فی]]*bargiri[[#This Row],[میزان بارگیری شده]]</f>
        <v>1189097305</v>
      </c>
    </row>
    <row r="2795" spans="1:11" ht="18.600000000000001">
      <c r="A2795" s="360" t="s">
        <v>205</v>
      </c>
      <c r="B2795" s="360" t="s">
        <v>118</v>
      </c>
      <c r="C2795" s="355" t="s">
        <v>85</v>
      </c>
      <c r="D2795">
        <v>21120</v>
      </c>
      <c r="E2795" s="143">
        <v>56881</v>
      </c>
      <c r="F2795" s="117">
        <v>1403</v>
      </c>
      <c r="G2795" s="360" t="s">
        <v>302</v>
      </c>
      <c r="H2795" s="144">
        <f>bargiri[[#This Row],[میزان بارگیری شده]]*bargiri[[#This Row],[فی]]</f>
        <v>1201326720</v>
      </c>
      <c r="I2795" s="360">
        <f>IF(year=bargiri[[#This Row],[سال]],1,0)</f>
        <v>0</v>
      </c>
      <c r="J2795" s="360" t="str">
        <f>VLOOKUP(bargiri[[#This Row],[شماره پیش فاکتور]],invoice[],16,0)</f>
        <v>عادی</v>
      </c>
      <c r="K2795" s="252">
        <f>bargiri[[#This Row],[فی]]*bargiri[[#This Row],[میزان بارگیری شده]]</f>
        <v>1201326720</v>
      </c>
    </row>
    <row r="2796" spans="1:11" ht="18.600000000000001">
      <c r="A2796" s="360" t="s">
        <v>205</v>
      </c>
      <c r="B2796" s="360" t="s">
        <v>118</v>
      </c>
      <c r="C2796" s="355" t="s">
        <v>85</v>
      </c>
      <c r="D2796">
        <v>21065</v>
      </c>
      <c r="E2796" s="143">
        <v>56881</v>
      </c>
      <c r="F2796" s="117">
        <v>1403</v>
      </c>
      <c r="G2796" s="360" t="s">
        <v>302</v>
      </c>
      <c r="H2796" s="144">
        <f>bargiri[[#This Row],[میزان بارگیری شده]]*bargiri[[#This Row],[فی]]</f>
        <v>1198198265</v>
      </c>
      <c r="I2796" s="360">
        <f>IF(year=bargiri[[#This Row],[سال]],1,0)</f>
        <v>0</v>
      </c>
      <c r="J2796" s="360" t="str">
        <f>VLOOKUP(bargiri[[#This Row],[شماره پیش فاکتور]],invoice[],16,0)</f>
        <v>عادی</v>
      </c>
      <c r="K2796" s="252">
        <f>bargiri[[#This Row],[فی]]*bargiri[[#This Row],[میزان بارگیری شده]]</f>
        <v>1198198265</v>
      </c>
    </row>
    <row r="2797" spans="1:11" ht="18.600000000000001">
      <c r="A2797" s="360" t="s">
        <v>453</v>
      </c>
      <c r="B2797" s="360" t="s">
        <v>118</v>
      </c>
      <c r="C2797" s="355" t="s">
        <v>85</v>
      </c>
      <c r="D2797">
        <v>21135</v>
      </c>
      <c r="E2797" s="143">
        <v>56881</v>
      </c>
      <c r="F2797" s="117">
        <v>1403</v>
      </c>
      <c r="G2797" s="360" t="s">
        <v>302</v>
      </c>
      <c r="H2797" s="144">
        <f>bargiri[[#This Row],[میزان بارگیری شده]]*bargiri[[#This Row],[فی]]</f>
        <v>1202179935</v>
      </c>
      <c r="I2797" s="360">
        <f>IF(year=bargiri[[#This Row],[سال]],1,0)</f>
        <v>0</v>
      </c>
      <c r="J2797" s="360" t="str">
        <f>VLOOKUP(bargiri[[#This Row],[شماره پیش فاکتور]],invoice[],16,0)</f>
        <v>عادی</v>
      </c>
      <c r="K2797" s="252">
        <f>bargiri[[#This Row],[فی]]*bargiri[[#This Row],[میزان بارگیری شده]]</f>
        <v>1202179935</v>
      </c>
    </row>
    <row r="2798" spans="1:11" ht="18.600000000000001">
      <c r="A2798" s="360" t="s">
        <v>453</v>
      </c>
      <c r="B2798" s="360" t="s">
        <v>118</v>
      </c>
      <c r="C2798" s="355" t="s">
        <v>85</v>
      </c>
      <c r="D2798">
        <v>21165</v>
      </c>
      <c r="E2798" s="143">
        <v>56881</v>
      </c>
      <c r="F2798" s="117">
        <v>1403</v>
      </c>
      <c r="G2798" s="360" t="s">
        <v>302</v>
      </c>
      <c r="H2798" s="144">
        <f>bargiri[[#This Row],[میزان بارگیری شده]]*bargiri[[#This Row],[فی]]</f>
        <v>1203886365</v>
      </c>
      <c r="I2798" s="360">
        <f>IF(year=bargiri[[#This Row],[سال]],1,0)</f>
        <v>0</v>
      </c>
      <c r="J2798" s="360" t="str">
        <f>VLOOKUP(bargiri[[#This Row],[شماره پیش فاکتور]],invoice[],16,0)</f>
        <v>عادی</v>
      </c>
      <c r="K2798" s="252">
        <f>bargiri[[#This Row],[فی]]*bargiri[[#This Row],[میزان بارگیری شده]]</f>
        <v>1203886365</v>
      </c>
    </row>
    <row r="2799" spans="1:11" ht="18.600000000000001">
      <c r="A2799" s="360" t="s">
        <v>453</v>
      </c>
      <c r="B2799" s="360" t="s">
        <v>101</v>
      </c>
      <c r="C2799" s="355" t="s">
        <v>20</v>
      </c>
      <c r="D2799">
        <v>5885</v>
      </c>
      <c r="E2799" s="143">
        <v>68000</v>
      </c>
      <c r="F2799" s="117">
        <v>1403</v>
      </c>
      <c r="G2799" s="360" t="s">
        <v>302</v>
      </c>
      <c r="H2799" s="144">
        <f>bargiri[[#This Row],[میزان بارگیری شده]]*bargiri[[#This Row],[فی]]</f>
        <v>400180000</v>
      </c>
      <c r="I2799" s="360">
        <f>IF(year=bargiri[[#This Row],[سال]],1,0)</f>
        <v>0</v>
      </c>
      <c r="J2799" s="360" t="str">
        <f>VLOOKUP(bargiri[[#This Row],[شماره پیش فاکتور]],invoice[],16,0)</f>
        <v>عادی</v>
      </c>
      <c r="K2799" s="252">
        <f>bargiri[[#This Row],[فی]]*bargiri[[#This Row],[میزان بارگیری شده]]</f>
        <v>400180000</v>
      </c>
    </row>
    <row r="2800" spans="1:11" ht="18.600000000000001">
      <c r="A2800" s="360" t="s">
        <v>453</v>
      </c>
      <c r="B2800" s="360" t="s">
        <v>102</v>
      </c>
      <c r="C2800" s="355" t="s">
        <v>26</v>
      </c>
      <c r="D2800">
        <v>11115</v>
      </c>
      <c r="E2800" s="143">
        <v>70000</v>
      </c>
      <c r="F2800" s="117">
        <v>1403</v>
      </c>
      <c r="G2800" s="360" t="s">
        <v>302</v>
      </c>
      <c r="H2800" s="144">
        <f>bargiri[[#This Row],[میزان بارگیری شده]]*bargiri[[#This Row],[فی]]</f>
        <v>778050000</v>
      </c>
      <c r="I2800" s="360">
        <f>IF(year=bargiri[[#This Row],[سال]],1,0)</f>
        <v>0</v>
      </c>
      <c r="J2800" s="360" t="str">
        <f>VLOOKUP(bargiri[[#This Row],[شماره پیش فاکتور]],invoice[],16,0)</f>
        <v>عادی</v>
      </c>
      <c r="K2800" s="252">
        <f>bargiri[[#This Row],[فی]]*bargiri[[#This Row],[میزان بارگیری شده]]</f>
        <v>778050000</v>
      </c>
    </row>
    <row r="2801" spans="1:11" ht="18.600000000000001">
      <c r="A2801" s="360" t="s">
        <v>453</v>
      </c>
      <c r="B2801" s="360" t="s">
        <v>116</v>
      </c>
      <c r="C2801" s="355" t="s">
        <v>77</v>
      </c>
      <c r="D2801">
        <v>19680</v>
      </c>
      <c r="E2801" s="143">
        <v>68500</v>
      </c>
      <c r="F2801" s="117">
        <v>1403</v>
      </c>
      <c r="G2801" s="360" t="s">
        <v>302</v>
      </c>
      <c r="H2801" s="144">
        <f>bargiri[[#This Row],[میزان بارگیری شده]]*bargiri[[#This Row],[فی]]</f>
        <v>1348080000</v>
      </c>
      <c r="I2801" s="360">
        <f>IF(year=bargiri[[#This Row],[سال]],1,0)</f>
        <v>0</v>
      </c>
      <c r="J2801" s="360" t="str">
        <f>VLOOKUP(bargiri[[#This Row],[شماره پیش فاکتور]],invoice[],16,0)</f>
        <v>عادی</v>
      </c>
      <c r="K2801" s="252">
        <f>bargiri[[#This Row],[فی]]*bargiri[[#This Row],[میزان بارگیری شده]]</f>
        <v>1348080000</v>
      </c>
    </row>
    <row r="2802" spans="1:11" ht="18.600000000000001">
      <c r="A2802" s="360" t="s">
        <v>453</v>
      </c>
      <c r="B2802" s="360" t="s">
        <v>110</v>
      </c>
      <c r="C2802" s="355" t="s">
        <v>57</v>
      </c>
      <c r="D2802">
        <v>18145</v>
      </c>
      <c r="E2802" s="143">
        <v>78000</v>
      </c>
      <c r="F2802" s="117">
        <v>1403</v>
      </c>
      <c r="G2802" s="360" t="s">
        <v>302</v>
      </c>
      <c r="H2802" s="144">
        <f>bargiri[[#This Row],[میزان بارگیری شده]]*bargiri[[#This Row],[فی]]</f>
        <v>1415310000</v>
      </c>
      <c r="I2802" s="360">
        <f>IF(year=bargiri[[#This Row],[سال]],1,0)</f>
        <v>0</v>
      </c>
      <c r="J2802" s="360" t="str">
        <f>VLOOKUP(bargiri[[#This Row],[شماره پیش فاکتور]],invoice[],16,0)</f>
        <v>عادی</v>
      </c>
      <c r="K2802" s="252">
        <f>bargiri[[#This Row],[فی]]*bargiri[[#This Row],[میزان بارگیری شده]]</f>
        <v>1415310000</v>
      </c>
    </row>
    <row r="2803" spans="1:11" ht="18.600000000000001">
      <c r="A2803" s="360" t="s">
        <v>453</v>
      </c>
      <c r="B2803" s="360" t="s">
        <v>104</v>
      </c>
      <c r="C2803" s="355" t="s">
        <v>41</v>
      </c>
      <c r="D2803">
        <v>17950</v>
      </c>
      <c r="E2803" s="143">
        <v>85000</v>
      </c>
      <c r="F2803" s="117">
        <v>1403</v>
      </c>
      <c r="G2803" s="360" t="s">
        <v>302</v>
      </c>
      <c r="H2803" s="144">
        <f>bargiri[[#This Row],[میزان بارگیری شده]]*bargiri[[#This Row],[فی]]</f>
        <v>1525750000</v>
      </c>
      <c r="I2803" s="360">
        <f>IF(year=bargiri[[#This Row],[سال]],1,0)</f>
        <v>0</v>
      </c>
      <c r="J2803" s="360" t="str">
        <f>VLOOKUP(bargiri[[#This Row],[شماره پیش فاکتور]],invoice[],16,0)</f>
        <v>عادی</v>
      </c>
      <c r="K2803" s="252">
        <f>bargiri[[#This Row],[فی]]*bargiri[[#This Row],[میزان بارگیری شده]]</f>
        <v>1525750000</v>
      </c>
    </row>
    <row r="2804" spans="1:11" ht="18.600000000000001">
      <c r="A2804" s="360" t="s">
        <v>453</v>
      </c>
      <c r="B2804" s="360" t="s">
        <v>98</v>
      </c>
      <c r="C2804" s="355" t="s">
        <v>11</v>
      </c>
      <c r="D2804">
        <v>22155</v>
      </c>
      <c r="E2804" s="143">
        <v>77000</v>
      </c>
      <c r="F2804" s="117">
        <v>1403</v>
      </c>
      <c r="G2804" s="360" t="s">
        <v>302</v>
      </c>
      <c r="H2804" s="144">
        <f>bargiri[[#This Row],[میزان بارگیری شده]]*bargiri[[#This Row],[فی]]</f>
        <v>1705935000</v>
      </c>
      <c r="I2804" s="360">
        <f>IF(year=bargiri[[#This Row],[سال]],1,0)</f>
        <v>0</v>
      </c>
      <c r="J2804" s="360" t="str">
        <f>VLOOKUP(bargiri[[#This Row],[شماره پیش فاکتور]],invoice[],16,0)</f>
        <v>عادی</v>
      </c>
      <c r="K2804" s="252">
        <f>bargiri[[#This Row],[فی]]*bargiri[[#This Row],[میزان بارگیری شده]]</f>
        <v>1705935000</v>
      </c>
    </row>
    <row r="2805" spans="1:11" ht="18.600000000000001">
      <c r="A2805" s="360" t="s">
        <v>453</v>
      </c>
      <c r="B2805" s="360" t="s">
        <v>99</v>
      </c>
      <c r="C2805" s="355" t="s">
        <v>13</v>
      </c>
      <c r="D2805">
        <v>18100</v>
      </c>
      <c r="E2805" s="143">
        <v>65000</v>
      </c>
      <c r="F2805" s="117">
        <v>1403</v>
      </c>
      <c r="G2805" s="360" t="s">
        <v>302</v>
      </c>
      <c r="H2805" s="144">
        <f>bargiri[[#This Row],[میزان بارگیری شده]]*bargiri[[#This Row],[فی]]</f>
        <v>1176500000</v>
      </c>
      <c r="I2805" s="360">
        <f>IF(year=bargiri[[#This Row],[سال]],1,0)</f>
        <v>0</v>
      </c>
      <c r="J2805" s="360" t="str">
        <f>VLOOKUP(bargiri[[#This Row],[شماره پیش فاکتور]],invoice[],16,0)</f>
        <v>عادی</v>
      </c>
      <c r="K2805" s="252">
        <f>bargiri[[#This Row],[فی]]*bargiri[[#This Row],[میزان بارگیری شده]]</f>
        <v>1176500000</v>
      </c>
    </row>
    <row r="2806" spans="1:11" ht="18.600000000000001">
      <c r="A2806" s="360" t="s">
        <v>454</v>
      </c>
      <c r="B2806" s="360" t="s">
        <v>99</v>
      </c>
      <c r="C2806" s="355" t="s">
        <v>13</v>
      </c>
      <c r="D2806">
        <v>18150</v>
      </c>
      <c r="E2806" s="143">
        <v>65000</v>
      </c>
      <c r="F2806" s="117">
        <v>1403</v>
      </c>
      <c r="G2806" s="360" t="s">
        <v>302</v>
      </c>
      <c r="H2806" s="144">
        <f>bargiri[[#This Row],[میزان بارگیری شده]]*bargiri[[#This Row],[فی]]</f>
        <v>1179750000</v>
      </c>
      <c r="I2806" s="360">
        <f>IF(year=bargiri[[#This Row],[سال]],1,0)</f>
        <v>0</v>
      </c>
      <c r="J2806" s="360" t="str">
        <f>VLOOKUP(bargiri[[#This Row],[شماره پیش فاکتور]],invoice[],16,0)</f>
        <v>عادی</v>
      </c>
      <c r="K2806" s="252">
        <f>bargiri[[#This Row],[فی]]*bargiri[[#This Row],[میزان بارگیری شده]]</f>
        <v>1179750000</v>
      </c>
    </row>
    <row r="2807" spans="1:11" ht="18.600000000000001">
      <c r="A2807" s="360" t="s">
        <v>454</v>
      </c>
      <c r="B2807" s="360" t="s">
        <v>116</v>
      </c>
      <c r="C2807" s="355" t="s">
        <v>77</v>
      </c>
      <c r="D2807">
        <v>8180</v>
      </c>
      <c r="E2807" s="143">
        <v>68500</v>
      </c>
      <c r="F2807" s="117">
        <v>1403</v>
      </c>
      <c r="G2807" s="360" t="s">
        <v>302</v>
      </c>
      <c r="H2807" s="144">
        <f>bargiri[[#This Row],[میزان بارگیری شده]]*bargiri[[#This Row],[فی]]</f>
        <v>560330000</v>
      </c>
      <c r="I2807" s="360">
        <f>IF(year=bargiri[[#This Row],[سال]],1,0)</f>
        <v>0</v>
      </c>
      <c r="J2807" s="360" t="str">
        <f>VLOOKUP(bargiri[[#This Row],[شماره پیش فاکتور]],invoice[],16,0)</f>
        <v>عادی</v>
      </c>
      <c r="K2807" s="252">
        <f>bargiri[[#This Row],[فی]]*bargiri[[#This Row],[میزان بارگیری شده]]</f>
        <v>560330000</v>
      </c>
    </row>
    <row r="2808" spans="1:11" ht="18.600000000000001">
      <c r="A2808" s="360" t="s">
        <v>454</v>
      </c>
      <c r="B2808" s="360" t="s">
        <v>116</v>
      </c>
      <c r="C2808" s="355" t="s">
        <v>77</v>
      </c>
      <c r="D2808">
        <v>20080</v>
      </c>
      <c r="E2808" s="143">
        <v>68500</v>
      </c>
      <c r="F2808" s="117">
        <v>1403</v>
      </c>
      <c r="G2808" s="360" t="s">
        <v>302</v>
      </c>
      <c r="H2808" s="144">
        <f>bargiri[[#This Row],[میزان بارگیری شده]]*bargiri[[#This Row],[فی]]</f>
        <v>1375480000</v>
      </c>
      <c r="I2808" s="360">
        <f>IF(year=bargiri[[#This Row],[سال]],1,0)</f>
        <v>0</v>
      </c>
      <c r="J2808" s="360" t="str">
        <f>VLOOKUP(bargiri[[#This Row],[شماره پیش فاکتور]],invoice[],16,0)</f>
        <v>عادی</v>
      </c>
      <c r="K2808" s="252">
        <f>bargiri[[#This Row],[فی]]*bargiri[[#This Row],[میزان بارگیری شده]]</f>
        <v>1375480000</v>
      </c>
    </row>
    <row r="2809" spans="1:11" ht="18.600000000000001">
      <c r="A2809" s="360" t="s">
        <v>454</v>
      </c>
      <c r="B2809" s="360" t="s">
        <v>115</v>
      </c>
      <c r="C2809" s="355" t="s">
        <v>65</v>
      </c>
      <c r="D2809">
        <v>19955</v>
      </c>
      <c r="E2809" s="143">
        <v>75000</v>
      </c>
      <c r="F2809" s="117">
        <v>1403</v>
      </c>
      <c r="G2809" s="360" t="s">
        <v>302</v>
      </c>
      <c r="H2809" s="144">
        <f>bargiri[[#This Row],[میزان بارگیری شده]]*bargiri[[#This Row],[فی]]</f>
        <v>1496625000</v>
      </c>
      <c r="I2809" s="360">
        <f>IF(year=bargiri[[#This Row],[سال]],1,0)</f>
        <v>0</v>
      </c>
      <c r="J2809" s="360" t="str">
        <f>VLOOKUP(bargiri[[#This Row],[شماره پیش فاکتور]],invoice[],16,0)</f>
        <v>عادی</v>
      </c>
      <c r="K2809" s="252">
        <f>bargiri[[#This Row],[فی]]*bargiri[[#This Row],[میزان بارگیری شده]]</f>
        <v>1496625000</v>
      </c>
    </row>
    <row r="2810" spans="1:11" ht="18.600000000000001">
      <c r="A2810" s="360" t="s">
        <v>454</v>
      </c>
      <c r="B2810" s="360" t="s">
        <v>117</v>
      </c>
      <c r="C2810" s="355" t="s">
        <v>82</v>
      </c>
      <c r="D2810">
        <v>19635</v>
      </c>
      <c r="E2810" s="143">
        <v>70000</v>
      </c>
      <c r="F2810" s="117">
        <v>1403</v>
      </c>
      <c r="G2810" s="360" t="s">
        <v>302</v>
      </c>
      <c r="H2810" s="144">
        <f>bargiri[[#This Row],[میزان بارگیری شده]]*bargiri[[#This Row],[فی]]</f>
        <v>1374450000</v>
      </c>
      <c r="I2810" s="360">
        <f>IF(year=bargiri[[#This Row],[سال]],1,0)</f>
        <v>0</v>
      </c>
      <c r="J2810" s="360" t="str">
        <f>VLOOKUP(bargiri[[#This Row],[شماره پیش فاکتور]],invoice[],16,0)</f>
        <v>عادی</v>
      </c>
      <c r="K2810" s="252">
        <f>bargiri[[#This Row],[فی]]*bargiri[[#This Row],[میزان بارگیری شده]]</f>
        <v>1374450000</v>
      </c>
    </row>
    <row r="2811" spans="1:11" ht="18.600000000000001">
      <c r="A2811" s="360" t="s">
        <v>454</v>
      </c>
      <c r="B2811" s="360" t="s">
        <v>101</v>
      </c>
      <c r="C2811" s="355" t="s">
        <v>20</v>
      </c>
      <c r="D2811">
        <v>20105</v>
      </c>
      <c r="E2811" s="143">
        <v>68000</v>
      </c>
      <c r="F2811" s="117">
        <v>1403</v>
      </c>
      <c r="G2811" s="360" t="s">
        <v>302</v>
      </c>
      <c r="H2811" s="144">
        <f>bargiri[[#This Row],[میزان بارگیری شده]]*bargiri[[#This Row],[فی]]</f>
        <v>1367140000</v>
      </c>
      <c r="I2811" s="360">
        <f>IF(year=bargiri[[#This Row],[سال]],1,0)</f>
        <v>0</v>
      </c>
      <c r="J2811" s="360" t="str">
        <f>VLOOKUP(bargiri[[#This Row],[شماره پیش فاکتور]],invoice[],16,0)</f>
        <v>عادی</v>
      </c>
      <c r="K2811" s="252">
        <f>bargiri[[#This Row],[فی]]*bargiri[[#This Row],[میزان بارگیری شده]]</f>
        <v>1367140000</v>
      </c>
    </row>
    <row r="2812" spans="1:11" ht="18.600000000000001">
      <c r="A2812" s="360" t="s">
        <v>454</v>
      </c>
      <c r="B2812" s="360" t="s">
        <v>103</v>
      </c>
      <c r="C2812" s="355" t="s">
        <v>30</v>
      </c>
      <c r="D2812">
        <v>7565</v>
      </c>
      <c r="E2812" s="143">
        <v>70000</v>
      </c>
      <c r="F2812" s="117">
        <v>1403</v>
      </c>
      <c r="G2812" s="360" t="s">
        <v>302</v>
      </c>
      <c r="H2812" s="144">
        <f>bargiri[[#This Row],[میزان بارگیری شده]]*bargiri[[#This Row],[فی]]</f>
        <v>529550000</v>
      </c>
      <c r="I2812" s="360">
        <f>IF(year=bargiri[[#This Row],[سال]],1,0)</f>
        <v>0</v>
      </c>
      <c r="J2812" s="360" t="str">
        <f>VLOOKUP(bargiri[[#This Row],[شماره پیش فاکتور]],invoice[],16,0)</f>
        <v>عادی</v>
      </c>
      <c r="K2812" s="252">
        <f>bargiri[[#This Row],[فی]]*bargiri[[#This Row],[میزان بارگیری شده]]</f>
        <v>529550000</v>
      </c>
    </row>
    <row r="2813" spans="1:11" ht="18.600000000000001">
      <c r="A2813" s="360" t="s">
        <v>456</v>
      </c>
      <c r="B2813" s="360" t="s">
        <v>116</v>
      </c>
      <c r="C2813" s="355" t="s">
        <v>77</v>
      </c>
      <c r="D2813">
        <v>8030</v>
      </c>
      <c r="E2813" s="143">
        <v>68500</v>
      </c>
      <c r="F2813" s="117">
        <v>1403</v>
      </c>
      <c r="G2813" s="360" t="s">
        <v>302</v>
      </c>
      <c r="H2813" s="144">
        <f>bargiri[[#This Row],[میزان بارگیری شده]]*bargiri[[#This Row],[فی]]</f>
        <v>550055000</v>
      </c>
      <c r="I2813" s="360">
        <f>IF(year=bargiri[[#This Row],[سال]],1,0)</f>
        <v>0</v>
      </c>
      <c r="J2813" s="360" t="str">
        <f>VLOOKUP(bargiri[[#This Row],[شماره پیش فاکتور]],invoice[],16,0)</f>
        <v>عادی</v>
      </c>
      <c r="K2813" s="252">
        <f>bargiri[[#This Row],[فی]]*bargiri[[#This Row],[میزان بارگیری شده]]</f>
        <v>550055000</v>
      </c>
    </row>
    <row r="2814" spans="1:11" ht="18.600000000000001">
      <c r="A2814" s="360" t="s">
        <v>456</v>
      </c>
      <c r="B2814" s="360" t="s">
        <v>117</v>
      </c>
      <c r="C2814" s="355" t="s">
        <v>82</v>
      </c>
      <c r="D2814">
        <v>5930</v>
      </c>
      <c r="E2814" s="143">
        <v>70000</v>
      </c>
      <c r="F2814" s="117">
        <v>1403</v>
      </c>
      <c r="G2814" s="360" t="s">
        <v>302</v>
      </c>
      <c r="H2814" s="144">
        <f>bargiri[[#This Row],[میزان بارگیری شده]]*bargiri[[#This Row],[فی]]</f>
        <v>415100000</v>
      </c>
      <c r="I2814" s="360">
        <f>IF(year=bargiri[[#This Row],[سال]],1,0)</f>
        <v>0</v>
      </c>
      <c r="J2814" s="360" t="str">
        <f>VLOOKUP(bargiri[[#This Row],[شماره پیش فاکتور]],invoice[],16,0)</f>
        <v>عادی</v>
      </c>
      <c r="K2814" s="252">
        <f>bargiri[[#This Row],[فی]]*bargiri[[#This Row],[میزان بارگیری شده]]</f>
        <v>415100000</v>
      </c>
    </row>
    <row r="2815" spans="1:11" ht="18.600000000000001">
      <c r="A2815" s="360" t="s">
        <v>456</v>
      </c>
      <c r="B2815" s="360" t="s">
        <v>102</v>
      </c>
      <c r="C2815" s="355" t="s">
        <v>26</v>
      </c>
      <c r="D2815">
        <v>10045</v>
      </c>
      <c r="E2815" s="143">
        <v>70000</v>
      </c>
      <c r="F2815" s="117">
        <v>1403</v>
      </c>
      <c r="G2815" s="360" t="s">
        <v>302</v>
      </c>
      <c r="H2815" s="144">
        <f>bargiri[[#This Row],[میزان بارگیری شده]]*bargiri[[#This Row],[فی]]</f>
        <v>703150000</v>
      </c>
      <c r="I2815" s="360">
        <f>IF(year=bargiri[[#This Row],[سال]],1,0)</f>
        <v>0</v>
      </c>
      <c r="J2815" s="360" t="str">
        <f>VLOOKUP(bargiri[[#This Row],[شماره پیش فاکتور]],invoice[],16,0)</f>
        <v>عادی</v>
      </c>
      <c r="K2815" s="252">
        <f>bargiri[[#This Row],[فی]]*bargiri[[#This Row],[میزان بارگیری شده]]</f>
        <v>703150000</v>
      </c>
    </row>
    <row r="2816" spans="1:11" ht="18.600000000000001">
      <c r="A2816" s="360" t="s">
        <v>456</v>
      </c>
      <c r="B2816" s="360" t="s">
        <v>116</v>
      </c>
      <c r="C2816" s="355" t="s">
        <v>77</v>
      </c>
      <c r="D2816">
        <v>20015</v>
      </c>
      <c r="E2816" s="143">
        <v>68500</v>
      </c>
      <c r="F2816" s="117">
        <v>1403</v>
      </c>
      <c r="G2816" s="360" t="s">
        <v>302</v>
      </c>
      <c r="H2816" s="144">
        <f>bargiri[[#This Row],[میزان بارگیری شده]]*bargiri[[#This Row],[فی]]</f>
        <v>1371027500</v>
      </c>
      <c r="I2816" s="360">
        <f>IF(year=bargiri[[#This Row],[سال]],1,0)</f>
        <v>0</v>
      </c>
      <c r="J2816" s="360" t="str">
        <f>VLOOKUP(bargiri[[#This Row],[شماره پیش فاکتور]],invoice[],16,0)</f>
        <v>عادی</v>
      </c>
      <c r="K2816" s="252">
        <f>bargiri[[#This Row],[فی]]*bargiri[[#This Row],[میزان بارگیری شده]]</f>
        <v>1371027500</v>
      </c>
    </row>
    <row r="2817" spans="1:11" ht="18.600000000000001">
      <c r="A2817" s="360" t="s">
        <v>456</v>
      </c>
      <c r="B2817" s="360" t="s">
        <v>115</v>
      </c>
      <c r="C2817" s="355" t="s">
        <v>65</v>
      </c>
      <c r="D2817">
        <v>19955</v>
      </c>
      <c r="E2817" s="143">
        <v>75000</v>
      </c>
      <c r="F2817" s="117">
        <v>1403</v>
      </c>
      <c r="G2817" s="360" t="s">
        <v>302</v>
      </c>
      <c r="H2817" s="144">
        <f>bargiri[[#This Row],[میزان بارگیری شده]]*bargiri[[#This Row],[فی]]</f>
        <v>1496625000</v>
      </c>
      <c r="I2817" s="360">
        <f>IF(year=bargiri[[#This Row],[سال]],1,0)</f>
        <v>0</v>
      </c>
      <c r="J2817" s="360" t="str">
        <f>VLOOKUP(bargiri[[#This Row],[شماره پیش فاکتور]],invoice[],16,0)</f>
        <v>عادی</v>
      </c>
      <c r="K2817" s="252">
        <f>bargiri[[#This Row],[فی]]*bargiri[[#This Row],[میزان بارگیری شده]]</f>
        <v>1496625000</v>
      </c>
    </row>
    <row r="2818" spans="1:11" ht="18.600000000000001">
      <c r="A2818" s="360" t="s">
        <v>456</v>
      </c>
      <c r="B2818" s="360" t="s">
        <v>104</v>
      </c>
      <c r="C2818" s="355" t="s">
        <v>41</v>
      </c>
      <c r="D2818">
        <v>17550</v>
      </c>
      <c r="E2818" s="143">
        <v>85000</v>
      </c>
      <c r="F2818" s="117">
        <v>1403</v>
      </c>
      <c r="G2818" s="360" t="s">
        <v>302</v>
      </c>
      <c r="H2818" s="144">
        <f>bargiri[[#This Row],[میزان بارگیری شده]]*bargiri[[#This Row],[فی]]</f>
        <v>1491750000</v>
      </c>
      <c r="I2818" s="360">
        <f>IF(year=bargiri[[#This Row],[سال]],1,0)</f>
        <v>0</v>
      </c>
      <c r="J2818" s="360" t="str">
        <f>VLOOKUP(bargiri[[#This Row],[شماره پیش فاکتور]],invoice[],16,0)</f>
        <v>عادی</v>
      </c>
      <c r="K2818" s="252">
        <f>bargiri[[#This Row],[فی]]*bargiri[[#This Row],[میزان بارگیری شده]]</f>
        <v>1491750000</v>
      </c>
    </row>
    <row r="2819" spans="1:11" ht="18.600000000000001">
      <c r="A2819" s="360" t="s">
        <v>456</v>
      </c>
      <c r="B2819" s="360" t="s">
        <v>118</v>
      </c>
      <c r="C2819" s="355" t="s">
        <v>85</v>
      </c>
      <c r="D2819">
        <v>19955</v>
      </c>
      <c r="E2819" s="143">
        <v>56881</v>
      </c>
      <c r="F2819" s="117">
        <v>1403</v>
      </c>
      <c r="G2819" s="360" t="s">
        <v>302</v>
      </c>
      <c r="H2819" s="144">
        <f>bargiri[[#This Row],[میزان بارگیری شده]]*bargiri[[#This Row],[فی]]</f>
        <v>1135060355</v>
      </c>
      <c r="I2819" s="360">
        <f>IF(year=bargiri[[#This Row],[سال]],1,0)</f>
        <v>0</v>
      </c>
      <c r="J2819" s="360" t="str">
        <f>VLOOKUP(bargiri[[#This Row],[شماره پیش فاکتور]],invoice[],16,0)</f>
        <v>عادی</v>
      </c>
      <c r="K2819" s="252">
        <f>bargiri[[#This Row],[فی]]*bargiri[[#This Row],[میزان بارگیری شده]]</f>
        <v>1135060355</v>
      </c>
    </row>
    <row r="2820" spans="1:11" ht="18.600000000000001">
      <c r="A2820" s="360" t="s">
        <v>456</v>
      </c>
      <c r="B2820" s="360" t="s">
        <v>118</v>
      </c>
      <c r="C2820" s="355" t="s">
        <v>85</v>
      </c>
      <c r="D2820">
        <v>20165</v>
      </c>
      <c r="E2820" s="143">
        <v>56881</v>
      </c>
      <c r="F2820" s="117">
        <v>1403</v>
      </c>
      <c r="G2820" s="360" t="s">
        <v>302</v>
      </c>
      <c r="H2820" s="144">
        <f>bargiri[[#This Row],[میزان بارگیری شده]]*bargiri[[#This Row],[فی]]</f>
        <v>1147005365</v>
      </c>
      <c r="I2820" s="360">
        <f>IF(year=bargiri[[#This Row],[سال]],1,0)</f>
        <v>0</v>
      </c>
      <c r="J2820" s="360" t="str">
        <f>VLOOKUP(bargiri[[#This Row],[شماره پیش فاکتور]],invoice[],16,0)</f>
        <v>عادی</v>
      </c>
      <c r="K2820" s="252">
        <f>bargiri[[#This Row],[فی]]*bargiri[[#This Row],[میزان بارگیری شده]]</f>
        <v>1147005365</v>
      </c>
    </row>
    <row r="2821" spans="1:11" ht="18.600000000000001">
      <c r="A2821" s="360" t="s">
        <v>456</v>
      </c>
      <c r="B2821" s="360" t="s">
        <v>118</v>
      </c>
      <c r="C2821" s="355" t="s">
        <v>85</v>
      </c>
      <c r="D2821">
        <v>20050</v>
      </c>
      <c r="E2821" s="143">
        <v>56881</v>
      </c>
      <c r="F2821" s="117">
        <v>1403</v>
      </c>
      <c r="G2821" s="360" t="s">
        <v>302</v>
      </c>
      <c r="H2821" s="144">
        <f>bargiri[[#This Row],[میزان بارگیری شده]]*bargiri[[#This Row],[فی]]</f>
        <v>1140464050</v>
      </c>
      <c r="I2821" s="360">
        <f>IF(year=bargiri[[#This Row],[سال]],1,0)</f>
        <v>0</v>
      </c>
      <c r="J2821" s="360" t="str">
        <f>VLOOKUP(bargiri[[#This Row],[شماره پیش فاکتور]],invoice[],16,0)</f>
        <v>عادی</v>
      </c>
      <c r="K2821" s="252">
        <f>bargiri[[#This Row],[فی]]*bargiri[[#This Row],[میزان بارگیری شده]]</f>
        <v>1140464050</v>
      </c>
    </row>
    <row r="2822" spans="1:11" ht="18.600000000000001">
      <c r="A2822" s="360" t="s">
        <v>456</v>
      </c>
      <c r="B2822" s="360" t="s">
        <v>124</v>
      </c>
      <c r="C2822" s="355" t="s">
        <v>94</v>
      </c>
      <c r="D2822">
        <v>20335</v>
      </c>
      <c r="E2822" s="143">
        <v>70000</v>
      </c>
      <c r="F2822" s="117">
        <v>1403</v>
      </c>
      <c r="G2822" s="360" t="s">
        <v>302</v>
      </c>
      <c r="H2822" s="144">
        <f>bargiri[[#This Row],[میزان بارگیری شده]]*bargiri[[#This Row],[فی]]</f>
        <v>1423450000</v>
      </c>
      <c r="I2822" s="360">
        <f>IF(year=bargiri[[#This Row],[سال]],1,0)</f>
        <v>0</v>
      </c>
      <c r="J2822" s="360" t="str">
        <f>VLOOKUP(bargiri[[#This Row],[شماره پیش فاکتور]],invoice[],16,0)</f>
        <v>عادی</v>
      </c>
      <c r="K2822" s="252">
        <f>bargiri[[#This Row],[فی]]*bargiri[[#This Row],[میزان بارگیری شده]]</f>
        <v>1423450000</v>
      </c>
    </row>
    <row r="2823" spans="1:11" ht="18.600000000000001">
      <c r="A2823" s="360" t="s">
        <v>457</v>
      </c>
      <c r="B2823" s="360" t="s">
        <v>118</v>
      </c>
      <c r="C2823" s="355" t="s">
        <v>85</v>
      </c>
      <c r="D2823">
        <v>20095</v>
      </c>
      <c r="E2823" s="143">
        <v>56881</v>
      </c>
      <c r="F2823" s="117">
        <v>1403</v>
      </c>
      <c r="G2823" s="360" t="s">
        <v>302</v>
      </c>
      <c r="H2823" s="144">
        <f>bargiri[[#This Row],[میزان بارگیری شده]]*bargiri[[#This Row],[فی]]</f>
        <v>1143023695</v>
      </c>
      <c r="I2823" s="360">
        <f>IF(year=bargiri[[#This Row],[سال]],1,0)</f>
        <v>0</v>
      </c>
      <c r="J2823" s="360" t="str">
        <f>VLOOKUP(bargiri[[#This Row],[شماره پیش فاکتور]],invoice[],16,0)</f>
        <v>عادی</v>
      </c>
      <c r="K2823" s="252">
        <f>bargiri[[#This Row],[فی]]*bargiri[[#This Row],[میزان بارگیری شده]]</f>
        <v>1143023695</v>
      </c>
    </row>
    <row r="2824" spans="1:11" ht="18.600000000000001">
      <c r="A2824" s="360" t="s">
        <v>457</v>
      </c>
      <c r="B2824" s="360" t="s">
        <v>118</v>
      </c>
      <c r="C2824" s="355" t="s">
        <v>85</v>
      </c>
      <c r="D2824">
        <v>20165</v>
      </c>
      <c r="E2824" s="143">
        <v>56881</v>
      </c>
      <c r="F2824" s="117">
        <v>1403</v>
      </c>
      <c r="G2824" s="360" t="s">
        <v>302</v>
      </c>
      <c r="H2824" s="144">
        <f>bargiri[[#This Row],[میزان بارگیری شده]]*bargiri[[#This Row],[فی]]</f>
        <v>1147005365</v>
      </c>
      <c r="I2824" s="360">
        <f>IF(year=bargiri[[#This Row],[سال]],1,0)</f>
        <v>0</v>
      </c>
      <c r="J2824" s="360" t="str">
        <f>VLOOKUP(bargiri[[#This Row],[شماره پیش فاکتور]],invoice[],16,0)</f>
        <v>عادی</v>
      </c>
      <c r="K2824" s="252">
        <f>bargiri[[#This Row],[فی]]*bargiri[[#This Row],[میزان بارگیری شده]]</f>
        <v>1147005365</v>
      </c>
    </row>
    <row r="2825" spans="1:11" ht="18.600000000000001">
      <c r="A2825" s="360" t="s">
        <v>457</v>
      </c>
      <c r="B2825" s="360" t="s">
        <v>118</v>
      </c>
      <c r="C2825" s="355" t="s">
        <v>85</v>
      </c>
      <c r="D2825">
        <v>19985</v>
      </c>
      <c r="E2825" s="143">
        <v>56881</v>
      </c>
      <c r="F2825" s="117">
        <v>1403</v>
      </c>
      <c r="G2825" s="360" t="s">
        <v>302</v>
      </c>
      <c r="H2825" s="144">
        <f>bargiri[[#This Row],[میزان بارگیری شده]]*bargiri[[#This Row],[فی]]</f>
        <v>1136766785</v>
      </c>
      <c r="I2825" s="360">
        <f>IF(year=bargiri[[#This Row],[سال]],1,0)</f>
        <v>0</v>
      </c>
      <c r="J2825" s="360" t="str">
        <f>VLOOKUP(bargiri[[#This Row],[شماره پیش فاکتور]],invoice[],16,0)</f>
        <v>عادی</v>
      </c>
      <c r="K2825" s="252">
        <f>bargiri[[#This Row],[فی]]*bargiri[[#This Row],[میزان بارگیری شده]]</f>
        <v>1136766785</v>
      </c>
    </row>
    <row r="2826" spans="1:11" ht="18.600000000000001">
      <c r="A2826" s="360" t="s">
        <v>457</v>
      </c>
      <c r="B2826" s="360" t="s">
        <v>99</v>
      </c>
      <c r="C2826" s="355" t="s">
        <v>13</v>
      </c>
      <c r="D2826">
        <v>14645</v>
      </c>
      <c r="E2826" s="143">
        <v>65000</v>
      </c>
      <c r="F2826" s="117">
        <v>1403</v>
      </c>
      <c r="G2826" s="360" t="s">
        <v>302</v>
      </c>
      <c r="H2826" s="144">
        <f>bargiri[[#This Row],[میزان بارگیری شده]]*bargiri[[#This Row],[فی]]</f>
        <v>951925000</v>
      </c>
      <c r="I2826" s="360">
        <f>IF(year=bargiri[[#This Row],[سال]],1,0)</f>
        <v>0</v>
      </c>
      <c r="J2826" s="360" t="str">
        <f>VLOOKUP(bargiri[[#This Row],[شماره پیش فاکتور]],invoice[],16,0)</f>
        <v>عادی</v>
      </c>
      <c r="K2826" s="252">
        <f>bargiri[[#This Row],[فی]]*bargiri[[#This Row],[میزان بارگیری شده]]</f>
        <v>951925000</v>
      </c>
    </row>
    <row r="2827" spans="1:11" ht="18.600000000000001">
      <c r="A2827" s="360" t="s">
        <v>457</v>
      </c>
      <c r="B2827" s="360" t="s">
        <v>110</v>
      </c>
      <c r="C2827" s="355" t="s">
        <v>57</v>
      </c>
      <c r="D2827">
        <v>20235</v>
      </c>
      <c r="E2827" s="143">
        <v>78000</v>
      </c>
      <c r="F2827" s="117">
        <v>1403</v>
      </c>
      <c r="G2827" s="360" t="s">
        <v>302</v>
      </c>
      <c r="H2827" s="144">
        <f>bargiri[[#This Row],[میزان بارگیری شده]]*bargiri[[#This Row],[فی]]</f>
        <v>1578330000</v>
      </c>
      <c r="I2827" s="360">
        <f>IF(year=bargiri[[#This Row],[سال]],1,0)</f>
        <v>0</v>
      </c>
      <c r="J2827" s="360" t="str">
        <f>VLOOKUP(bargiri[[#This Row],[شماره پیش فاکتور]],invoice[],16,0)</f>
        <v>عادی</v>
      </c>
      <c r="K2827" s="252">
        <f>bargiri[[#This Row],[فی]]*bargiri[[#This Row],[میزان بارگیری شده]]</f>
        <v>1578330000</v>
      </c>
    </row>
    <row r="2828" spans="1:11" ht="18.600000000000001">
      <c r="A2828" s="360" t="s">
        <v>457</v>
      </c>
      <c r="B2828" s="360" t="s">
        <v>102</v>
      </c>
      <c r="C2828" s="355" t="s">
        <v>26</v>
      </c>
      <c r="D2828">
        <v>9825</v>
      </c>
      <c r="E2828" s="143">
        <v>70000</v>
      </c>
      <c r="F2828" s="117">
        <v>1403</v>
      </c>
      <c r="G2828" s="360" t="s">
        <v>302</v>
      </c>
      <c r="H2828" s="144">
        <f>bargiri[[#This Row],[میزان بارگیری شده]]*bargiri[[#This Row],[فی]]</f>
        <v>687750000</v>
      </c>
      <c r="I2828" s="360">
        <f>IF(year=bargiri[[#This Row],[سال]],1,0)</f>
        <v>0</v>
      </c>
      <c r="J2828" s="360" t="str">
        <f>VLOOKUP(bargiri[[#This Row],[شماره پیش فاکتور]],invoice[],16,0)</f>
        <v>عادی</v>
      </c>
      <c r="K2828" s="252">
        <f>bargiri[[#This Row],[فی]]*bargiri[[#This Row],[میزان بارگیری شده]]</f>
        <v>687750000</v>
      </c>
    </row>
    <row r="2829" spans="1:11" ht="18.600000000000001">
      <c r="A2829" s="360" t="s">
        <v>457</v>
      </c>
      <c r="B2829" s="360" t="s">
        <v>116</v>
      </c>
      <c r="C2829" s="355" t="s">
        <v>77</v>
      </c>
      <c r="D2829">
        <v>20565</v>
      </c>
      <c r="E2829" s="143">
        <v>68500</v>
      </c>
      <c r="F2829" s="117">
        <v>1403</v>
      </c>
      <c r="G2829" s="360" t="s">
        <v>302</v>
      </c>
      <c r="H2829" s="144">
        <f>bargiri[[#This Row],[میزان بارگیری شده]]*bargiri[[#This Row],[فی]]</f>
        <v>1408702500</v>
      </c>
      <c r="I2829" s="360">
        <f>IF(year=bargiri[[#This Row],[سال]],1,0)</f>
        <v>0</v>
      </c>
      <c r="J2829" s="360" t="str">
        <f>VLOOKUP(bargiri[[#This Row],[شماره پیش فاکتور]],invoice[],16,0)</f>
        <v>عادی</v>
      </c>
      <c r="K2829" s="252">
        <f>bargiri[[#This Row],[فی]]*bargiri[[#This Row],[میزان بارگیری شده]]</f>
        <v>1408702500</v>
      </c>
    </row>
    <row r="2830" spans="1:11" ht="18.600000000000001">
      <c r="A2830" s="360" t="s">
        <v>457</v>
      </c>
      <c r="B2830" s="360" t="s">
        <v>99</v>
      </c>
      <c r="C2830" s="355" t="s">
        <v>13</v>
      </c>
      <c r="D2830">
        <v>17840</v>
      </c>
      <c r="E2830" s="143">
        <v>65000</v>
      </c>
      <c r="F2830" s="117">
        <v>1403</v>
      </c>
      <c r="G2830" s="360" t="s">
        <v>302</v>
      </c>
      <c r="H2830" s="144">
        <f>bargiri[[#This Row],[میزان بارگیری شده]]*bargiri[[#This Row],[فی]]</f>
        <v>1159600000</v>
      </c>
      <c r="I2830" s="360">
        <f>IF(year=bargiri[[#This Row],[سال]],1,0)</f>
        <v>0</v>
      </c>
      <c r="J2830" s="360" t="str">
        <f>VLOOKUP(bargiri[[#This Row],[شماره پیش فاکتور]],invoice[],16,0)</f>
        <v>عادی</v>
      </c>
      <c r="K2830" s="252">
        <f>bargiri[[#This Row],[فی]]*bargiri[[#This Row],[میزان بارگیری شده]]</f>
        <v>1159600000</v>
      </c>
    </row>
    <row r="2831" spans="1:11" ht="18.600000000000001">
      <c r="A2831" s="360" t="s">
        <v>455</v>
      </c>
      <c r="B2831" s="360" t="s">
        <v>116</v>
      </c>
      <c r="C2831" s="355" t="s">
        <v>77</v>
      </c>
      <c r="D2831">
        <v>20055</v>
      </c>
      <c r="E2831" s="143">
        <v>68500</v>
      </c>
      <c r="F2831" s="117">
        <v>1403</v>
      </c>
      <c r="G2831" s="360" t="s">
        <v>302</v>
      </c>
      <c r="H2831" s="144">
        <f>bargiri[[#This Row],[میزان بارگیری شده]]*bargiri[[#This Row],[فی]]</f>
        <v>1373767500</v>
      </c>
      <c r="I2831" s="360">
        <f>IF(year=bargiri[[#This Row],[سال]],1,0)</f>
        <v>0</v>
      </c>
      <c r="J2831" s="360" t="str">
        <f>VLOOKUP(bargiri[[#This Row],[شماره پیش فاکتور]],invoice[],16,0)</f>
        <v>عادی</v>
      </c>
      <c r="K2831" s="252">
        <f>bargiri[[#This Row],[فی]]*bargiri[[#This Row],[میزان بارگیری شده]]</f>
        <v>1373767500</v>
      </c>
    </row>
    <row r="2832" spans="1:11" ht="18.600000000000001">
      <c r="A2832" s="360" t="s">
        <v>455</v>
      </c>
      <c r="B2832" s="360" t="s">
        <v>101</v>
      </c>
      <c r="C2832" s="355" t="s">
        <v>20</v>
      </c>
      <c r="D2832">
        <v>19720</v>
      </c>
      <c r="E2832" s="143">
        <v>68000</v>
      </c>
      <c r="F2832" s="117">
        <v>1403</v>
      </c>
      <c r="G2832" s="360" t="s">
        <v>302</v>
      </c>
      <c r="H2832" s="144">
        <f>bargiri[[#This Row],[میزان بارگیری شده]]*bargiri[[#This Row],[فی]]</f>
        <v>1340960000</v>
      </c>
      <c r="I2832" s="360">
        <f>IF(year=bargiri[[#This Row],[سال]],1,0)</f>
        <v>0</v>
      </c>
      <c r="J2832" s="360" t="str">
        <f>VLOOKUP(bargiri[[#This Row],[شماره پیش فاکتور]],invoice[],16,0)</f>
        <v>عادی</v>
      </c>
      <c r="K2832" s="252">
        <f>bargiri[[#This Row],[فی]]*bargiri[[#This Row],[میزان بارگیری شده]]</f>
        <v>1340960000</v>
      </c>
    </row>
    <row r="2833" spans="1:11" ht="18.600000000000001">
      <c r="A2833" s="360" t="s">
        <v>455</v>
      </c>
      <c r="B2833" s="360" t="s">
        <v>98</v>
      </c>
      <c r="C2833" s="355" t="s">
        <v>11</v>
      </c>
      <c r="D2833">
        <v>22610</v>
      </c>
      <c r="E2833" s="143">
        <v>77000</v>
      </c>
      <c r="F2833" s="117">
        <v>1403</v>
      </c>
      <c r="G2833" s="360" t="s">
        <v>302</v>
      </c>
      <c r="H2833" s="144">
        <f>bargiri[[#This Row],[میزان بارگیری شده]]*bargiri[[#This Row],[فی]]</f>
        <v>1740970000</v>
      </c>
      <c r="I2833" s="360">
        <f>IF(year=bargiri[[#This Row],[سال]],1,0)</f>
        <v>0</v>
      </c>
      <c r="J2833" s="360" t="str">
        <f>VLOOKUP(bargiri[[#This Row],[شماره پیش فاکتور]],invoice[],16,0)</f>
        <v>عادی</v>
      </c>
      <c r="K2833" s="252">
        <f>bargiri[[#This Row],[فی]]*bargiri[[#This Row],[میزان بارگیری شده]]</f>
        <v>1740970000</v>
      </c>
    </row>
    <row r="2834" spans="1:11" ht="18.600000000000001">
      <c r="A2834" s="360" t="s">
        <v>206</v>
      </c>
      <c r="B2834" s="360" t="s">
        <v>107</v>
      </c>
      <c r="C2834" s="355" t="s">
        <v>51</v>
      </c>
      <c r="D2834">
        <v>15075</v>
      </c>
      <c r="E2834" s="143">
        <v>74000</v>
      </c>
      <c r="F2834" s="117">
        <v>1403</v>
      </c>
      <c r="G2834" s="360" t="s">
        <v>302</v>
      </c>
      <c r="H2834" s="144">
        <f>bargiri[[#This Row],[میزان بارگیری شده]]*bargiri[[#This Row],[فی]]</f>
        <v>1115550000</v>
      </c>
      <c r="I2834" s="360">
        <f>IF(year=bargiri[[#This Row],[سال]],1,0)</f>
        <v>0</v>
      </c>
      <c r="J2834" s="360" t="str">
        <f>VLOOKUP(bargiri[[#This Row],[شماره پیش فاکتور]],invoice[],16,0)</f>
        <v>عادی</v>
      </c>
      <c r="K2834" s="252">
        <f>bargiri[[#This Row],[فی]]*bargiri[[#This Row],[میزان بارگیری شده]]</f>
        <v>1115550000</v>
      </c>
    </row>
    <row r="2835" spans="1:11" ht="18.600000000000001">
      <c r="A2835" s="360" t="s">
        <v>458</v>
      </c>
      <c r="B2835" s="360" t="s">
        <v>115</v>
      </c>
      <c r="C2835" s="355" t="s">
        <v>65</v>
      </c>
      <c r="D2835">
        <v>20155</v>
      </c>
      <c r="E2835" s="143">
        <v>75000</v>
      </c>
      <c r="F2835" s="117">
        <v>1403</v>
      </c>
      <c r="G2835" s="360" t="s">
        <v>302</v>
      </c>
      <c r="H2835" s="144">
        <f>bargiri[[#This Row],[میزان بارگیری شده]]*bargiri[[#This Row],[فی]]</f>
        <v>1511625000</v>
      </c>
      <c r="I2835" s="360">
        <f>IF(year=bargiri[[#This Row],[سال]],1,0)</f>
        <v>0</v>
      </c>
      <c r="J2835" s="360" t="str">
        <f>VLOOKUP(bargiri[[#This Row],[شماره پیش فاکتور]],invoice[],16,0)</f>
        <v>عادی</v>
      </c>
      <c r="K2835" s="252">
        <f>bargiri[[#This Row],[فی]]*bargiri[[#This Row],[میزان بارگیری شده]]</f>
        <v>1511625000</v>
      </c>
    </row>
    <row r="2836" spans="1:11" ht="18.600000000000001">
      <c r="A2836" s="360" t="s">
        <v>458</v>
      </c>
      <c r="B2836" s="360" t="s">
        <v>103</v>
      </c>
      <c r="C2836" s="355" t="s">
        <v>30</v>
      </c>
      <c r="D2836">
        <v>6985</v>
      </c>
      <c r="E2836" s="143">
        <v>70000</v>
      </c>
      <c r="F2836" s="117">
        <v>1403</v>
      </c>
      <c r="G2836" s="360" t="s">
        <v>302</v>
      </c>
      <c r="H2836" s="144">
        <f>bargiri[[#This Row],[میزان بارگیری شده]]*bargiri[[#This Row],[فی]]</f>
        <v>488950000</v>
      </c>
      <c r="I2836" s="360">
        <f>IF(year=bargiri[[#This Row],[سال]],1,0)</f>
        <v>0</v>
      </c>
      <c r="J2836" s="360" t="str">
        <f>VLOOKUP(bargiri[[#This Row],[شماره پیش فاکتور]],invoice[],16,0)</f>
        <v>عادی</v>
      </c>
      <c r="K2836" s="252">
        <f>bargiri[[#This Row],[فی]]*bargiri[[#This Row],[میزان بارگیری شده]]</f>
        <v>488950000</v>
      </c>
    </row>
    <row r="2837" spans="1:11" ht="18.600000000000001">
      <c r="A2837" s="360" t="s">
        <v>458</v>
      </c>
      <c r="B2837" s="360" t="s">
        <v>103</v>
      </c>
      <c r="C2837" s="355" t="s">
        <v>30</v>
      </c>
      <c r="D2837">
        <v>6670</v>
      </c>
      <c r="E2837" s="143">
        <v>70000</v>
      </c>
      <c r="F2837" s="117">
        <v>1403</v>
      </c>
      <c r="G2837" s="360" t="s">
        <v>302</v>
      </c>
      <c r="H2837" s="144">
        <f>bargiri[[#This Row],[میزان بارگیری شده]]*bargiri[[#This Row],[فی]]</f>
        <v>466900000</v>
      </c>
      <c r="I2837" s="360">
        <f>IF(year=bargiri[[#This Row],[سال]],1,0)</f>
        <v>0</v>
      </c>
      <c r="J2837" s="360" t="str">
        <f>VLOOKUP(bargiri[[#This Row],[شماره پیش فاکتور]],invoice[],16,0)</f>
        <v>عادی</v>
      </c>
      <c r="K2837" s="252">
        <f>bargiri[[#This Row],[فی]]*bargiri[[#This Row],[میزان بارگیری شده]]</f>
        <v>466900000</v>
      </c>
    </row>
    <row r="2838" spans="1:11" ht="18.600000000000001">
      <c r="A2838" s="360" t="s">
        <v>458</v>
      </c>
      <c r="B2838" s="360" t="s">
        <v>117</v>
      </c>
      <c r="C2838" s="355" t="s">
        <v>82</v>
      </c>
      <c r="D2838">
        <v>20270</v>
      </c>
      <c r="E2838" s="143">
        <v>70000</v>
      </c>
      <c r="F2838" s="117">
        <v>1403</v>
      </c>
      <c r="G2838" s="360" t="s">
        <v>302</v>
      </c>
      <c r="H2838" s="144">
        <f>bargiri[[#This Row],[میزان بارگیری شده]]*bargiri[[#This Row],[فی]]</f>
        <v>1418900000</v>
      </c>
      <c r="I2838" s="360">
        <f>IF(year=bargiri[[#This Row],[سال]],1,0)</f>
        <v>0</v>
      </c>
      <c r="J2838" s="360" t="str">
        <f>VLOOKUP(bargiri[[#This Row],[شماره پیش فاکتور]],invoice[],16,0)</f>
        <v>عادی</v>
      </c>
      <c r="K2838" s="252">
        <f>bargiri[[#This Row],[فی]]*bargiri[[#This Row],[میزان بارگیری شده]]</f>
        <v>1418900000</v>
      </c>
    </row>
    <row r="2839" spans="1:11" ht="18.600000000000001">
      <c r="A2839" s="360" t="s">
        <v>159</v>
      </c>
      <c r="B2839" s="360" t="s">
        <v>118</v>
      </c>
      <c r="C2839" s="355" t="s">
        <v>85</v>
      </c>
      <c r="D2839">
        <v>20035</v>
      </c>
      <c r="E2839" s="143">
        <v>56881</v>
      </c>
      <c r="F2839" s="117">
        <v>1403</v>
      </c>
      <c r="G2839" s="360" t="s">
        <v>302</v>
      </c>
      <c r="H2839" s="144">
        <f>bargiri[[#This Row],[میزان بارگیری شده]]*bargiri[[#This Row],[فی]]</f>
        <v>1139610835</v>
      </c>
      <c r="I2839" s="360">
        <f>IF(year=bargiri[[#This Row],[سال]],1,0)</f>
        <v>0</v>
      </c>
      <c r="J2839" s="360" t="str">
        <f>VLOOKUP(bargiri[[#This Row],[شماره پیش فاکتور]],invoice[],16,0)</f>
        <v>عادی</v>
      </c>
      <c r="K2839" s="252">
        <f>bargiri[[#This Row],[فی]]*bargiri[[#This Row],[میزان بارگیری شده]]</f>
        <v>1139610835</v>
      </c>
    </row>
    <row r="2840" spans="1:11" ht="18.600000000000001">
      <c r="A2840" s="360" t="s">
        <v>159</v>
      </c>
      <c r="B2840" s="360" t="s">
        <v>118</v>
      </c>
      <c r="C2840" s="355" t="s">
        <v>85</v>
      </c>
      <c r="D2840">
        <v>20145</v>
      </c>
      <c r="E2840" s="143">
        <v>56881</v>
      </c>
      <c r="F2840" s="117">
        <v>1403</v>
      </c>
      <c r="G2840" s="360" t="s">
        <v>302</v>
      </c>
      <c r="H2840" s="144">
        <f>bargiri[[#This Row],[میزان بارگیری شده]]*bargiri[[#This Row],[فی]]</f>
        <v>1145867745</v>
      </c>
      <c r="I2840" s="360">
        <f>IF(year=bargiri[[#This Row],[سال]],1,0)</f>
        <v>0</v>
      </c>
      <c r="J2840" s="360" t="str">
        <f>VLOOKUP(bargiri[[#This Row],[شماره پیش فاکتور]],invoice[],16,0)</f>
        <v>عادی</v>
      </c>
      <c r="K2840" s="252">
        <f>bargiri[[#This Row],[فی]]*bargiri[[#This Row],[میزان بارگیری شده]]</f>
        <v>1145867745</v>
      </c>
    </row>
    <row r="2841" spans="1:11" ht="18.600000000000001">
      <c r="A2841" s="360" t="s">
        <v>159</v>
      </c>
      <c r="B2841" s="360" t="s">
        <v>118</v>
      </c>
      <c r="C2841" s="355" t="s">
        <v>85</v>
      </c>
      <c r="D2841">
        <v>20075</v>
      </c>
      <c r="E2841" s="143">
        <v>56881</v>
      </c>
      <c r="F2841" s="117">
        <v>1403</v>
      </c>
      <c r="G2841" s="360" t="s">
        <v>302</v>
      </c>
      <c r="H2841" s="144">
        <f>bargiri[[#This Row],[میزان بارگیری شده]]*bargiri[[#This Row],[فی]]</f>
        <v>1141886075</v>
      </c>
      <c r="I2841" s="360">
        <f>IF(year=bargiri[[#This Row],[سال]],1,0)</f>
        <v>0</v>
      </c>
      <c r="J2841" s="360" t="str">
        <f>VLOOKUP(bargiri[[#This Row],[شماره پیش فاکتور]],invoice[],16,0)</f>
        <v>عادی</v>
      </c>
      <c r="K2841" s="252">
        <f>bargiri[[#This Row],[فی]]*bargiri[[#This Row],[میزان بارگیری شده]]</f>
        <v>1141886075</v>
      </c>
    </row>
    <row r="2842" spans="1:11" ht="18.600000000000001">
      <c r="A2842" s="360" t="s">
        <v>159</v>
      </c>
      <c r="B2842" s="360" t="s">
        <v>116</v>
      </c>
      <c r="C2842" s="355" t="s">
        <v>77</v>
      </c>
      <c r="D2842">
        <v>20020</v>
      </c>
      <c r="E2842" s="143">
        <v>68500</v>
      </c>
      <c r="F2842" s="117">
        <v>1403</v>
      </c>
      <c r="G2842" s="360" t="s">
        <v>302</v>
      </c>
      <c r="H2842" s="144">
        <f>bargiri[[#This Row],[میزان بارگیری شده]]*bargiri[[#This Row],[فی]]</f>
        <v>1371370000</v>
      </c>
      <c r="I2842" s="360">
        <f>IF(year=bargiri[[#This Row],[سال]],1,0)</f>
        <v>0</v>
      </c>
      <c r="J2842" s="360" t="str">
        <f>VLOOKUP(bargiri[[#This Row],[شماره پیش فاکتور]],invoice[],16,0)</f>
        <v>عادی</v>
      </c>
      <c r="K2842" s="252">
        <f>bargiri[[#This Row],[فی]]*bargiri[[#This Row],[میزان بارگیری شده]]</f>
        <v>1371370000</v>
      </c>
    </row>
    <row r="2843" spans="1:11" ht="18.600000000000001">
      <c r="A2843" s="360" t="s">
        <v>159</v>
      </c>
      <c r="B2843" s="360" t="s">
        <v>116</v>
      </c>
      <c r="C2843" s="355" t="s">
        <v>77</v>
      </c>
      <c r="D2843">
        <v>8160</v>
      </c>
      <c r="E2843" s="143">
        <v>68500</v>
      </c>
      <c r="F2843" s="117">
        <v>1403</v>
      </c>
      <c r="G2843" s="360" t="s">
        <v>302</v>
      </c>
      <c r="H2843" s="144">
        <f>bargiri[[#This Row],[میزان بارگیری شده]]*bargiri[[#This Row],[فی]]</f>
        <v>558960000</v>
      </c>
      <c r="I2843" s="360">
        <f>IF(year=bargiri[[#This Row],[سال]],1,0)</f>
        <v>0</v>
      </c>
      <c r="J2843" s="360" t="str">
        <f>VLOOKUP(bargiri[[#This Row],[شماره پیش فاکتور]],invoice[],16,0)</f>
        <v>عادی</v>
      </c>
      <c r="K2843" s="252">
        <f>bargiri[[#This Row],[فی]]*bargiri[[#This Row],[میزان بارگیری شده]]</f>
        <v>558960000</v>
      </c>
    </row>
    <row r="2844" spans="1:11" ht="18.600000000000001">
      <c r="A2844" s="360" t="s">
        <v>455</v>
      </c>
      <c r="B2844" s="360" t="s">
        <v>99</v>
      </c>
      <c r="C2844" s="355" t="s">
        <v>13</v>
      </c>
      <c r="D2844">
        <v>18450</v>
      </c>
      <c r="E2844" s="143">
        <v>65000</v>
      </c>
      <c r="F2844" s="117">
        <v>1403</v>
      </c>
      <c r="G2844" s="360" t="s">
        <v>302</v>
      </c>
      <c r="H2844" s="144">
        <f>bargiri[[#This Row],[میزان بارگیری شده]]*bargiri[[#This Row],[فی]]</f>
        <v>1199250000</v>
      </c>
      <c r="I2844" s="360">
        <f>IF(year=bargiri[[#This Row],[سال]],1,0)</f>
        <v>0</v>
      </c>
      <c r="J2844" s="360" t="str">
        <f>VLOOKUP(bargiri[[#This Row],[شماره پیش فاکتور]],invoice[],16,0)</f>
        <v>عادی</v>
      </c>
      <c r="K2844" s="252">
        <f>bargiri[[#This Row],[فی]]*bargiri[[#This Row],[میزان بارگیری شده]]</f>
        <v>1199250000</v>
      </c>
    </row>
    <row r="2845" spans="1:11" ht="18.600000000000001">
      <c r="A2845" s="360" t="s">
        <v>458</v>
      </c>
      <c r="B2845" s="360" t="s">
        <v>104</v>
      </c>
      <c r="C2845" s="355" t="s">
        <v>41</v>
      </c>
      <c r="D2845">
        <v>18185</v>
      </c>
      <c r="E2845" s="143">
        <v>85000</v>
      </c>
      <c r="F2845" s="117">
        <v>1403</v>
      </c>
      <c r="G2845" s="360" t="s">
        <v>302</v>
      </c>
      <c r="H2845" s="144">
        <f>bargiri[[#This Row],[میزان بارگیری شده]]*bargiri[[#This Row],[فی]]</f>
        <v>1545725000</v>
      </c>
      <c r="I2845" s="360">
        <f>IF(year=bargiri[[#This Row],[سال]],1,0)</f>
        <v>0</v>
      </c>
      <c r="J2845" s="360" t="str">
        <f>VLOOKUP(bargiri[[#This Row],[شماره پیش فاکتور]],invoice[],16,0)</f>
        <v>عادی</v>
      </c>
      <c r="K2845" s="252">
        <f>bargiri[[#This Row],[فی]]*bargiri[[#This Row],[میزان بارگیری شده]]</f>
        <v>1545725000</v>
      </c>
    </row>
    <row r="2846" spans="1:11" ht="18.600000000000001">
      <c r="A2846" s="360" t="s">
        <v>458</v>
      </c>
      <c r="B2846" s="360" t="s">
        <v>116</v>
      </c>
      <c r="C2846" s="355" t="s">
        <v>77</v>
      </c>
      <c r="D2846">
        <v>7475</v>
      </c>
      <c r="E2846" s="143">
        <v>68500</v>
      </c>
      <c r="F2846" s="117">
        <v>1403</v>
      </c>
      <c r="G2846" s="360" t="s">
        <v>302</v>
      </c>
      <c r="H2846" s="144">
        <f>bargiri[[#This Row],[میزان بارگیری شده]]*bargiri[[#This Row],[فی]]</f>
        <v>512037500</v>
      </c>
      <c r="I2846" s="360">
        <f>IF(year=bargiri[[#This Row],[سال]],1,0)</f>
        <v>0</v>
      </c>
      <c r="J2846" s="360" t="str">
        <f>VLOOKUP(bargiri[[#This Row],[شماره پیش فاکتور]],invoice[],16,0)</f>
        <v>عادی</v>
      </c>
      <c r="K2846" s="252">
        <f>bargiri[[#This Row],[فی]]*bargiri[[#This Row],[میزان بارگیری شده]]</f>
        <v>512037500</v>
      </c>
    </row>
    <row r="2847" spans="1:11" ht="18.600000000000001">
      <c r="A2847" s="360" t="s">
        <v>458</v>
      </c>
      <c r="B2847" s="360" t="s">
        <v>102</v>
      </c>
      <c r="C2847" s="355" t="s">
        <v>26</v>
      </c>
      <c r="D2847">
        <v>11975</v>
      </c>
      <c r="E2847" s="143">
        <v>70000</v>
      </c>
      <c r="F2847" s="117">
        <v>1403</v>
      </c>
      <c r="G2847" s="360" t="s">
        <v>302</v>
      </c>
      <c r="H2847" s="144">
        <f>bargiri[[#This Row],[میزان بارگیری شده]]*bargiri[[#This Row],[فی]]</f>
        <v>838250000</v>
      </c>
      <c r="I2847" s="360">
        <f>IF(year=bargiri[[#This Row],[سال]],1,0)</f>
        <v>0</v>
      </c>
      <c r="J2847" s="360" t="str">
        <f>VLOOKUP(bargiri[[#This Row],[شماره پیش فاکتور]],invoice[],16,0)</f>
        <v>عادی</v>
      </c>
      <c r="K2847" s="252">
        <f>bargiri[[#This Row],[فی]]*bargiri[[#This Row],[میزان بارگیری شده]]</f>
        <v>838250000</v>
      </c>
    </row>
    <row r="2848" spans="1:11" ht="18.600000000000001">
      <c r="A2848" s="360" t="s">
        <v>159</v>
      </c>
      <c r="B2848" s="360" t="s">
        <v>104</v>
      </c>
      <c r="C2848" s="355" t="s">
        <v>41</v>
      </c>
      <c r="D2848">
        <v>17945</v>
      </c>
      <c r="E2848" s="143">
        <v>85000</v>
      </c>
      <c r="F2848" s="117">
        <v>1403</v>
      </c>
      <c r="G2848" s="360" t="s">
        <v>302</v>
      </c>
      <c r="H2848" s="144">
        <f>bargiri[[#This Row],[میزان بارگیری شده]]*bargiri[[#This Row],[فی]]</f>
        <v>1525325000</v>
      </c>
      <c r="I2848" s="360">
        <f>IF(year=bargiri[[#This Row],[سال]],1,0)</f>
        <v>0</v>
      </c>
      <c r="J2848" s="360" t="str">
        <f>VLOOKUP(bargiri[[#This Row],[شماره پیش فاکتور]],invoice[],16,0)</f>
        <v>عادی</v>
      </c>
      <c r="K2848" s="252">
        <f>bargiri[[#This Row],[فی]]*bargiri[[#This Row],[میزان بارگیری شده]]</f>
        <v>1525325000</v>
      </c>
    </row>
    <row r="2849" spans="1:11" ht="18.600000000000001">
      <c r="A2849" s="360" t="s">
        <v>211</v>
      </c>
      <c r="B2849" s="360" t="s">
        <v>118</v>
      </c>
      <c r="C2849" s="355" t="s">
        <v>85</v>
      </c>
      <c r="D2849">
        <v>20120</v>
      </c>
      <c r="E2849" s="143">
        <v>56881</v>
      </c>
      <c r="F2849" s="117">
        <v>1403</v>
      </c>
      <c r="G2849" s="360" t="s">
        <v>303</v>
      </c>
      <c r="H2849" s="144">
        <f>bargiri[[#This Row],[میزان بارگیری شده]]*bargiri[[#This Row],[فی]]</f>
        <v>1144445720</v>
      </c>
      <c r="I2849" s="360">
        <f>IF(year=bargiri[[#This Row],[سال]],1,0)</f>
        <v>0</v>
      </c>
      <c r="J2849" s="360" t="str">
        <f>VLOOKUP(bargiri[[#This Row],[شماره پیش فاکتور]],invoice[],16,0)</f>
        <v>عادی</v>
      </c>
      <c r="K2849" s="252">
        <f>bargiri[[#This Row],[فی]]*bargiri[[#This Row],[میزان بارگیری شده]]</f>
        <v>1144445720</v>
      </c>
    </row>
    <row r="2850" spans="1:11" ht="18.600000000000001">
      <c r="A2850" s="360" t="s">
        <v>211</v>
      </c>
      <c r="B2850" s="360" t="s">
        <v>118</v>
      </c>
      <c r="C2850" s="355" t="s">
        <v>85</v>
      </c>
      <c r="D2850">
        <v>20060</v>
      </c>
      <c r="E2850" s="143">
        <v>56881</v>
      </c>
      <c r="F2850" s="117">
        <v>1403</v>
      </c>
      <c r="G2850" s="360" t="s">
        <v>303</v>
      </c>
      <c r="H2850" s="144">
        <f>bargiri[[#This Row],[میزان بارگیری شده]]*bargiri[[#This Row],[فی]]</f>
        <v>1141032860</v>
      </c>
      <c r="I2850" s="360">
        <f>IF(year=bargiri[[#This Row],[سال]],1,0)</f>
        <v>0</v>
      </c>
      <c r="J2850" s="360" t="str">
        <f>VLOOKUP(bargiri[[#This Row],[شماره پیش فاکتور]],invoice[],16,0)</f>
        <v>عادی</v>
      </c>
      <c r="K2850" s="252">
        <f>bargiri[[#This Row],[فی]]*bargiri[[#This Row],[میزان بارگیری شده]]</f>
        <v>1141032860</v>
      </c>
    </row>
    <row r="2851" spans="1:11" ht="18.600000000000001">
      <c r="A2851" s="360" t="s">
        <v>211</v>
      </c>
      <c r="B2851" s="360" t="s">
        <v>102</v>
      </c>
      <c r="C2851" s="355" t="s">
        <v>26</v>
      </c>
      <c r="D2851">
        <v>10120</v>
      </c>
      <c r="E2851" s="143">
        <v>70000</v>
      </c>
      <c r="F2851" s="117">
        <v>1403</v>
      </c>
      <c r="G2851" s="360" t="s">
        <v>303</v>
      </c>
      <c r="H2851" s="144">
        <f>bargiri[[#This Row],[میزان بارگیری شده]]*bargiri[[#This Row],[فی]]</f>
        <v>708400000</v>
      </c>
      <c r="I2851" s="360">
        <f>IF(year=bargiri[[#This Row],[سال]],1,0)</f>
        <v>0</v>
      </c>
      <c r="J2851" s="360" t="str">
        <f>VLOOKUP(bargiri[[#This Row],[شماره پیش فاکتور]],invoice[],16,0)</f>
        <v>عادی</v>
      </c>
      <c r="K2851" s="252">
        <f>bargiri[[#This Row],[فی]]*bargiri[[#This Row],[میزان بارگیری شده]]</f>
        <v>708400000</v>
      </c>
    </row>
    <row r="2852" spans="1:11" ht="18.600000000000001">
      <c r="A2852" s="360" t="s">
        <v>211</v>
      </c>
      <c r="B2852" s="360" t="s">
        <v>124</v>
      </c>
      <c r="C2852" s="355" t="s">
        <v>94</v>
      </c>
      <c r="D2852">
        <v>20130</v>
      </c>
      <c r="E2852" s="143">
        <v>70000</v>
      </c>
      <c r="F2852" s="117">
        <v>1403</v>
      </c>
      <c r="G2852" s="360" t="s">
        <v>303</v>
      </c>
      <c r="H2852" s="144">
        <f>bargiri[[#This Row],[میزان بارگیری شده]]*bargiri[[#This Row],[فی]]</f>
        <v>1409100000</v>
      </c>
      <c r="I2852" s="360">
        <f>IF(year=bargiri[[#This Row],[سال]],1,0)</f>
        <v>0</v>
      </c>
      <c r="J2852" s="360" t="str">
        <f>VLOOKUP(bargiri[[#This Row],[شماره پیش فاکتور]],invoice[],16,0)</f>
        <v>عادی</v>
      </c>
      <c r="K2852" s="252">
        <f>bargiri[[#This Row],[فی]]*bargiri[[#This Row],[میزان بارگیری شده]]</f>
        <v>1409100000</v>
      </c>
    </row>
    <row r="2853" spans="1:11" ht="18.600000000000001">
      <c r="A2853" s="360" t="s">
        <v>211</v>
      </c>
      <c r="B2853" s="360" t="s">
        <v>116</v>
      </c>
      <c r="C2853" s="355" t="s">
        <v>77</v>
      </c>
      <c r="D2853">
        <v>20100</v>
      </c>
      <c r="E2853" s="143">
        <v>68500</v>
      </c>
      <c r="F2853" s="117">
        <v>1403</v>
      </c>
      <c r="G2853" s="360" t="s">
        <v>303</v>
      </c>
      <c r="H2853" s="144">
        <f>bargiri[[#This Row],[میزان بارگیری شده]]*bargiri[[#This Row],[فی]]</f>
        <v>1376850000</v>
      </c>
      <c r="I2853" s="360">
        <f>IF(year=bargiri[[#This Row],[سال]],1,0)</f>
        <v>0</v>
      </c>
      <c r="J2853" s="360" t="str">
        <f>VLOOKUP(bargiri[[#This Row],[شماره پیش فاکتور]],invoice[],16,0)</f>
        <v>عادی</v>
      </c>
      <c r="K2853" s="252">
        <f>bargiri[[#This Row],[فی]]*bargiri[[#This Row],[میزان بارگیری شده]]</f>
        <v>1376850000</v>
      </c>
    </row>
    <row r="2854" spans="1:11" ht="18.600000000000001">
      <c r="A2854" s="360" t="s">
        <v>211</v>
      </c>
      <c r="B2854" s="360" t="s">
        <v>111</v>
      </c>
      <c r="C2854" s="355" t="s">
        <v>58</v>
      </c>
      <c r="D2854">
        <v>3550</v>
      </c>
      <c r="E2854" s="143">
        <v>80000</v>
      </c>
      <c r="F2854" s="117">
        <v>1403</v>
      </c>
      <c r="G2854" s="360" t="s">
        <v>303</v>
      </c>
      <c r="H2854" s="144">
        <f>bargiri[[#This Row],[میزان بارگیری شده]]*bargiri[[#This Row],[فی]]</f>
        <v>284000000</v>
      </c>
      <c r="I2854" s="360">
        <f>IF(year=bargiri[[#This Row],[سال]],1,0)</f>
        <v>0</v>
      </c>
      <c r="J2854" s="360" t="str">
        <f>VLOOKUP(bargiri[[#This Row],[شماره پیش فاکتور]],invoice[],16,0)</f>
        <v>عادی</v>
      </c>
      <c r="K2854" s="252">
        <f>bargiri[[#This Row],[فی]]*bargiri[[#This Row],[میزان بارگیری شده]]</f>
        <v>284000000</v>
      </c>
    </row>
    <row r="2855" spans="1:11" ht="18.600000000000001">
      <c r="A2855" s="360" t="s">
        <v>211</v>
      </c>
      <c r="B2855" s="360" t="s">
        <v>111</v>
      </c>
      <c r="C2855" s="355" t="s">
        <v>59</v>
      </c>
      <c r="D2855">
        <v>6335</v>
      </c>
      <c r="E2855" s="143">
        <v>80000</v>
      </c>
      <c r="F2855" s="117">
        <v>1403</v>
      </c>
      <c r="G2855" s="360" t="s">
        <v>303</v>
      </c>
      <c r="H2855" s="144">
        <f>bargiri[[#This Row],[میزان بارگیری شده]]*bargiri[[#This Row],[فی]]</f>
        <v>506800000</v>
      </c>
      <c r="I2855" s="360">
        <f>IF(year=bargiri[[#This Row],[سال]],1,0)</f>
        <v>0</v>
      </c>
      <c r="J2855" s="360" t="str">
        <f>VLOOKUP(bargiri[[#This Row],[شماره پیش فاکتور]],invoice[],16,0)</f>
        <v>عادی</v>
      </c>
      <c r="K2855" s="252">
        <f>bargiri[[#This Row],[فی]]*bargiri[[#This Row],[میزان بارگیری شده]]</f>
        <v>506800000</v>
      </c>
    </row>
    <row r="2856" spans="1:11" ht="18.600000000000001">
      <c r="A2856" s="360" t="s">
        <v>459</v>
      </c>
      <c r="B2856" s="360" t="s">
        <v>103</v>
      </c>
      <c r="C2856" s="355" t="s">
        <v>30</v>
      </c>
      <c r="D2856">
        <v>7010</v>
      </c>
      <c r="E2856" s="143">
        <v>70000</v>
      </c>
      <c r="F2856" s="117">
        <v>1403</v>
      </c>
      <c r="G2856" s="360" t="s">
        <v>303</v>
      </c>
      <c r="H2856" s="144">
        <f>bargiri[[#This Row],[میزان بارگیری شده]]*bargiri[[#This Row],[فی]]</f>
        <v>490700000</v>
      </c>
      <c r="I2856" s="360">
        <f>IF(year=bargiri[[#This Row],[سال]],1,0)</f>
        <v>0</v>
      </c>
      <c r="J2856" s="360" t="str">
        <f>VLOOKUP(bargiri[[#This Row],[شماره پیش فاکتور]],invoice[],16,0)</f>
        <v>عادی</v>
      </c>
      <c r="K2856" s="252">
        <f>bargiri[[#This Row],[فی]]*bargiri[[#This Row],[میزان بارگیری شده]]</f>
        <v>490700000</v>
      </c>
    </row>
    <row r="2857" spans="1:11" ht="18.600000000000001">
      <c r="A2857" s="360" t="s">
        <v>460</v>
      </c>
      <c r="B2857" s="360" t="s">
        <v>103</v>
      </c>
      <c r="C2857" s="355" t="s">
        <v>30</v>
      </c>
      <c r="D2857">
        <v>7780</v>
      </c>
      <c r="E2857" s="143">
        <v>70000</v>
      </c>
      <c r="F2857" s="117">
        <v>1403</v>
      </c>
      <c r="G2857" s="360" t="s">
        <v>303</v>
      </c>
      <c r="H2857" s="144">
        <f>bargiri[[#This Row],[میزان بارگیری شده]]*bargiri[[#This Row],[فی]]</f>
        <v>544600000</v>
      </c>
      <c r="I2857" s="360">
        <f>IF(year=bargiri[[#This Row],[سال]],1,0)</f>
        <v>0</v>
      </c>
      <c r="J2857" s="360" t="str">
        <f>VLOOKUP(bargiri[[#This Row],[شماره پیش فاکتور]],invoice[],16,0)</f>
        <v>عادی</v>
      </c>
      <c r="K2857" s="252">
        <f>bargiri[[#This Row],[فی]]*bargiri[[#This Row],[میزان بارگیری شده]]</f>
        <v>544600000</v>
      </c>
    </row>
    <row r="2858" spans="1:11" ht="18.600000000000001">
      <c r="A2858" s="360" t="s">
        <v>211</v>
      </c>
      <c r="B2858" s="360" t="s">
        <v>99</v>
      </c>
      <c r="C2858" s="355" t="s">
        <v>13</v>
      </c>
      <c r="D2858">
        <v>18225</v>
      </c>
      <c r="E2858" s="143">
        <v>65000</v>
      </c>
      <c r="F2858" s="117">
        <v>1403</v>
      </c>
      <c r="G2858" s="360" t="s">
        <v>303</v>
      </c>
      <c r="H2858" s="144">
        <f>bargiri[[#This Row],[میزان بارگیری شده]]*bargiri[[#This Row],[فی]]</f>
        <v>1184625000</v>
      </c>
      <c r="I2858" s="360">
        <f>IF(year=bargiri[[#This Row],[سال]],1,0)</f>
        <v>0</v>
      </c>
      <c r="J2858" s="360" t="str">
        <f>VLOOKUP(bargiri[[#This Row],[شماره پیش فاکتور]],invoice[],16,0)</f>
        <v>عادی</v>
      </c>
      <c r="K2858" s="252">
        <f>bargiri[[#This Row],[فی]]*bargiri[[#This Row],[میزان بارگیری شده]]</f>
        <v>1184625000</v>
      </c>
    </row>
    <row r="2859" spans="1:11" ht="18.600000000000001">
      <c r="A2859" s="360" t="s">
        <v>461</v>
      </c>
      <c r="B2859" s="360" t="s">
        <v>108</v>
      </c>
      <c r="C2859" s="355" t="s">
        <v>53</v>
      </c>
      <c r="D2859">
        <v>20005</v>
      </c>
      <c r="E2859" s="143">
        <v>70000</v>
      </c>
      <c r="F2859" s="117">
        <v>1403</v>
      </c>
      <c r="G2859" s="360" t="s">
        <v>303</v>
      </c>
      <c r="H2859" s="144">
        <f>bargiri[[#This Row],[میزان بارگیری شده]]*bargiri[[#This Row],[فی]]</f>
        <v>1400350000</v>
      </c>
      <c r="I2859" s="360">
        <f>IF(year=bargiri[[#This Row],[سال]],1,0)</f>
        <v>0</v>
      </c>
      <c r="J2859" s="360" t="str">
        <f>VLOOKUP(bargiri[[#This Row],[شماره پیش فاکتور]],invoice[],16,0)</f>
        <v>عادی</v>
      </c>
      <c r="K2859" s="252">
        <f>bargiri[[#This Row],[فی]]*bargiri[[#This Row],[میزان بارگیری شده]]</f>
        <v>1400350000</v>
      </c>
    </row>
    <row r="2860" spans="1:11" ht="18.600000000000001">
      <c r="A2860" s="360" t="s">
        <v>461</v>
      </c>
      <c r="B2860" s="360" t="s">
        <v>116</v>
      </c>
      <c r="C2860" s="355" t="s">
        <v>77</v>
      </c>
      <c r="D2860">
        <v>20080</v>
      </c>
      <c r="E2860" s="143">
        <v>68500</v>
      </c>
      <c r="F2860" s="117">
        <v>1403</v>
      </c>
      <c r="G2860" s="360" t="s">
        <v>303</v>
      </c>
      <c r="H2860" s="144">
        <f>bargiri[[#This Row],[میزان بارگیری شده]]*bargiri[[#This Row],[فی]]</f>
        <v>1375480000</v>
      </c>
      <c r="I2860" s="360">
        <f>IF(year=bargiri[[#This Row],[سال]],1,0)</f>
        <v>0</v>
      </c>
      <c r="J2860" s="360" t="str">
        <f>VLOOKUP(bargiri[[#This Row],[شماره پیش فاکتور]],invoice[],16,0)</f>
        <v>عادی</v>
      </c>
      <c r="K2860" s="252">
        <f>bargiri[[#This Row],[فی]]*bargiri[[#This Row],[میزان بارگیری شده]]</f>
        <v>1375480000</v>
      </c>
    </row>
    <row r="2861" spans="1:11" ht="18.600000000000001">
      <c r="A2861" s="360" t="s">
        <v>461</v>
      </c>
      <c r="B2861" s="360" t="s">
        <v>98</v>
      </c>
      <c r="C2861" s="355" t="s">
        <v>11</v>
      </c>
      <c r="D2861">
        <v>20245</v>
      </c>
      <c r="E2861" s="143">
        <v>77000</v>
      </c>
      <c r="F2861" s="117">
        <v>1403</v>
      </c>
      <c r="G2861" s="360" t="s">
        <v>303</v>
      </c>
      <c r="H2861" s="144">
        <f>bargiri[[#This Row],[میزان بارگیری شده]]*bargiri[[#This Row],[فی]]</f>
        <v>1558865000</v>
      </c>
      <c r="I2861" s="360">
        <f>IF(year=bargiri[[#This Row],[سال]],1,0)</f>
        <v>0</v>
      </c>
      <c r="J2861" s="360" t="str">
        <f>VLOOKUP(bargiri[[#This Row],[شماره پیش فاکتور]],invoice[],16,0)</f>
        <v>عادی</v>
      </c>
      <c r="K2861" s="252">
        <f>bargiri[[#This Row],[فی]]*bargiri[[#This Row],[میزان بارگیری شده]]</f>
        <v>1558865000</v>
      </c>
    </row>
    <row r="2862" spans="1:11" ht="18.600000000000001">
      <c r="A2862" s="360" t="s">
        <v>461</v>
      </c>
      <c r="B2862" s="360" t="s">
        <v>99</v>
      </c>
      <c r="C2862" s="355" t="s">
        <v>13</v>
      </c>
      <c r="D2862">
        <v>17930</v>
      </c>
      <c r="E2862" s="143">
        <v>65000</v>
      </c>
      <c r="F2862" s="117">
        <v>1403</v>
      </c>
      <c r="G2862" s="360" t="s">
        <v>303</v>
      </c>
      <c r="H2862" s="144">
        <f>bargiri[[#This Row],[میزان بارگیری شده]]*bargiri[[#This Row],[فی]]</f>
        <v>1165450000</v>
      </c>
      <c r="I2862" s="360">
        <f>IF(year=bargiri[[#This Row],[سال]],1,0)</f>
        <v>0</v>
      </c>
      <c r="J2862" s="360" t="str">
        <f>VLOOKUP(bargiri[[#This Row],[شماره پیش فاکتور]],invoice[],16,0)</f>
        <v>عادی</v>
      </c>
      <c r="K2862" s="252">
        <f>bargiri[[#This Row],[فی]]*bargiri[[#This Row],[میزان بارگیری شده]]</f>
        <v>1165450000</v>
      </c>
    </row>
    <row r="2863" spans="1:11" ht="18.600000000000001">
      <c r="A2863" s="360" t="s">
        <v>459</v>
      </c>
      <c r="B2863" s="360" t="s">
        <v>115</v>
      </c>
      <c r="C2863" s="355" t="s">
        <v>65</v>
      </c>
      <c r="D2863">
        <v>7080</v>
      </c>
      <c r="E2863" s="143">
        <v>75000</v>
      </c>
      <c r="F2863" s="117">
        <v>1403</v>
      </c>
      <c r="G2863" s="360" t="s">
        <v>303</v>
      </c>
      <c r="H2863" s="144">
        <f>bargiri[[#This Row],[میزان بارگیری شده]]*bargiri[[#This Row],[فی]]</f>
        <v>531000000</v>
      </c>
      <c r="I2863" s="360">
        <f>IF(year=bargiri[[#This Row],[سال]],1,0)</f>
        <v>0</v>
      </c>
      <c r="J2863" s="360" t="str">
        <f>VLOOKUP(bargiri[[#This Row],[شماره پیش فاکتور]],invoice[],16,0)</f>
        <v>عادی</v>
      </c>
      <c r="K2863" s="252">
        <f>bargiri[[#This Row],[فی]]*bargiri[[#This Row],[میزان بارگیری شده]]</f>
        <v>531000000</v>
      </c>
    </row>
    <row r="2864" spans="1:11" ht="18.600000000000001">
      <c r="A2864" s="360" t="s">
        <v>459</v>
      </c>
      <c r="B2864" s="360" t="s">
        <v>104</v>
      </c>
      <c r="C2864" s="355" t="s">
        <v>41</v>
      </c>
      <c r="D2864">
        <v>17075</v>
      </c>
      <c r="E2864" s="143">
        <v>85000</v>
      </c>
      <c r="F2864" s="117">
        <v>1403</v>
      </c>
      <c r="G2864" s="360" t="s">
        <v>303</v>
      </c>
      <c r="H2864" s="144">
        <f>bargiri[[#This Row],[میزان بارگیری شده]]*bargiri[[#This Row],[فی]]</f>
        <v>1451375000</v>
      </c>
      <c r="I2864" s="360">
        <f>IF(year=bargiri[[#This Row],[سال]],1,0)</f>
        <v>0</v>
      </c>
      <c r="J2864" s="360" t="str">
        <f>VLOOKUP(bargiri[[#This Row],[شماره پیش فاکتور]],invoice[],16,0)</f>
        <v>عادی</v>
      </c>
      <c r="K2864" s="252">
        <f>bargiri[[#This Row],[فی]]*bargiri[[#This Row],[میزان بارگیری شده]]</f>
        <v>1451375000</v>
      </c>
    </row>
    <row r="2865" spans="1:11" ht="18.600000000000001">
      <c r="A2865" s="360" t="s">
        <v>459</v>
      </c>
      <c r="B2865" s="360" t="s">
        <v>101</v>
      </c>
      <c r="C2865" s="355" t="s">
        <v>20</v>
      </c>
      <c r="D2865">
        <v>10010</v>
      </c>
      <c r="E2865" s="143">
        <v>68000</v>
      </c>
      <c r="F2865" s="117">
        <v>1403</v>
      </c>
      <c r="G2865" s="360" t="s">
        <v>303</v>
      </c>
      <c r="H2865" s="144">
        <f>bargiri[[#This Row],[میزان بارگیری شده]]*bargiri[[#This Row],[فی]]</f>
        <v>680680000</v>
      </c>
      <c r="I2865" s="360">
        <f>IF(year=bargiri[[#This Row],[سال]],1,0)</f>
        <v>0</v>
      </c>
      <c r="J2865" s="360" t="str">
        <f>VLOOKUP(bargiri[[#This Row],[شماره پیش فاکتور]],invoice[],16,0)</f>
        <v>عادی</v>
      </c>
      <c r="K2865" s="252">
        <f>bargiri[[#This Row],[فی]]*bargiri[[#This Row],[میزان بارگیری شده]]</f>
        <v>680680000</v>
      </c>
    </row>
    <row r="2866" spans="1:11" ht="18.600000000000001">
      <c r="A2866" s="360" t="s">
        <v>459</v>
      </c>
      <c r="B2866" s="360" t="s">
        <v>102</v>
      </c>
      <c r="C2866" s="355" t="s">
        <v>26</v>
      </c>
      <c r="D2866">
        <v>9680</v>
      </c>
      <c r="E2866" s="143">
        <v>70000</v>
      </c>
      <c r="F2866" s="117">
        <v>1403</v>
      </c>
      <c r="G2866" s="360" t="s">
        <v>303</v>
      </c>
      <c r="H2866" s="144">
        <f>bargiri[[#This Row],[میزان بارگیری شده]]*bargiri[[#This Row],[فی]]</f>
        <v>677600000</v>
      </c>
      <c r="I2866" s="360">
        <f>IF(year=bargiri[[#This Row],[سال]],1,0)</f>
        <v>0</v>
      </c>
      <c r="J2866" s="360" t="str">
        <f>VLOOKUP(bargiri[[#This Row],[شماره پیش فاکتور]],invoice[],16,0)</f>
        <v>عادی</v>
      </c>
      <c r="K2866" s="252">
        <f>bargiri[[#This Row],[فی]]*bargiri[[#This Row],[میزان بارگیری شده]]</f>
        <v>677600000</v>
      </c>
    </row>
    <row r="2867" spans="1:11" ht="18.600000000000001">
      <c r="A2867" s="360" t="s">
        <v>459</v>
      </c>
      <c r="B2867" s="360" t="s">
        <v>117</v>
      </c>
      <c r="C2867" s="355" t="s">
        <v>82</v>
      </c>
      <c r="D2867">
        <v>17975</v>
      </c>
      <c r="E2867" s="143">
        <v>70000</v>
      </c>
      <c r="F2867" s="117">
        <v>1403</v>
      </c>
      <c r="G2867" s="360" t="s">
        <v>303</v>
      </c>
      <c r="H2867" s="144">
        <f>bargiri[[#This Row],[میزان بارگیری شده]]*bargiri[[#This Row],[فی]]</f>
        <v>1258250000</v>
      </c>
      <c r="I2867" s="360">
        <f>IF(year=bargiri[[#This Row],[سال]],1,0)</f>
        <v>0</v>
      </c>
      <c r="J2867" s="360" t="str">
        <f>VLOOKUP(bargiri[[#This Row],[شماره پیش فاکتور]],invoice[],16,0)</f>
        <v>عادی</v>
      </c>
      <c r="K2867" s="252">
        <f>bargiri[[#This Row],[فی]]*bargiri[[#This Row],[میزان بارگیری شده]]</f>
        <v>1258250000</v>
      </c>
    </row>
    <row r="2868" spans="1:11" ht="18.600000000000001">
      <c r="A2868" s="360" t="s">
        <v>215</v>
      </c>
      <c r="B2868" s="360" t="s">
        <v>103</v>
      </c>
      <c r="C2868" s="355" t="s">
        <v>30</v>
      </c>
      <c r="D2868">
        <v>7820</v>
      </c>
      <c r="E2868" s="143">
        <v>70000</v>
      </c>
      <c r="F2868" s="117">
        <v>1403</v>
      </c>
      <c r="G2868" s="360" t="s">
        <v>304</v>
      </c>
      <c r="H2868" s="144">
        <f>bargiri[[#This Row],[میزان بارگیری شده]]*bargiri[[#This Row],[فی]]</f>
        <v>547400000</v>
      </c>
      <c r="I2868" s="360">
        <f>IF(year=bargiri[[#This Row],[سال]],1,0)</f>
        <v>0</v>
      </c>
      <c r="J2868" s="360" t="str">
        <f>VLOOKUP(bargiri[[#This Row],[شماره پیش فاکتور]],invoice[],16,0)</f>
        <v>عادی</v>
      </c>
      <c r="K2868" s="252">
        <f>bargiri[[#This Row],[فی]]*bargiri[[#This Row],[میزان بارگیری شده]]</f>
        <v>547400000</v>
      </c>
    </row>
    <row r="2869" spans="1:11" ht="18.600000000000001">
      <c r="A2869" s="360" t="s">
        <v>462</v>
      </c>
      <c r="B2869" s="360" t="s">
        <v>103</v>
      </c>
      <c r="C2869" s="355" t="s">
        <v>30</v>
      </c>
      <c r="D2869">
        <v>7880</v>
      </c>
      <c r="E2869" s="143">
        <v>70000</v>
      </c>
      <c r="F2869" s="117">
        <v>1403</v>
      </c>
      <c r="G2869" s="360" t="s">
        <v>304</v>
      </c>
      <c r="H2869" s="144">
        <f>bargiri[[#This Row],[میزان بارگیری شده]]*bargiri[[#This Row],[فی]]</f>
        <v>551600000</v>
      </c>
      <c r="I2869" s="360">
        <f>IF(year=bargiri[[#This Row],[سال]],1,0)</f>
        <v>0</v>
      </c>
      <c r="J2869" s="360" t="str">
        <f>VLOOKUP(bargiri[[#This Row],[شماره پیش فاکتور]],invoice[],16,0)</f>
        <v>عادی</v>
      </c>
      <c r="K2869" s="252">
        <f>bargiri[[#This Row],[فی]]*bargiri[[#This Row],[میزان بارگیری شده]]</f>
        <v>551600000</v>
      </c>
    </row>
    <row r="2870" spans="1:11" ht="18.600000000000001">
      <c r="A2870" s="360" t="s">
        <v>210</v>
      </c>
      <c r="B2870" s="360" t="s">
        <v>103</v>
      </c>
      <c r="C2870" s="355" t="s">
        <v>30</v>
      </c>
      <c r="D2870">
        <v>7680</v>
      </c>
      <c r="E2870" s="143">
        <v>70000</v>
      </c>
      <c r="F2870" s="117">
        <v>1403</v>
      </c>
      <c r="G2870" s="360" t="s">
        <v>304</v>
      </c>
      <c r="H2870" s="144">
        <f>bargiri[[#This Row],[میزان بارگیری شده]]*bargiri[[#This Row],[فی]]</f>
        <v>537600000</v>
      </c>
      <c r="I2870" s="360">
        <f>IF(year=bargiri[[#This Row],[سال]],1,0)</f>
        <v>0</v>
      </c>
      <c r="J2870" s="360" t="str">
        <f>VLOOKUP(bargiri[[#This Row],[شماره پیش فاکتور]],invoice[],16,0)</f>
        <v>عادی</v>
      </c>
      <c r="K2870" s="252">
        <f>bargiri[[#This Row],[فی]]*bargiri[[#This Row],[میزان بارگیری شده]]</f>
        <v>537600000</v>
      </c>
    </row>
    <row r="2871" spans="1:11" ht="18.600000000000001">
      <c r="A2871" s="360" t="s">
        <v>463</v>
      </c>
      <c r="B2871" s="360" t="s">
        <v>103</v>
      </c>
      <c r="C2871" s="355" t="s">
        <v>30</v>
      </c>
      <c r="D2871">
        <v>7600</v>
      </c>
      <c r="E2871" s="143">
        <v>70000</v>
      </c>
      <c r="F2871" s="117">
        <v>1403</v>
      </c>
      <c r="G2871" s="360" t="s">
        <v>304</v>
      </c>
      <c r="H2871" s="144">
        <f>bargiri[[#This Row],[میزان بارگیری شده]]*bargiri[[#This Row],[فی]]</f>
        <v>532000000</v>
      </c>
      <c r="I2871" s="360">
        <f>IF(year=bargiri[[#This Row],[سال]],1,0)</f>
        <v>0</v>
      </c>
      <c r="J2871" s="360" t="str">
        <f>VLOOKUP(bargiri[[#This Row],[شماره پیش فاکتور]],invoice[],16,0)</f>
        <v>عادی</v>
      </c>
      <c r="K2871" s="252">
        <f>bargiri[[#This Row],[فی]]*bargiri[[#This Row],[میزان بارگیری شده]]</f>
        <v>532000000</v>
      </c>
    </row>
    <row r="2872" spans="1:11" ht="18.600000000000001">
      <c r="A2872" s="360" t="s">
        <v>463</v>
      </c>
      <c r="B2872" s="360" t="s">
        <v>103</v>
      </c>
      <c r="C2872" s="355" t="s">
        <v>30</v>
      </c>
      <c r="D2872">
        <v>7370</v>
      </c>
      <c r="E2872" s="143">
        <v>70000</v>
      </c>
      <c r="F2872" s="117">
        <v>1403</v>
      </c>
      <c r="G2872" s="360" t="s">
        <v>304</v>
      </c>
      <c r="H2872" s="144">
        <f>bargiri[[#This Row],[میزان بارگیری شده]]*bargiri[[#This Row],[فی]]</f>
        <v>515900000</v>
      </c>
      <c r="I2872" s="360">
        <f>IF(year=bargiri[[#This Row],[سال]],1,0)</f>
        <v>0</v>
      </c>
      <c r="J2872" s="360" t="str">
        <f>VLOOKUP(bargiri[[#This Row],[شماره پیش فاکتور]],invoice[],16,0)</f>
        <v>عادی</v>
      </c>
      <c r="K2872" s="252">
        <f>bargiri[[#This Row],[فی]]*bargiri[[#This Row],[میزان بارگیری شده]]</f>
        <v>515900000</v>
      </c>
    </row>
    <row r="2873" spans="1:11" ht="18.600000000000001">
      <c r="A2873" s="360" t="s">
        <v>464</v>
      </c>
      <c r="B2873" s="360" t="s">
        <v>103</v>
      </c>
      <c r="C2873" s="355" t="s">
        <v>30</v>
      </c>
      <c r="D2873">
        <v>7480</v>
      </c>
      <c r="E2873" s="143">
        <v>70000</v>
      </c>
      <c r="F2873" s="117">
        <v>1403</v>
      </c>
      <c r="G2873" s="360" t="s">
        <v>304</v>
      </c>
      <c r="H2873" s="144">
        <f>bargiri[[#This Row],[میزان بارگیری شده]]*bargiri[[#This Row],[فی]]</f>
        <v>523600000</v>
      </c>
      <c r="I2873" s="360">
        <f>IF(year=bargiri[[#This Row],[سال]],1,0)</f>
        <v>0</v>
      </c>
      <c r="J2873" s="360" t="str">
        <f>VLOOKUP(bargiri[[#This Row],[شماره پیش فاکتور]],invoice[],16,0)</f>
        <v>عادی</v>
      </c>
      <c r="K2873" s="252">
        <f>bargiri[[#This Row],[فی]]*bargiri[[#This Row],[میزان بارگیری شده]]</f>
        <v>523600000</v>
      </c>
    </row>
    <row r="2874" spans="1:11" ht="18.600000000000001">
      <c r="A2874" s="360" t="s">
        <v>199</v>
      </c>
      <c r="B2874" s="360" t="s">
        <v>103</v>
      </c>
      <c r="C2874" s="355" t="s">
        <v>30</v>
      </c>
      <c r="D2874">
        <v>9040</v>
      </c>
      <c r="E2874" s="143">
        <v>70000</v>
      </c>
      <c r="F2874" s="117">
        <v>1403</v>
      </c>
      <c r="G2874" s="360" t="s">
        <v>304</v>
      </c>
      <c r="H2874" s="144">
        <f>bargiri[[#This Row],[میزان بارگیری شده]]*bargiri[[#This Row],[فی]]</f>
        <v>632800000</v>
      </c>
      <c r="I2874" s="360">
        <f>IF(year=bargiri[[#This Row],[سال]],1,0)</f>
        <v>0</v>
      </c>
      <c r="J2874" s="360" t="str">
        <f>VLOOKUP(bargiri[[#This Row],[شماره پیش فاکتور]],invoice[],16,0)</f>
        <v>عادی</v>
      </c>
      <c r="K2874" s="252">
        <f>bargiri[[#This Row],[فی]]*bargiri[[#This Row],[میزان بارگیری شده]]</f>
        <v>632800000</v>
      </c>
    </row>
    <row r="2875" spans="1:11" ht="18.600000000000001">
      <c r="A2875" s="360" t="s">
        <v>459</v>
      </c>
      <c r="B2875" s="360" t="s">
        <v>115</v>
      </c>
      <c r="C2875" s="355" t="s">
        <v>65</v>
      </c>
      <c r="D2875">
        <v>21365</v>
      </c>
      <c r="E2875" s="143">
        <v>75000</v>
      </c>
      <c r="F2875" s="117">
        <v>1403</v>
      </c>
      <c r="G2875" s="360" t="s">
        <v>303</v>
      </c>
      <c r="H2875" s="144">
        <f>bargiri[[#This Row],[میزان بارگیری شده]]*bargiri[[#This Row],[فی]]</f>
        <v>1602375000</v>
      </c>
      <c r="I2875" s="360">
        <f>IF(year=bargiri[[#This Row],[سال]],1,0)</f>
        <v>0</v>
      </c>
      <c r="J2875" s="360" t="str">
        <f>VLOOKUP(bargiri[[#This Row],[شماره پیش فاکتور]],invoice[],16,0)</f>
        <v>عادی</v>
      </c>
      <c r="K2875" s="252">
        <f>bargiri[[#This Row],[فی]]*bargiri[[#This Row],[میزان بارگیری شده]]</f>
        <v>1602375000</v>
      </c>
    </row>
    <row r="2876" spans="1:11" ht="18.600000000000001">
      <c r="A2876" s="360" t="s">
        <v>451</v>
      </c>
      <c r="B2876" s="360" t="s">
        <v>116</v>
      </c>
      <c r="C2876" s="355" t="s">
        <v>77</v>
      </c>
      <c r="D2876">
        <v>8085</v>
      </c>
      <c r="E2876" s="143">
        <v>68500</v>
      </c>
      <c r="F2876" s="117">
        <v>1403</v>
      </c>
      <c r="G2876" s="360" t="s">
        <v>303</v>
      </c>
      <c r="H2876" s="144">
        <f>bargiri[[#This Row],[میزان بارگیری شده]]*bargiri[[#This Row],[فی]]</f>
        <v>553822500</v>
      </c>
      <c r="I2876" s="360">
        <f>IF(year=bargiri[[#This Row],[سال]],1,0)</f>
        <v>0</v>
      </c>
      <c r="J2876" s="360" t="str">
        <f>VLOOKUP(bargiri[[#This Row],[شماره پیش فاکتور]],invoice[],16,0)</f>
        <v>عادی</v>
      </c>
      <c r="K2876" s="252">
        <f>bargiri[[#This Row],[فی]]*bargiri[[#This Row],[میزان بارگیری شده]]</f>
        <v>553822500</v>
      </c>
    </row>
    <row r="2877" spans="1:11" ht="18.600000000000001">
      <c r="A2877" s="360" t="s">
        <v>451</v>
      </c>
      <c r="B2877" s="360" t="s">
        <v>102</v>
      </c>
      <c r="C2877" s="355" t="s">
        <v>26</v>
      </c>
      <c r="D2877">
        <v>10180</v>
      </c>
      <c r="E2877" s="143">
        <v>70000</v>
      </c>
      <c r="F2877" s="117">
        <v>1403</v>
      </c>
      <c r="G2877" s="360" t="s">
        <v>303</v>
      </c>
      <c r="H2877" s="144">
        <f>bargiri[[#This Row],[میزان بارگیری شده]]*bargiri[[#This Row],[فی]]</f>
        <v>712600000</v>
      </c>
      <c r="I2877" s="360">
        <f>IF(year=bargiri[[#This Row],[سال]],1,0)</f>
        <v>0</v>
      </c>
      <c r="J2877" s="360" t="str">
        <f>VLOOKUP(bargiri[[#This Row],[شماره پیش فاکتور]],invoice[],16,0)</f>
        <v>عادی</v>
      </c>
      <c r="K2877" s="252">
        <f>bargiri[[#This Row],[فی]]*bargiri[[#This Row],[میزان بارگیری شده]]</f>
        <v>712600000</v>
      </c>
    </row>
    <row r="2878" spans="1:11" ht="18.600000000000001">
      <c r="A2878" s="360" t="s">
        <v>451</v>
      </c>
      <c r="B2878" s="360" t="s">
        <v>110</v>
      </c>
      <c r="C2878" s="355" t="s">
        <v>57</v>
      </c>
      <c r="D2878">
        <v>20105</v>
      </c>
      <c r="E2878" s="143">
        <v>78000</v>
      </c>
      <c r="F2878" s="117">
        <v>1403</v>
      </c>
      <c r="G2878" s="360" t="s">
        <v>303</v>
      </c>
      <c r="H2878" s="144">
        <f>bargiri[[#This Row],[میزان بارگیری شده]]*bargiri[[#This Row],[فی]]</f>
        <v>1568190000</v>
      </c>
      <c r="I2878" s="360">
        <f>IF(year=bargiri[[#This Row],[سال]],1,0)</f>
        <v>0</v>
      </c>
      <c r="J2878" s="360" t="str">
        <f>VLOOKUP(bargiri[[#This Row],[شماره پیش فاکتور]],invoice[],16,0)</f>
        <v>عادی</v>
      </c>
      <c r="K2878" s="252">
        <f>bargiri[[#This Row],[فی]]*bargiri[[#This Row],[میزان بارگیری شده]]</f>
        <v>1568190000</v>
      </c>
    </row>
    <row r="2879" spans="1:11" ht="18.600000000000001">
      <c r="A2879" s="360" t="s">
        <v>451</v>
      </c>
      <c r="B2879" s="360" t="s">
        <v>116</v>
      </c>
      <c r="C2879" s="355" t="s">
        <v>77</v>
      </c>
      <c r="D2879">
        <v>18960</v>
      </c>
      <c r="E2879" s="143">
        <v>68500</v>
      </c>
      <c r="F2879" s="117">
        <v>1403</v>
      </c>
      <c r="G2879" s="360" t="s">
        <v>303</v>
      </c>
      <c r="H2879" s="144">
        <f>bargiri[[#This Row],[میزان بارگیری شده]]*bargiri[[#This Row],[فی]]</f>
        <v>1298760000</v>
      </c>
      <c r="I2879" s="360">
        <f>IF(year=bargiri[[#This Row],[سال]],1,0)</f>
        <v>0</v>
      </c>
      <c r="J2879" s="360" t="str">
        <f>VLOOKUP(bargiri[[#This Row],[شماره پیش فاکتور]],invoice[],16,0)</f>
        <v>عادی</v>
      </c>
      <c r="K2879" s="252">
        <f>bargiri[[#This Row],[فی]]*bargiri[[#This Row],[میزان بارگیری شده]]</f>
        <v>1298760000</v>
      </c>
    </row>
    <row r="2880" spans="1:11" ht="18.600000000000001">
      <c r="A2880" s="360" t="s">
        <v>451</v>
      </c>
      <c r="B2880" s="360" t="s">
        <v>104</v>
      </c>
      <c r="C2880" s="355" t="s">
        <v>41</v>
      </c>
      <c r="D2880">
        <v>18065</v>
      </c>
      <c r="E2880" s="143">
        <v>85000</v>
      </c>
      <c r="F2880" s="117">
        <v>1403</v>
      </c>
      <c r="G2880" s="360" t="s">
        <v>303</v>
      </c>
      <c r="H2880" s="144">
        <f>bargiri[[#This Row],[میزان بارگیری شده]]*bargiri[[#This Row],[فی]]</f>
        <v>1535525000</v>
      </c>
      <c r="I2880" s="360">
        <f>IF(year=bargiri[[#This Row],[سال]],1,0)</f>
        <v>0</v>
      </c>
      <c r="J2880" s="360" t="str">
        <f>VLOOKUP(bargiri[[#This Row],[شماره پیش فاکتور]],invoice[],16,0)</f>
        <v>عادی</v>
      </c>
      <c r="K2880" s="252">
        <f>bargiri[[#This Row],[فی]]*bargiri[[#This Row],[میزان بارگیری شده]]</f>
        <v>1535525000</v>
      </c>
    </row>
    <row r="2881" spans="1:11" ht="18.600000000000001">
      <c r="A2881" s="360" t="s">
        <v>451</v>
      </c>
      <c r="B2881" s="360" t="s">
        <v>118</v>
      </c>
      <c r="C2881" s="355" t="s">
        <v>85</v>
      </c>
      <c r="D2881">
        <v>19995</v>
      </c>
      <c r="E2881" s="143">
        <v>56881</v>
      </c>
      <c r="F2881" s="117">
        <v>1403</v>
      </c>
      <c r="G2881" s="360" t="s">
        <v>303</v>
      </c>
      <c r="H2881" s="144">
        <f>bargiri[[#This Row],[میزان بارگیری شده]]*bargiri[[#This Row],[فی]]</f>
        <v>1137335595</v>
      </c>
      <c r="I2881" s="360">
        <f>IF(year=bargiri[[#This Row],[سال]],1,0)</f>
        <v>0</v>
      </c>
      <c r="J2881" s="360" t="str">
        <f>VLOOKUP(bargiri[[#This Row],[شماره پیش فاکتور]],invoice[],16,0)</f>
        <v>عادی</v>
      </c>
      <c r="K2881" s="252">
        <f>bargiri[[#This Row],[فی]]*bargiri[[#This Row],[میزان بارگیری شده]]</f>
        <v>1137335595</v>
      </c>
    </row>
    <row r="2882" spans="1:11" ht="18.600000000000001">
      <c r="A2882" s="360" t="s">
        <v>451</v>
      </c>
      <c r="B2882" s="360" t="s">
        <v>118</v>
      </c>
      <c r="C2882" s="355" t="s">
        <v>85</v>
      </c>
      <c r="D2882">
        <v>20040</v>
      </c>
      <c r="E2882" s="143">
        <v>56881</v>
      </c>
      <c r="F2882" s="117">
        <v>1403</v>
      </c>
      <c r="G2882" s="360" t="s">
        <v>303</v>
      </c>
      <c r="H2882" s="144">
        <f>bargiri[[#This Row],[میزان بارگیری شده]]*bargiri[[#This Row],[فی]]</f>
        <v>1139895240</v>
      </c>
      <c r="I2882" s="360">
        <f>IF(year=bargiri[[#This Row],[سال]],1,0)</f>
        <v>0</v>
      </c>
      <c r="J2882" s="360" t="str">
        <f>VLOOKUP(bargiri[[#This Row],[شماره پیش فاکتور]],invoice[],16,0)</f>
        <v>عادی</v>
      </c>
      <c r="K2882" s="252">
        <f>bargiri[[#This Row],[فی]]*bargiri[[#This Row],[میزان بارگیری شده]]</f>
        <v>1139895240</v>
      </c>
    </row>
    <row r="2883" spans="1:11" ht="18.600000000000001">
      <c r="A2883" s="360" t="s">
        <v>451</v>
      </c>
      <c r="B2883" s="360" t="s">
        <v>118</v>
      </c>
      <c r="C2883" s="355" t="s">
        <v>85</v>
      </c>
      <c r="D2883">
        <v>20050</v>
      </c>
      <c r="E2883" s="143">
        <v>56881</v>
      </c>
      <c r="F2883" s="117">
        <v>1403</v>
      </c>
      <c r="G2883" s="360" t="s">
        <v>303</v>
      </c>
      <c r="H2883" s="144">
        <f>bargiri[[#This Row],[میزان بارگیری شده]]*bargiri[[#This Row],[فی]]</f>
        <v>1140464050</v>
      </c>
      <c r="I2883" s="360">
        <f>IF(year=bargiri[[#This Row],[سال]],1,0)</f>
        <v>0</v>
      </c>
      <c r="J2883" s="360" t="str">
        <f>VLOOKUP(bargiri[[#This Row],[شماره پیش فاکتور]],invoice[],16,0)</f>
        <v>عادی</v>
      </c>
      <c r="K2883" s="252">
        <f>bargiri[[#This Row],[فی]]*bargiri[[#This Row],[میزان بارگیری شده]]</f>
        <v>1140464050</v>
      </c>
    </row>
    <row r="2884" spans="1:11" ht="18.600000000000001">
      <c r="A2884" s="360" t="s">
        <v>451</v>
      </c>
      <c r="B2884" s="360" t="s">
        <v>118</v>
      </c>
      <c r="C2884" s="355" t="s">
        <v>85</v>
      </c>
      <c r="D2884">
        <v>19995</v>
      </c>
      <c r="E2884" s="143">
        <v>56881</v>
      </c>
      <c r="F2884" s="117">
        <v>1403</v>
      </c>
      <c r="G2884" s="360" t="s">
        <v>303</v>
      </c>
      <c r="H2884" s="144">
        <f>bargiri[[#This Row],[میزان بارگیری شده]]*bargiri[[#This Row],[فی]]</f>
        <v>1137335595</v>
      </c>
      <c r="I2884" s="360">
        <f>IF(year=bargiri[[#This Row],[سال]],1,0)</f>
        <v>0</v>
      </c>
      <c r="J2884" s="360" t="str">
        <f>VLOOKUP(bargiri[[#This Row],[شماره پیش فاکتور]],invoice[],16,0)</f>
        <v>عادی</v>
      </c>
      <c r="K2884" s="252">
        <f>bargiri[[#This Row],[فی]]*bargiri[[#This Row],[میزان بارگیری شده]]</f>
        <v>1137335595</v>
      </c>
    </row>
    <row r="2885" spans="1:11" ht="18.600000000000001">
      <c r="A2885" s="360" t="s">
        <v>465</v>
      </c>
      <c r="B2885" s="360" t="s">
        <v>115</v>
      </c>
      <c r="C2885" s="355" t="s">
        <v>65</v>
      </c>
      <c r="D2885">
        <v>20590</v>
      </c>
      <c r="E2885" s="143">
        <v>75000</v>
      </c>
      <c r="F2885" s="117">
        <v>1403</v>
      </c>
      <c r="G2885" s="360" t="s">
        <v>303</v>
      </c>
      <c r="H2885" s="144">
        <f>bargiri[[#This Row],[میزان بارگیری شده]]*bargiri[[#This Row],[فی]]</f>
        <v>1544250000</v>
      </c>
      <c r="I2885" s="360">
        <f>IF(year=bargiri[[#This Row],[سال]],1,0)</f>
        <v>0</v>
      </c>
      <c r="J2885" s="360" t="str">
        <f>VLOOKUP(bargiri[[#This Row],[شماره پیش فاکتور]],invoice[],16,0)</f>
        <v>عادی</v>
      </c>
      <c r="K2885" s="252">
        <f>bargiri[[#This Row],[فی]]*bargiri[[#This Row],[میزان بارگیری شده]]</f>
        <v>1544250000</v>
      </c>
    </row>
    <row r="2886" spans="1:11" ht="18.600000000000001">
      <c r="A2886" s="360" t="s">
        <v>465</v>
      </c>
      <c r="B2886" s="360" t="s">
        <v>98</v>
      </c>
      <c r="C2886" s="355" t="s">
        <v>11</v>
      </c>
      <c r="D2886">
        <v>20390</v>
      </c>
      <c r="E2886" s="143">
        <v>77000</v>
      </c>
      <c r="F2886" s="117">
        <v>1403</v>
      </c>
      <c r="G2886" s="360" t="s">
        <v>303</v>
      </c>
      <c r="H2886" s="144">
        <f>bargiri[[#This Row],[میزان بارگیری شده]]*bargiri[[#This Row],[فی]]</f>
        <v>1570030000</v>
      </c>
      <c r="I2886" s="360">
        <f>IF(year=bargiri[[#This Row],[سال]],1,0)</f>
        <v>0</v>
      </c>
      <c r="J2886" s="360" t="str">
        <f>VLOOKUP(bargiri[[#This Row],[شماره پیش فاکتور]],invoice[],16,0)</f>
        <v>عادی</v>
      </c>
      <c r="K2886" s="252">
        <f>bargiri[[#This Row],[فی]]*bargiri[[#This Row],[میزان بارگیری شده]]</f>
        <v>1570030000</v>
      </c>
    </row>
    <row r="2887" spans="1:11" ht="18.600000000000001">
      <c r="A2887" s="360" t="s">
        <v>465</v>
      </c>
      <c r="B2887" s="360" t="s">
        <v>116</v>
      </c>
      <c r="C2887" s="355" t="s">
        <v>77</v>
      </c>
      <c r="D2887">
        <v>19130</v>
      </c>
      <c r="E2887" s="143">
        <v>68500</v>
      </c>
      <c r="F2887" s="117">
        <v>1403</v>
      </c>
      <c r="G2887" s="360" t="s">
        <v>303</v>
      </c>
      <c r="H2887" s="144">
        <f>bargiri[[#This Row],[میزان بارگیری شده]]*bargiri[[#This Row],[فی]]</f>
        <v>1310405000</v>
      </c>
      <c r="I2887" s="360">
        <f>IF(year=bargiri[[#This Row],[سال]],1,0)</f>
        <v>0</v>
      </c>
      <c r="J2887" s="360" t="str">
        <f>VLOOKUP(bargiri[[#This Row],[شماره پیش فاکتور]],invoice[],16,0)</f>
        <v>عادی</v>
      </c>
      <c r="K2887" s="252">
        <f>bargiri[[#This Row],[فی]]*bargiri[[#This Row],[میزان بارگیری شده]]</f>
        <v>1310405000</v>
      </c>
    </row>
    <row r="2888" spans="1:11" ht="18.600000000000001">
      <c r="A2888" s="360" t="s">
        <v>465</v>
      </c>
      <c r="B2888" s="360" t="s">
        <v>99</v>
      </c>
      <c r="C2888" s="355" t="s">
        <v>13</v>
      </c>
      <c r="D2888">
        <v>18050</v>
      </c>
      <c r="E2888" s="143">
        <v>65000</v>
      </c>
      <c r="F2888" s="117">
        <v>1403</v>
      </c>
      <c r="G2888" s="360" t="s">
        <v>303</v>
      </c>
      <c r="H2888" s="144">
        <f>bargiri[[#This Row],[میزان بارگیری شده]]*bargiri[[#This Row],[فی]]</f>
        <v>1173250000</v>
      </c>
      <c r="I2888" s="360">
        <f>IF(year=bargiri[[#This Row],[سال]],1,0)</f>
        <v>0</v>
      </c>
      <c r="J2888" s="360" t="str">
        <f>VLOOKUP(bargiri[[#This Row],[شماره پیش فاکتور]],invoice[],16,0)</f>
        <v>عادی</v>
      </c>
      <c r="K2888" s="252">
        <f>bargiri[[#This Row],[فی]]*bargiri[[#This Row],[میزان بارگیری شده]]</f>
        <v>1173250000</v>
      </c>
    </row>
    <row r="2889" spans="1:11" ht="18.600000000000001">
      <c r="A2889" s="360" t="s">
        <v>136</v>
      </c>
      <c r="B2889" s="360" t="s">
        <v>99</v>
      </c>
      <c r="C2889" s="355" t="s">
        <v>13</v>
      </c>
      <c r="D2889">
        <v>18380</v>
      </c>
      <c r="E2889" s="143">
        <v>65000</v>
      </c>
      <c r="F2889" s="117">
        <v>1403</v>
      </c>
      <c r="G2889" s="360" t="s">
        <v>303</v>
      </c>
      <c r="H2889" s="144">
        <f>bargiri[[#This Row],[میزان بارگیری شده]]*bargiri[[#This Row],[فی]]</f>
        <v>1194700000</v>
      </c>
      <c r="I2889" s="360">
        <f>IF(year=bargiri[[#This Row],[سال]],1,0)</f>
        <v>0</v>
      </c>
      <c r="J2889" s="360" t="str">
        <f>VLOOKUP(bargiri[[#This Row],[شماره پیش فاکتور]],invoice[],16,0)</f>
        <v>عادی</v>
      </c>
      <c r="K2889" s="252">
        <f>bargiri[[#This Row],[فی]]*bargiri[[#This Row],[میزان بارگیری شده]]</f>
        <v>1194700000</v>
      </c>
    </row>
    <row r="2890" spans="1:11" ht="18.600000000000001">
      <c r="A2890" s="360" t="s">
        <v>466</v>
      </c>
      <c r="B2890" s="360" t="s">
        <v>104</v>
      </c>
      <c r="C2890" s="355" t="s">
        <v>41</v>
      </c>
      <c r="D2890">
        <v>17060</v>
      </c>
      <c r="E2890" s="143">
        <v>85000</v>
      </c>
      <c r="F2890" s="117">
        <v>1403</v>
      </c>
      <c r="G2890" s="360" t="s">
        <v>303</v>
      </c>
      <c r="H2890" s="144">
        <f>bargiri[[#This Row],[میزان بارگیری شده]]*bargiri[[#This Row],[فی]]</f>
        <v>1450100000</v>
      </c>
      <c r="I2890" s="360">
        <f>IF(year=bargiri[[#This Row],[سال]],1,0)</f>
        <v>0</v>
      </c>
      <c r="J2890" s="360" t="str">
        <f>VLOOKUP(bargiri[[#This Row],[شماره پیش فاکتور]],invoice[],16,0)</f>
        <v>عادی</v>
      </c>
      <c r="K2890" s="252">
        <f>bargiri[[#This Row],[فی]]*bargiri[[#This Row],[میزان بارگیری شده]]</f>
        <v>1450100000</v>
      </c>
    </row>
    <row r="2891" spans="1:11" ht="18.600000000000001">
      <c r="A2891" s="360" t="s">
        <v>466</v>
      </c>
      <c r="B2891" s="360" t="s">
        <v>102</v>
      </c>
      <c r="C2891" s="355" t="s">
        <v>26</v>
      </c>
      <c r="D2891">
        <v>10080</v>
      </c>
      <c r="E2891" s="143">
        <v>70000</v>
      </c>
      <c r="F2891" s="117">
        <v>1403</v>
      </c>
      <c r="G2891" s="360" t="s">
        <v>303</v>
      </c>
      <c r="H2891" s="144">
        <f>bargiri[[#This Row],[میزان بارگیری شده]]*bargiri[[#This Row],[فی]]</f>
        <v>705600000</v>
      </c>
      <c r="I2891" s="360">
        <f>IF(year=bargiri[[#This Row],[سال]],1,0)</f>
        <v>0</v>
      </c>
      <c r="J2891" s="360" t="str">
        <f>VLOOKUP(bargiri[[#This Row],[شماره پیش فاکتور]],invoice[],16,0)</f>
        <v>عادی</v>
      </c>
      <c r="K2891" s="252">
        <f>bargiri[[#This Row],[فی]]*bargiri[[#This Row],[میزان بارگیری شده]]</f>
        <v>705600000</v>
      </c>
    </row>
    <row r="2892" spans="1:11" ht="18.600000000000001">
      <c r="A2892" s="360" t="s">
        <v>466</v>
      </c>
      <c r="B2892" s="360" t="s">
        <v>108</v>
      </c>
      <c r="C2892" s="355" t="s">
        <v>53</v>
      </c>
      <c r="D2892">
        <v>11910</v>
      </c>
      <c r="E2892" s="143">
        <v>70000</v>
      </c>
      <c r="F2892" s="117">
        <v>1403</v>
      </c>
      <c r="G2892" s="360" t="s">
        <v>303</v>
      </c>
      <c r="H2892" s="144">
        <f>bargiri[[#This Row],[میزان بارگیری شده]]*bargiri[[#This Row],[فی]]</f>
        <v>833700000</v>
      </c>
      <c r="I2892" s="360">
        <f>IF(year=bargiri[[#This Row],[سال]],1,0)</f>
        <v>0</v>
      </c>
      <c r="J2892" s="360" t="str">
        <f>VLOOKUP(bargiri[[#This Row],[شماره پیش فاکتور]],invoice[],16,0)</f>
        <v>عادی</v>
      </c>
      <c r="K2892" s="252">
        <f>bargiri[[#This Row],[فی]]*bargiri[[#This Row],[میزان بارگیری شده]]</f>
        <v>833700000</v>
      </c>
    </row>
    <row r="2893" spans="1:11" ht="18.600000000000001">
      <c r="A2893" s="360" t="s">
        <v>466</v>
      </c>
      <c r="B2893" s="360" t="s">
        <v>115</v>
      </c>
      <c r="C2893" s="355" t="s">
        <v>65</v>
      </c>
      <c r="D2893">
        <v>21250</v>
      </c>
      <c r="E2893" s="143">
        <v>75000</v>
      </c>
      <c r="F2893" s="117">
        <v>1403</v>
      </c>
      <c r="G2893" s="360" t="s">
        <v>303</v>
      </c>
      <c r="H2893" s="144">
        <f>bargiri[[#This Row],[میزان بارگیری شده]]*bargiri[[#This Row],[فی]]</f>
        <v>1593750000</v>
      </c>
      <c r="I2893" s="360">
        <f>IF(year=bargiri[[#This Row],[سال]],1,0)</f>
        <v>0</v>
      </c>
      <c r="J2893" s="360" t="str">
        <f>VLOOKUP(bargiri[[#This Row],[شماره پیش فاکتور]],invoice[],16,0)</f>
        <v>عادی</v>
      </c>
      <c r="K2893" s="252">
        <f>bargiri[[#This Row],[فی]]*bargiri[[#This Row],[میزان بارگیری شده]]</f>
        <v>1593750000</v>
      </c>
    </row>
    <row r="2894" spans="1:11" ht="18.600000000000001">
      <c r="A2894" s="360" t="s">
        <v>467</v>
      </c>
      <c r="B2894" s="360" t="s">
        <v>124</v>
      </c>
      <c r="C2894" s="355" t="s">
        <v>94</v>
      </c>
      <c r="D2894">
        <v>18180</v>
      </c>
      <c r="E2894" s="143">
        <v>70000</v>
      </c>
      <c r="F2894" s="117">
        <v>1403</v>
      </c>
      <c r="G2894" s="360" t="s">
        <v>303</v>
      </c>
      <c r="H2894" s="144">
        <f>bargiri[[#This Row],[میزان بارگیری شده]]*bargiri[[#This Row],[فی]]</f>
        <v>1272600000</v>
      </c>
      <c r="I2894" s="360">
        <f>IF(year=bargiri[[#This Row],[سال]],1,0)</f>
        <v>0</v>
      </c>
      <c r="J2894" s="360" t="str">
        <f>VLOOKUP(bargiri[[#This Row],[شماره پیش فاکتور]],invoice[],16,0)</f>
        <v>عادی</v>
      </c>
      <c r="K2894" s="252">
        <f>bargiri[[#This Row],[فی]]*bargiri[[#This Row],[میزان بارگیری شده]]</f>
        <v>1272600000</v>
      </c>
    </row>
    <row r="2895" spans="1:11" ht="18.600000000000001">
      <c r="A2895" s="360" t="s">
        <v>467</v>
      </c>
      <c r="B2895" s="360" t="s">
        <v>102</v>
      </c>
      <c r="C2895" s="355" t="s">
        <v>26</v>
      </c>
      <c r="D2895">
        <v>10140</v>
      </c>
      <c r="E2895" s="143">
        <v>70000</v>
      </c>
      <c r="F2895" s="117">
        <v>1403</v>
      </c>
      <c r="G2895" s="360" t="s">
        <v>303</v>
      </c>
      <c r="H2895" s="144">
        <f>bargiri[[#This Row],[میزان بارگیری شده]]*bargiri[[#This Row],[فی]]</f>
        <v>709800000</v>
      </c>
      <c r="I2895" s="360">
        <f>IF(year=bargiri[[#This Row],[سال]],1,0)</f>
        <v>0</v>
      </c>
      <c r="J2895" s="360" t="str">
        <f>VLOOKUP(bargiri[[#This Row],[شماره پیش فاکتور]],invoice[],16,0)</f>
        <v>عادی</v>
      </c>
      <c r="K2895" s="252">
        <f>bargiri[[#This Row],[فی]]*bargiri[[#This Row],[میزان بارگیری شده]]</f>
        <v>709800000</v>
      </c>
    </row>
    <row r="2896" spans="1:11" ht="18.600000000000001">
      <c r="A2896" s="360" t="s">
        <v>467</v>
      </c>
      <c r="B2896" s="360" t="s">
        <v>116</v>
      </c>
      <c r="C2896" s="355" t="s">
        <v>77</v>
      </c>
      <c r="D2896">
        <v>19720</v>
      </c>
      <c r="E2896" s="143">
        <v>68500</v>
      </c>
      <c r="F2896" s="117">
        <v>1403</v>
      </c>
      <c r="G2896" s="360" t="s">
        <v>303</v>
      </c>
      <c r="H2896" s="144">
        <f>bargiri[[#This Row],[میزان بارگیری شده]]*bargiri[[#This Row],[فی]]</f>
        <v>1350820000</v>
      </c>
      <c r="I2896" s="360">
        <f>IF(year=bargiri[[#This Row],[سال]],1,0)</f>
        <v>0</v>
      </c>
      <c r="J2896" s="360" t="str">
        <f>VLOOKUP(bargiri[[#This Row],[شماره پیش فاکتور]],invoice[],16,0)</f>
        <v>عادی</v>
      </c>
      <c r="K2896" s="252">
        <f>bargiri[[#This Row],[فی]]*bargiri[[#This Row],[میزان بارگیری شده]]</f>
        <v>1350820000</v>
      </c>
    </row>
    <row r="2897" spans="1:11" ht="18.600000000000001">
      <c r="A2897" s="360" t="s">
        <v>467</v>
      </c>
      <c r="B2897" s="360" t="s">
        <v>104</v>
      </c>
      <c r="C2897" s="355" t="s">
        <v>41</v>
      </c>
      <c r="D2897">
        <v>7870</v>
      </c>
      <c r="E2897" s="143">
        <v>85000</v>
      </c>
      <c r="F2897" s="117">
        <v>1403</v>
      </c>
      <c r="G2897" s="360" t="s">
        <v>303</v>
      </c>
      <c r="H2897" s="144">
        <f>bargiri[[#This Row],[میزان بارگیری شده]]*bargiri[[#This Row],[فی]]</f>
        <v>668950000</v>
      </c>
      <c r="I2897" s="360">
        <f>IF(year=bargiri[[#This Row],[سال]],1,0)</f>
        <v>0</v>
      </c>
      <c r="J2897" s="360" t="str">
        <f>VLOOKUP(bargiri[[#This Row],[شماره پیش فاکتور]],invoice[],16,0)</f>
        <v>عادی</v>
      </c>
      <c r="K2897" s="252">
        <f>bargiri[[#This Row],[فی]]*bargiri[[#This Row],[میزان بارگیری شده]]</f>
        <v>668950000</v>
      </c>
    </row>
    <row r="2898" spans="1:11" ht="18.600000000000001">
      <c r="A2898" s="360" t="s">
        <v>467</v>
      </c>
      <c r="B2898" s="360" t="s">
        <v>118</v>
      </c>
      <c r="C2898" s="355" t="s">
        <v>85</v>
      </c>
      <c r="D2898">
        <v>21060</v>
      </c>
      <c r="E2898" s="143">
        <v>56881</v>
      </c>
      <c r="F2898" s="117">
        <v>1403</v>
      </c>
      <c r="G2898" s="360" t="s">
        <v>303</v>
      </c>
      <c r="H2898" s="144">
        <f>bargiri[[#This Row],[میزان بارگیری شده]]*bargiri[[#This Row],[فی]]</f>
        <v>1197913860</v>
      </c>
      <c r="I2898" s="360">
        <f>IF(year=bargiri[[#This Row],[سال]],1,0)</f>
        <v>0</v>
      </c>
      <c r="J2898" s="360" t="str">
        <f>VLOOKUP(bargiri[[#This Row],[شماره پیش فاکتور]],invoice[],16,0)</f>
        <v>عادی</v>
      </c>
      <c r="K2898" s="252">
        <f>bargiri[[#This Row],[فی]]*bargiri[[#This Row],[میزان بارگیری شده]]</f>
        <v>1197913860</v>
      </c>
    </row>
    <row r="2899" spans="1:11" ht="18.600000000000001">
      <c r="A2899" s="360" t="s">
        <v>467</v>
      </c>
      <c r="B2899" s="360" t="s">
        <v>118</v>
      </c>
      <c r="C2899" s="355" t="s">
        <v>85</v>
      </c>
      <c r="D2899">
        <v>20350</v>
      </c>
      <c r="E2899" s="143">
        <v>56881</v>
      </c>
      <c r="F2899" s="117">
        <v>1403</v>
      </c>
      <c r="G2899" s="360" t="s">
        <v>303</v>
      </c>
      <c r="H2899" s="144">
        <f>bargiri[[#This Row],[میزان بارگیری شده]]*bargiri[[#This Row],[فی]]</f>
        <v>1157528350</v>
      </c>
      <c r="I2899" s="360">
        <f>IF(year=bargiri[[#This Row],[سال]],1,0)</f>
        <v>0</v>
      </c>
      <c r="J2899" s="360" t="str">
        <f>VLOOKUP(bargiri[[#This Row],[شماره پیش فاکتور]],invoice[],16,0)</f>
        <v>عادی</v>
      </c>
      <c r="K2899" s="252">
        <f>bargiri[[#This Row],[فی]]*bargiri[[#This Row],[میزان بارگیری شده]]</f>
        <v>1157528350</v>
      </c>
    </row>
    <row r="2900" spans="1:11" ht="18.600000000000001">
      <c r="A2900" s="360" t="s">
        <v>467</v>
      </c>
      <c r="B2900" s="360" t="s">
        <v>99</v>
      </c>
      <c r="C2900" s="355" t="s">
        <v>13</v>
      </c>
      <c r="D2900">
        <v>18400</v>
      </c>
      <c r="E2900" s="143">
        <v>65000</v>
      </c>
      <c r="F2900" s="117">
        <v>1403</v>
      </c>
      <c r="G2900" s="360" t="s">
        <v>303</v>
      </c>
      <c r="H2900" s="144">
        <f>bargiri[[#This Row],[میزان بارگیری شده]]*bargiri[[#This Row],[فی]]</f>
        <v>1196000000</v>
      </c>
      <c r="I2900" s="360">
        <f>IF(year=bargiri[[#This Row],[سال]],1,0)</f>
        <v>0</v>
      </c>
      <c r="J2900" s="360" t="str">
        <f>VLOOKUP(bargiri[[#This Row],[شماره پیش فاکتور]],invoice[],16,0)</f>
        <v>عادی</v>
      </c>
      <c r="K2900" s="252">
        <f>bargiri[[#This Row],[فی]]*bargiri[[#This Row],[میزان بارگیری شده]]</f>
        <v>1196000000</v>
      </c>
    </row>
    <row r="2901" spans="1:11" ht="18.600000000000001">
      <c r="A2901" s="360" t="s">
        <v>231</v>
      </c>
      <c r="B2901" s="360" t="s">
        <v>126</v>
      </c>
      <c r="C2901" s="355" t="s">
        <v>97</v>
      </c>
      <c r="D2901">
        <v>9720</v>
      </c>
      <c r="E2901" s="143">
        <v>110000</v>
      </c>
      <c r="F2901" s="117">
        <v>1403</v>
      </c>
      <c r="G2901" s="360" t="s">
        <v>303</v>
      </c>
      <c r="H2901" s="144">
        <f>bargiri[[#This Row],[میزان بارگیری شده]]*bargiri[[#This Row],[فی]]</f>
        <v>1069200000</v>
      </c>
      <c r="I2901" s="360">
        <f>IF(year=bargiri[[#This Row],[سال]],1,0)</f>
        <v>0</v>
      </c>
      <c r="J2901" s="360" t="str">
        <f>VLOOKUP(bargiri[[#This Row],[شماره پیش فاکتور]],invoice[],16,0)</f>
        <v>عادی</v>
      </c>
      <c r="K2901" s="252">
        <f>bargiri[[#This Row],[فی]]*bargiri[[#This Row],[میزان بارگیری شده]]</f>
        <v>1069200000</v>
      </c>
    </row>
    <row r="2902" spans="1:11" ht="18.600000000000001">
      <c r="A2902" s="360" t="s">
        <v>231</v>
      </c>
      <c r="B2902" s="360" t="s">
        <v>104</v>
      </c>
      <c r="C2902" s="355" t="s">
        <v>41</v>
      </c>
      <c r="D2902">
        <v>7070</v>
      </c>
      <c r="E2902" s="143">
        <v>85000</v>
      </c>
      <c r="F2902" s="117">
        <v>1403</v>
      </c>
      <c r="G2902" s="360" t="s">
        <v>303</v>
      </c>
      <c r="H2902" s="144">
        <f>bargiri[[#This Row],[میزان بارگیری شده]]*bargiri[[#This Row],[فی]]</f>
        <v>600950000</v>
      </c>
      <c r="I2902" s="360">
        <f>IF(year=bargiri[[#This Row],[سال]],1,0)</f>
        <v>0</v>
      </c>
      <c r="J2902" s="360" t="str">
        <f>VLOOKUP(bargiri[[#This Row],[شماره پیش فاکتور]],invoice[],16,0)</f>
        <v>عادی</v>
      </c>
      <c r="K2902" s="252">
        <f>bargiri[[#This Row],[فی]]*bargiri[[#This Row],[میزان بارگیری شده]]</f>
        <v>600950000</v>
      </c>
    </row>
    <row r="2903" spans="1:11" ht="18.600000000000001">
      <c r="A2903" s="360" t="s">
        <v>231</v>
      </c>
      <c r="B2903" s="360" t="s">
        <v>118</v>
      </c>
      <c r="C2903" s="355" t="s">
        <v>85</v>
      </c>
      <c r="D2903">
        <v>21020</v>
      </c>
      <c r="E2903" s="143">
        <v>56881</v>
      </c>
      <c r="F2903" s="117">
        <v>1403</v>
      </c>
      <c r="G2903" s="360" t="s">
        <v>303</v>
      </c>
      <c r="H2903" s="144">
        <f>bargiri[[#This Row],[میزان بارگیری شده]]*bargiri[[#This Row],[فی]]</f>
        <v>1195638620</v>
      </c>
      <c r="I2903" s="360">
        <f>IF(year=bargiri[[#This Row],[سال]],1,0)</f>
        <v>0</v>
      </c>
      <c r="J2903" s="360" t="str">
        <f>VLOOKUP(bargiri[[#This Row],[شماره پیش فاکتور]],invoice[],16,0)</f>
        <v>عادی</v>
      </c>
      <c r="K2903" s="252">
        <f>bargiri[[#This Row],[فی]]*bargiri[[#This Row],[میزان بارگیری شده]]</f>
        <v>1195638620</v>
      </c>
    </row>
    <row r="2904" spans="1:11" ht="18.600000000000001">
      <c r="A2904" s="360" t="s">
        <v>231</v>
      </c>
      <c r="B2904" s="360" t="s">
        <v>118</v>
      </c>
      <c r="C2904" s="355" t="s">
        <v>85</v>
      </c>
      <c r="D2904">
        <v>21160</v>
      </c>
      <c r="E2904" s="143">
        <v>56881</v>
      </c>
      <c r="F2904" s="117">
        <v>1403</v>
      </c>
      <c r="G2904" s="360" t="s">
        <v>303</v>
      </c>
      <c r="H2904" s="144">
        <f>bargiri[[#This Row],[میزان بارگیری شده]]*bargiri[[#This Row],[فی]]</f>
        <v>1203601960</v>
      </c>
      <c r="I2904" s="360">
        <f>IF(year=bargiri[[#This Row],[سال]],1,0)</f>
        <v>0</v>
      </c>
      <c r="J2904" s="360" t="str">
        <f>VLOOKUP(bargiri[[#This Row],[شماره پیش فاکتور]],invoice[],16,0)</f>
        <v>عادی</v>
      </c>
      <c r="K2904" s="252">
        <f>bargiri[[#This Row],[فی]]*bargiri[[#This Row],[میزان بارگیری شده]]</f>
        <v>1203601960</v>
      </c>
    </row>
    <row r="2905" spans="1:11" ht="18.600000000000001">
      <c r="A2905" s="360" t="s">
        <v>231</v>
      </c>
      <c r="B2905" s="360" t="s">
        <v>116</v>
      </c>
      <c r="C2905" s="355" t="s">
        <v>77</v>
      </c>
      <c r="D2905">
        <v>7920</v>
      </c>
      <c r="E2905" s="143">
        <v>68500</v>
      </c>
      <c r="F2905" s="117">
        <v>1403</v>
      </c>
      <c r="G2905" s="360" t="s">
        <v>303</v>
      </c>
      <c r="H2905" s="144">
        <f>bargiri[[#This Row],[میزان بارگیری شده]]*bargiri[[#This Row],[فی]]</f>
        <v>542520000</v>
      </c>
      <c r="I2905" s="360">
        <f>IF(year=bargiri[[#This Row],[سال]],1,0)</f>
        <v>0</v>
      </c>
      <c r="J2905" s="360" t="str">
        <f>VLOOKUP(bargiri[[#This Row],[شماره پیش فاکتور]],invoice[],16,0)</f>
        <v>عادی</v>
      </c>
      <c r="K2905" s="252">
        <f>bargiri[[#This Row],[فی]]*bargiri[[#This Row],[میزان بارگیری شده]]</f>
        <v>542520000</v>
      </c>
    </row>
    <row r="2906" spans="1:11" ht="18.600000000000001">
      <c r="A2906" s="360" t="s">
        <v>231</v>
      </c>
      <c r="B2906" s="360" t="s">
        <v>98</v>
      </c>
      <c r="C2906" s="355" t="s">
        <v>11</v>
      </c>
      <c r="D2906">
        <v>19860</v>
      </c>
      <c r="E2906" s="143">
        <v>77000</v>
      </c>
      <c r="F2906" s="117">
        <v>1403</v>
      </c>
      <c r="G2906" s="360" t="s">
        <v>303</v>
      </c>
      <c r="H2906" s="144">
        <f>bargiri[[#This Row],[میزان بارگیری شده]]*bargiri[[#This Row],[فی]]</f>
        <v>1529220000</v>
      </c>
      <c r="I2906" s="360">
        <f>IF(year=bargiri[[#This Row],[سال]],1,0)</f>
        <v>0</v>
      </c>
      <c r="J2906" s="360" t="str">
        <f>VLOOKUP(bargiri[[#This Row],[شماره پیش فاکتور]],invoice[],16,0)</f>
        <v>عادی</v>
      </c>
      <c r="K2906" s="252">
        <f>bargiri[[#This Row],[فی]]*bargiri[[#This Row],[میزان بارگیری شده]]</f>
        <v>1529220000</v>
      </c>
    </row>
    <row r="2907" spans="1:11" ht="18.600000000000001">
      <c r="A2907" s="360" t="s">
        <v>231</v>
      </c>
      <c r="B2907" s="360" t="s">
        <v>116</v>
      </c>
      <c r="C2907" s="355" t="s">
        <v>77</v>
      </c>
      <c r="D2907">
        <v>20980</v>
      </c>
      <c r="E2907" s="143">
        <v>68500</v>
      </c>
      <c r="F2907" s="117">
        <v>1403</v>
      </c>
      <c r="G2907" s="360" t="s">
        <v>303</v>
      </c>
      <c r="H2907" s="144">
        <f>bargiri[[#This Row],[میزان بارگیری شده]]*bargiri[[#This Row],[فی]]</f>
        <v>1437130000</v>
      </c>
      <c r="I2907" s="360">
        <f>IF(year=bargiri[[#This Row],[سال]],1,0)</f>
        <v>0</v>
      </c>
      <c r="J2907" s="360" t="str">
        <f>VLOOKUP(bargiri[[#This Row],[شماره پیش فاکتور]],invoice[],16,0)</f>
        <v>عادی</v>
      </c>
      <c r="K2907" s="252">
        <f>bargiri[[#This Row],[فی]]*bargiri[[#This Row],[میزان بارگیری شده]]</f>
        <v>1437130000</v>
      </c>
    </row>
    <row r="2908" spans="1:11" ht="18.600000000000001">
      <c r="A2908" s="360" t="s">
        <v>231</v>
      </c>
      <c r="B2908" s="360" t="s">
        <v>99</v>
      </c>
      <c r="C2908" s="355" t="s">
        <v>13</v>
      </c>
      <c r="D2908">
        <v>18160</v>
      </c>
      <c r="E2908" s="143">
        <v>65000</v>
      </c>
      <c r="F2908" s="117">
        <v>1403</v>
      </c>
      <c r="G2908" s="360" t="s">
        <v>303</v>
      </c>
      <c r="H2908" s="144">
        <f>bargiri[[#This Row],[میزان بارگیری شده]]*bargiri[[#This Row],[فی]]</f>
        <v>1180400000</v>
      </c>
      <c r="I2908" s="360">
        <f>IF(year=bargiri[[#This Row],[سال]],1,0)</f>
        <v>0</v>
      </c>
      <c r="J2908" s="360" t="str">
        <f>VLOOKUP(bargiri[[#This Row],[شماره پیش فاکتور]],invoice[],16,0)</f>
        <v>عادی</v>
      </c>
      <c r="K2908" s="252">
        <f>bargiri[[#This Row],[فی]]*bargiri[[#This Row],[میزان بارگیری شده]]</f>
        <v>1180400000</v>
      </c>
    </row>
    <row r="2909" spans="1:11" ht="18.600000000000001">
      <c r="A2909" s="360" t="s">
        <v>460</v>
      </c>
      <c r="B2909" s="360" t="s">
        <v>115</v>
      </c>
      <c r="C2909" s="355" t="s">
        <v>65</v>
      </c>
      <c r="D2909">
        <v>22660</v>
      </c>
      <c r="E2909" s="143">
        <v>75000</v>
      </c>
      <c r="F2909" s="117">
        <v>1403</v>
      </c>
      <c r="G2909" s="360" t="s">
        <v>303</v>
      </c>
      <c r="H2909" s="144">
        <f>bargiri[[#This Row],[میزان بارگیری شده]]*bargiri[[#This Row],[فی]]</f>
        <v>1699500000</v>
      </c>
      <c r="I2909" s="360">
        <f>IF(year=bargiri[[#This Row],[سال]],1,0)</f>
        <v>0</v>
      </c>
      <c r="J2909" s="360" t="str">
        <f>VLOOKUP(bargiri[[#This Row],[شماره پیش فاکتور]],invoice[],16,0)</f>
        <v>عادی</v>
      </c>
      <c r="K2909" s="252">
        <f>bargiri[[#This Row],[فی]]*bargiri[[#This Row],[میزان بارگیری شده]]</f>
        <v>1699500000</v>
      </c>
    </row>
    <row r="2910" spans="1:11" ht="18.600000000000001">
      <c r="A2910" s="360" t="s">
        <v>460</v>
      </c>
      <c r="B2910" s="360" t="s">
        <v>102</v>
      </c>
      <c r="C2910" s="355" t="s">
        <v>26</v>
      </c>
      <c r="D2910">
        <v>12680</v>
      </c>
      <c r="E2910" s="143">
        <v>70000</v>
      </c>
      <c r="F2910" s="117">
        <v>1403</v>
      </c>
      <c r="G2910" s="360" t="s">
        <v>303</v>
      </c>
      <c r="H2910" s="144">
        <f>bargiri[[#This Row],[میزان بارگیری شده]]*bargiri[[#This Row],[فی]]</f>
        <v>887600000</v>
      </c>
      <c r="I2910" s="360">
        <f>IF(year=bargiri[[#This Row],[سال]],1,0)</f>
        <v>0</v>
      </c>
      <c r="J2910" s="360" t="str">
        <f>VLOOKUP(bargiri[[#This Row],[شماره پیش فاکتور]],invoice[],16,0)</f>
        <v>عادی</v>
      </c>
      <c r="K2910" s="252">
        <f>bargiri[[#This Row],[فی]]*bargiri[[#This Row],[میزان بارگیری شده]]</f>
        <v>887600000</v>
      </c>
    </row>
    <row r="2911" spans="1:11" ht="18.600000000000001">
      <c r="A2911" s="360" t="s">
        <v>460</v>
      </c>
      <c r="B2911" s="360" t="s">
        <v>116</v>
      </c>
      <c r="C2911" s="355" t="s">
        <v>77</v>
      </c>
      <c r="D2911">
        <v>20840</v>
      </c>
      <c r="E2911" s="143">
        <v>68500</v>
      </c>
      <c r="F2911" s="117">
        <v>1403</v>
      </c>
      <c r="G2911" s="360" t="s">
        <v>303</v>
      </c>
      <c r="H2911" s="144">
        <f>bargiri[[#This Row],[میزان بارگیری شده]]*bargiri[[#This Row],[فی]]</f>
        <v>1427540000</v>
      </c>
      <c r="I2911" s="360">
        <f>IF(year=bargiri[[#This Row],[سال]],1,0)</f>
        <v>0</v>
      </c>
      <c r="J2911" s="360" t="str">
        <f>VLOOKUP(bargiri[[#This Row],[شماره پیش فاکتور]],invoice[],16,0)</f>
        <v>عادی</v>
      </c>
      <c r="K2911" s="252">
        <f>bargiri[[#This Row],[فی]]*bargiri[[#This Row],[میزان بارگیری شده]]</f>
        <v>1427540000</v>
      </c>
    </row>
    <row r="2912" spans="1:11" ht="18.600000000000001">
      <c r="A2912" s="360" t="s">
        <v>460</v>
      </c>
      <c r="B2912" s="360" t="s">
        <v>117</v>
      </c>
      <c r="C2912" s="355" t="s">
        <v>82</v>
      </c>
      <c r="D2912">
        <v>19100</v>
      </c>
      <c r="E2912" s="143">
        <v>70000</v>
      </c>
      <c r="F2912" s="117">
        <v>1403</v>
      </c>
      <c r="G2912" s="360" t="s">
        <v>303</v>
      </c>
      <c r="H2912" s="144">
        <f>bargiri[[#This Row],[میزان بارگیری شده]]*bargiri[[#This Row],[فی]]</f>
        <v>1337000000</v>
      </c>
      <c r="I2912" s="360">
        <f>IF(year=bargiri[[#This Row],[سال]],1,0)</f>
        <v>0</v>
      </c>
      <c r="J2912" s="360" t="str">
        <f>VLOOKUP(bargiri[[#This Row],[شماره پیش فاکتور]],invoice[],16,0)</f>
        <v>عادی</v>
      </c>
      <c r="K2912" s="252">
        <f>bargiri[[#This Row],[فی]]*bargiri[[#This Row],[میزان بارگیری شده]]</f>
        <v>1337000000</v>
      </c>
    </row>
    <row r="2913" spans="1:11" ht="18.600000000000001">
      <c r="A2913" s="360" t="s">
        <v>460</v>
      </c>
      <c r="B2913" s="360" t="s">
        <v>99</v>
      </c>
      <c r="C2913" s="355" t="s">
        <v>13</v>
      </c>
      <c r="D2913">
        <v>18450</v>
      </c>
      <c r="E2913" s="143">
        <v>65000</v>
      </c>
      <c r="F2913" s="117">
        <v>1403</v>
      </c>
      <c r="G2913" s="360" t="s">
        <v>303</v>
      </c>
      <c r="H2913" s="144">
        <f>bargiri[[#This Row],[میزان بارگیری شده]]*bargiri[[#This Row],[فی]]</f>
        <v>1199250000</v>
      </c>
      <c r="I2913" s="360">
        <f>IF(year=bargiri[[#This Row],[سال]],1,0)</f>
        <v>0</v>
      </c>
      <c r="J2913" s="360" t="str">
        <f>VLOOKUP(bargiri[[#This Row],[شماره پیش فاکتور]],invoice[],16,0)</f>
        <v>عادی</v>
      </c>
      <c r="K2913" s="252">
        <f>bargiri[[#This Row],[فی]]*bargiri[[#This Row],[میزان بارگیری شده]]</f>
        <v>1199250000</v>
      </c>
    </row>
    <row r="2914" spans="1:11" ht="18.600000000000001">
      <c r="A2914" s="360" t="s">
        <v>460</v>
      </c>
      <c r="B2914" s="360" t="s">
        <v>104</v>
      </c>
      <c r="C2914" s="355" t="s">
        <v>41</v>
      </c>
      <c r="D2914">
        <v>18670</v>
      </c>
      <c r="E2914" s="143">
        <v>85000</v>
      </c>
      <c r="F2914" s="117">
        <v>1403</v>
      </c>
      <c r="G2914" s="360" t="s">
        <v>303</v>
      </c>
      <c r="H2914" s="144">
        <f>bargiri[[#This Row],[میزان بارگیری شده]]*bargiri[[#This Row],[فی]]</f>
        <v>1586950000</v>
      </c>
      <c r="I2914" s="360">
        <f>IF(year=bargiri[[#This Row],[سال]],1,0)</f>
        <v>0</v>
      </c>
      <c r="J2914" s="360" t="str">
        <f>VLOOKUP(bargiri[[#This Row],[شماره پیش فاکتور]],invoice[],16,0)</f>
        <v>عادی</v>
      </c>
      <c r="K2914" s="252">
        <f>bargiri[[#This Row],[فی]]*bargiri[[#This Row],[میزان بارگیری شده]]</f>
        <v>1586950000</v>
      </c>
    </row>
    <row r="2915" spans="1:11" ht="18.600000000000001">
      <c r="A2915" s="360" t="s">
        <v>468</v>
      </c>
      <c r="B2915" s="360" t="s">
        <v>102</v>
      </c>
      <c r="C2915" s="355" t="s">
        <v>26</v>
      </c>
      <c r="D2915">
        <v>9810</v>
      </c>
      <c r="E2915" s="143">
        <v>70000</v>
      </c>
      <c r="F2915" s="117">
        <v>1403</v>
      </c>
      <c r="G2915" s="360" t="s">
        <v>303</v>
      </c>
      <c r="H2915" s="144">
        <f>bargiri[[#This Row],[میزان بارگیری شده]]*bargiri[[#This Row],[فی]]</f>
        <v>686700000</v>
      </c>
      <c r="I2915" s="360">
        <f>IF(year=bargiri[[#This Row],[سال]],1,0)</f>
        <v>0</v>
      </c>
      <c r="J2915" s="360" t="str">
        <f>VLOOKUP(bargiri[[#This Row],[شماره پیش فاکتور]],invoice[],16,0)</f>
        <v>عادی</v>
      </c>
      <c r="K2915" s="252">
        <f>bargiri[[#This Row],[فی]]*bargiri[[#This Row],[میزان بارگیری شده]]</f>
        <v>686700000</v>
      </c>
    </row>
    <row r="2916" spans="1:11" ht="18.600000000000001">
      <c r="A2916" s="360" t="s">
        <v>468</v>
      </c>
      <c r="B2916" s="360" t="s">
        <v>102</v>
      </c>
      <c r="C2916" s="355" t="s">
        <v>26</v>
      </c>
      <c r="D2916">
        <v>8290</v>
      </c>
      <c r="E2916" s="143">
        <v>70000</v>
      </c>
      <c r="F2916" s="117">
        <v>1403</v>
      </c>
      <c r="G2916" s="360" t="s">
        <v>303</v>
      </c>
      <c r="H2916" s="144">
        <f>bargiri[[#This Row],[میزان بارگیری شده]]*bargiri[[#This Row],[فی]]</f>
        <v>580300000</v>
      </c>
      <c r="I2916" s="360">
        <f>IF(year=bargiri[[#This Row],[سال]],1,0)</f>
        <v>0</v>
      </c>
      <c r="J2916" s="360" t="str">
        <f>VLOOKUP(bargiri[[#This Row],[شماره پیش فاکتور]],invoice[],16,0)</f>
        <v>عادی</v>
      </c>
      <c r="K2916" s="252">
        <f>bargiri[[#This Row],[فی]]*bargiri[[#This Row],[میزان بارگیری شده]]</f>
        <v>580300000</v>
      </c>
    </row>
    <row r="2917" spans="1:11" ht="18.600000000000001">
      <c r="A2917" s="360" t="s">
        <v>468</v>
      </c>
      <c r="B2917" s="360" t="s">
        <v>99</v>
      </c>
      <c r="C2917" s="355" t="s">
        <v>13</v>
      </c>
      <c r="D2917">
        <v>17700</v>
      </c>
      <c r="E2917" s="143">
        <v>65000</v>
      </c>
      <c r="F2917" s="117">
        <v>1403</v>
      </c>
      <c r="G2917" s="360" t="s">
        <v>303</v>
      </c>
      <c r="H2917" s="144">
        <f>bargiri[[#This Row],[میزان بارگیری شده]]*bargiri[[#This Row],[فی]]</f>
        <v>1150500000</v>
      </c>
      <c r="I2917" s="360">
        <f>IF(year=bargiri[[#This Row],[سال]],1,0)</f>
        <v>0</v>
      </c>
      <c r="J2917" s="360" t="str">
        <f>VLOOKUP(bargiri[[#This Row],[شماره پیش فاکتور]],invoice[],16,0)</f>
        <v>عادی</v>
      </c>
      <c r="K2917" s="252">
        <f>bargiri[[#This Row],[فی]]*bargiri[[#This Row],[میزان بارگیری شده]]</f>
        <v>1150500000</v>
      </c>
    </row>
    <row r="2918" spans="1:11" ht="18.600000000000001">
      <c r="A2918" s="360" t="s">
        <v>469</v>
      </c>
      <c r="B2918" s="360" t="s">
        <v>118</v>
      </c>
      <c r="C2918" s="355" t="s">
        <v>85</v>
      </c>
      <c r="D2918">
        <v>20120</v>
      </c>
      <c r="E2918" s="143">
        <v>56881</v>
      </c>
      <c r="F2918" s="117">
        <v>1403</v>
      </c>
      <c r="G2918" s="360" t="s">
        <v>303</v>
      </c>
      <c r="H2918" s="144">
        <f>bargiri[[#This Row],[میزان بارگیری شده]]*bargiri[[#This Row],[فی]]</f>
        <v>1144445720</v>
      </c>
      <c r="I2918" s="360">
        <f>IF(year=bargiri[[#This Row],[سال]],1,0)</f>
        <v>0</v>
      </c>
      <c r="J2918" s="360" t="str">
        <f>VLOOKUP(bargiri[[#This Row],[شماره پیش فاکتور]],invoice[],16,0)</f>
        <v>عادی</v>
      </c>
      <c r="K2918" s="252">
        <f>bargiri[[#This Row],[فی]]*bargiri[[#This Row],[میزان بارگیری شده]]</f>
        <v>1144445720</v>
      </c>
    </row>
    <row r="2919" spans="1:11" ht="18.600000000000001">
      <c r="A2919" s="360" t="s">
        <v>469</v>
      </c>
      <c r="B2919" s="360" t="s">
        <v>118</v>
      </c>
      <c r="C2919" s="355" t="s">
        <v>85</v>
      </c>
      <c r="D2919">
        <v>19810</v>
      </c>
      <c r="E2919" s="143">
        <v>56881</v>
      </c>
      <c r="F2919" s="117">
        <v>1403</v>
      </c>
      <c r="G2919" s="360" t="s">
        <v>303</v>
      </c>
      <c r="H2919" s="144">
        <f>bargiri[[#This Row],[میزان بارگیری شده]]*bargiri[[#This Row],[فی]]</f>
        <v>1126812610</v>
      </c>
      <c r="I2919" s="360">
        <f>IF(year=bargiri[[#This Row],[سال]],1,0)</f>
        <v>0</v>
      </c>
      <c r="J2919" s="360" t="str">
        <f>VLOOKUP(bargiri[[#This Row],[شماره پیش فاکتور]],invoice[],16,0)</f>
        <v>عادی</v>
      </c>
      <c r="K2919" s="252">
        <f>bargiri[[#This Row],[فی]]*bargiri[[#This Row],[میزان بارگیری شده]]</f>
        <v>1126812610</v>
      </c>
    </row>
    <row r="2920" spans="1:11" ht="18.600000000000001">
      <c r="A2920" s="360" t="s">
        <v>469</v>
      </c>
      <c r="B2920" s="360" t="s">
        <v>118</v>
      </c>
      <c r="C2920" s="355" t="s">
        <v>85</v>
      </c>
      <c r="D2920">
        <v>19870</v>
      </c>
      <c r="E2920" s="143">
        <v>56881</v>
      </c>
      <c r="F2920" s="117">
        <v>1403</v>
      </c>
      <c r="G2920" s="360" t="s">
        <v>303</v>
      </c>
      <c r="H2920" s="144">
        <f>bargiri[[#This Row],[میزان بارگیری شده]]*bargiri[[#This Row],[فی]]</f>
        <v>1130225470</v>
      </c>
      <c r="I2920" s="360">
        <f>IF(year=bargiri[[#This Row],[سال]],1,0)</f>
        <v>0</v>
      </c>
      <c r="J2920" s="360" t="str">
        <f>VLOOKUP(bargiri[[#This Row],[شماره پیش فاکتور]],invoice[],16,0)</f>
        <v>عادی</v>
      </c>
      <c r="K2920" s="252">
        <f>bargiri[[#This Row],[فی]]*bargiri[[#This Row],[میزان بارگیری شده]]</f>
        <v>1130225470</v>
      </c>
    </row>
    <row r="2921" spans="1:11" ht="18.600000000000001">
      <c r="A2921" s="360" t="s">
        <v>469</v>
      </c>
      <c r="B2921" s="360" t="s">
        <v>116</v>
      </c>
      <c r="C2921" s="355" t="s">
        <v>77</v>
      </c>
      <c r="D2921">
        <v>12120</v>
      </c>
      <c r="E2921" s="143">
        <v>68500</v>
      </c>
      <c r="F2921" s="117">
        <v>1403</v>
      </c>
      <c r="G2921" s="360" t="s">
        <v>303</v>
      </c>
      <c r="H2921" s="144">
        <f>bargiri[[#This Row],[میزان بارگیری شده]]*bargiri[[#This Row],[فی]]</f>
        <v>830220000</v>
      </c>
      <c r="I2921" s="360">
        <f>IF(year=bargiri[[#This Row],[سال]],1,0)</f>
        <v>0</v>
      </c>
      <c r="J2921" s="360" t="str">
        <f>VLOOKUP(bargiri[[#This Row],[شماره پیش فاکتور]],invoice[],16,0)</f>
        <v>عادی</v>
      </c>
      <c r="K2921" s="252">
        <f>bargiri[[#This Row],[فی]]*bargiri[[#This Row],[میزان بارگیری شده]]</f>
        <v>830220000</v>
      </c>
    </row>
    <row r="2922" spans="1:11" ht="18.600000000000001">
      <c r="A2922" s="360" t="s">
        <v>469</v>
      </c>
      <c r="B2922" s="360" t="s">
        <v>101</v>
      </c>
      <c r="C2922" s="355" t="s">
        <v>20</v>
      </c>
      <c r="D2922">
        <v>18160</v>
      </c>
      <c r="E2922" s="143">
        <v>68000</v>
      </c>
      <c r="F2922" s="117">
        <v>1403</v>
      </c>
      <c r="G2922" s="360" t="s">
        <v>303</v>
      </c>
      <c r="H2922" s="144">
        <f>bargiri[[#This Row],[میزان بارگیری شده]]*bargiri[[#This Row],[فی]]</f>
        <v>1234880000</v>
      </c>
      <c r="I2922" s="360">
        <f>IF(year=bargiri[[#This Row],[سال]],1,0)</f>
        <v>0</v>
      </c>
      <c r="J2922" s="360" t="str">
        <f>VLOOKUP(bargiri[[#This Row],[شماره پیش فاکتور]],invoice[],16,0)</f>
        <v>عادی</v>
      </c>
      <c r="K2922" s="252">
        <f>bargiri[[#This Row],[فی]]*bargiri[[#This Row],[میزان بارگیری شده]]</f>
        <v>1234880000</v>
      </c>
    </row>
    <row r="2923" spans="1:11" ht="18.600000000000001">
      <c r="A2923" s="360" t="s">
        <v>469</v>
      </c>
      <c r="B2923" s="360" t="s">
        <v>104</v>
      </c>
      <c r="C2923" s="355" t="s">
        <v>41</v>
      </c>
      <c r="D2923">
        <v>18070</v>
      </c>
      <c r="E2923" s="143">
        <v>85000</v>
      </c>
      <c r="F2923" s="117">
        <v>1403</v>
      </c>
      <c r="G2923" s="360" t="s">
        <v>303</v>
      </c>
      <c r="H2923" s="144">
        <f>bargiri[[#This Row],[میزان بارگیری شده]]*bargiri[[#This Row],[فی]]</f>
        <v>1535950000</v>
      </c>
      <c r="I2923" s="360">
        <f>IF(year=bargiri[[#This Row],[سال]],1,0)</f>
        <v>0</v>
      </c>
      <c r="J2923" s="360" t="str">
        <f>VLOOKUP(bargiri[[#This Row],[شماره پیش فاکتور]],invoice[],16,0)</f>
        <v>عادی</v>
      </c>
      <c r="K2923" s="252">
        <f>bargiri[[#This Row],[فی]]*bargiri[[#This Row],[میزان بارگیری شده]]</f>
        <v>1535950000</v>
      </c>
    </row>
    <row r="2924" spans="1:11" ht="18.600000000000001">
      <c r="A2924" s="360" t="s">
        <v>469</v>
      </c>
      <c r="B2924" s="360" t="s">
        <v>117</v>
      </c>
      <c r="C2924" s="355" t="s">
        <v>82</v>
      </c>
      <c r="D2924">
        <v>19970</v>
      </c>
      <c r="E2924" s="143">
        <v>70000</v>
      </c>
      <c r="F2924" s="117">
        <v>1403</v>
      </c>
      <c r="G2924" s="360" t="s">
        <v>303</v>
      </c>
      <c r="H2924" s="144">
        <f>bargiri[[#This Row],[میزان بارگیری شده]]*bargiri[[#This Row],[فی]]</f>
        <v>1397900000</v>
      </c>
      <c r="I2924" s="360">
        <f>IF(year=bargiri[[#This Row],[سال]],1,0)</f>
        <v>0</v>
      </c>
      <c r="J2924" s="360" t="str">
        <f>VLOOKUP(bargiri[[#This Row],[شماره پیش فاکتور]],invoice[],16,0)</f>
        <v>عادی</v>
      </c>
      <c r="K2924" s="252">
        <f>bargiri[[#This Row],[فی]]*bargiri[[#This Row],[میزان بارگیری شده]]</f>
        <v>1397900000</v>
      </c>
    </row>
    <row r="2925" spans="1:11" ht="18.600000000000001">
      <c r="A2925" s="360" t="s">
        <v>222</v>
      </c>
      <c r="B2925" s="360" t="s">
        <v>115</v>
      </c>
      <c r="C2925" s="355" t="s">
        <v>66</v>
      </c>
      <c r="D2925">
        <v>24080</v>
      </c>
      <c r="E2925" s="143">
        <v>45000</v>
      </c>
      <c r="F2925" s="117">
        <v>1403</v>
      </c>
      <c r="G2925" s="360" t="s">
        <v>305</v>
      </c>
      <c r="H2925" s="144">
        <f>bargiri[[#This Row],[میزان بارگیری شده]]*bargiri[[#This Row],[فی]]</f>
        <v>1083600000</v>
      </c>
      <c r="I2925" s="360">
        <f>IF(year=bargiri[[#This Row],[سال]],1,0)</f>
        <v>0</v>
      </c>
      <c r="J2925" s="360" t="str">
        <f>VLOOKUP(bargiri[[#This Row],[شماره پیش فاکتور]],invoice[],16,0)</f>
        <v>عادی</v>
      </c>
      <c r="K2925" s="252">
        <f>bargiri[[#This Row],[فی]]*bargiri[[#This Row],[میزان بارگیری شده]]</f>
        <v>1083600000</v>
      </c>
    </row>
    <row r="2926" spans="1:11" ht="18.600000000000001">
      <c r="A2926" s="360" t="s">
        <v>156</v>
      </c>
      <c r="B2926" s="360" t="s">
        <v>124</v>
      </c>
      <c r="C2926" s="355" t="s">
        <v>94</v>
      </c>
      <c r="D2926">
        <v>21100</v>
      </c>
      <c r="E2926" s="143">
        <v>70000</v>
      </c>
      <c r="F2926" s="117">
        <v>1403</v>
      </c>
      <c r="G2926" s="360" t="s">
        <v>304</v>
      </c>
      <c r="H2926" s="144">
        <f>bargiri[[#This Row],[میزان بارگیری شده]]*bargiri[[#This Row],[فی]]</f>
        <v>1477000000</v>
      </c>
      <c r="I2926" s="360">
        <f>IF(year=bargiri[[#This Row],[سال]],1,0)</f>
        <v>0</v>
      </c>
      <c r="J2926" s="360" t="str">
        <f>VLOOKUP(bargiri[[#This Row],[شماره پیش فاکتور]],invoice[],16,0)</f>
        <v>عادی</v>
      </c>
      <c r="K2926" s="252">
        <f>bargiri[[#This Row],[فی]]*bargiri[[#This Row],[میزان بارگیری شده]]</f>
        <v>1477000000</v>
      </c>
    </row>
    <row r="2927" spans="1:11" ht="18.600000000000001">
      <c r="A2927" s="360" t="s">
        <v>200</v>
      </c>
      <c r="B2927" s="360" t="s">
        <v>124</v>
      </c>
      <c r="C2927" s="355" t="s">
        <v>94</v>
      </c>
      <c r="D2927">
        <v>22080</v>
      </c>
      <c r="E2927" s="143">
        <v>70000</v>
      </c>
      <c r="F2927" s="117">
        <v>1403</v>
      </c>
      <c r="G2927" s="360" t="s">
        <v>311</v>
      </c>
      <c r="H2927" s="144">
        <f>bargiri[[#This Row],[میزان بارگیری شده]]*bargiri[[#This Row],[فی]]</f>
        <v>1545600000</v>
      </c>
      <c r="I2927" s="360">
        <f>IF(year=bargiri[[#This Row],[سال]],1,0)</f>
        <v>0</v>
      </c>
      <c r="J2927" s="360" t="str">
        <f>VLOOKUP(bargiri[[#This Row],[شماره پیش فاکتور]],invoice[],16,0)</f>
        <v>عادی</v>
      </c>
      <c r="K2927" s="252">
        <f>bargiri[[#This Row],[فی]]*bargiri[[#This Row],[میزان بارگیری شده]]</f>
        <v>1545600000</v>
      </c>
    </row>
    <row r="2928" spans="1:11" ht="18.600000000000001">
      <c r="A2928" s="360" t="s">
        <v>199</v>
      </c>
      <c r="B2928" s="360" t="s">
        <v>124</v>
      </c>
      <c r="C2928" s="355" t="s">
        <v>94</v>
      </c>
      <c r="D2928">
        <v>21950</v>
      </c>
      <c r="E2928" s="143">
        <v>70000</v>
      </c>
      <c r="F2928" s="117">
        <v>1403</v>
      </c>
      <c r="G2928" s="360" t="s">
        <v>304</v>
      </c>
      <c r="H2928" s="144">
        <f>bargiri[[#This Row],[میزان بارگیری شده]]*bargiri[[#This Row],[فی]]</f>
        <v>1536500000</v>
      </c>
      <c r="I2928" s="360">
        <f>IF(year=bargiri[[#This Row],[سال]],1,0)</f>
        <v>0</v>
      </c>
      <c r="J2928" s="360" t="str">
        <f>VLOOKUP(bargiri[[#This Row],[شماره پیش فاکتور]],invoice[],16,0)</f>
        <v>عادی</v>
      </c>
      <c r="K2928" s="252">
        <f>bargiri[[#This Row],[فی]]*bargiri[[#This Row],[میزان بارگیری شده]]</f>
        <v>1536500000</v>
      </c>
    </row>
    <row r="2929" spans="1:11" ht="18.600000000000001">
      <c r="A2929" s="360" t="s">
        <v>464</v>
      </c>
      <c r="B2929" s="360" t="s">
        <v>115</v>
      </c>
      <c r="C2929" s="355" t="s">
        <v>66</v>
      </c>
      <c r="D2929">
        <v>24050</v>
      </c>
      <c r="E2929" s="143">
        <v>45000</v>
      </c>
      <c r="F2929" s="117">
        <v>1403</v>
      </c>
      <c r="G2929" s="360" t="s">
        <v>304</v>
      </c>
      <c r="H2929" s="144">
        <f>bargiri[[#This Row],[میزان بارگیری شده]]*bargiri[[#This Row],[فی]]</f>
        <v>1082250000</v>
      </c>
      <c r="I2929" s="360">
        <f>IF(year=bargiri[[#This Row],[سال]],1,0)</f>
        <v>0</v>
      </c>
      <c r="J2929" s="360" t="str">
        <f>VLOOKUP(bargiri[[#This Row],[شماره پیش فاکتور]],invoice[],16,0)</f>
        <v>عادی</v>
      </c>
      <c r="K2929" s="252">
        <f>bargiri[[#This Row],[فی]]*bargiri[[#This Row],[میزان بارگیری شده]]</f>
        <v>1082250000</v>
      </c>
    </row>
    <row r="2930" spans="1:11" ht="18.600000000000001">
      <c r="A2930" s="360" t="s">
        <v>470</v>
      </c>
      <c r="B2930" s="360" t="s">
        <v>124</v>
      </c>
      <c r="C2930" s="355" t="s">
        <v>94</v>
      </c>
      <c r="D2930">
        <v>20130</v>
      </c>
      <c r="E2930" s="143">
        <v>70000</v>
      </c>
      <c r="F2930" s="117">
        <v>1403</v>
      </c>
      <c r="G2930" s="360" t="s">
        <v>303</v>
      </c>
      <c r="H2930" s="144">
        <f>bargiri[[#This Row],[میزان بارگیری شده]]*bargiri[[#This Row],[فی]]</f>
        <v>1409100000</v>
      </c>
      <c r="I2930" s="360">
        <f>IF(year=bargiri[[#This Row],[سال]],1,0)</f>
        <v>0</v>
      </c>
      <c r="J2930" s="360" t="str">
        <f>VLOOKUP(bargiri[[#This Row],[شماره پیش فاکتور]],invoice[],16,0)</f>
        <v>عادی</v>
      </c>
      <c r="K2930" s="252">
        <f>bargiri[[#This Row],[فی]]*bargiri[[#This Row],[میزان بارگیری شده]]</f>
        <v>1409100000</v>
      </c>
    </row>
    <row r="2931" spans="1:11" ht="18.600000000000001">
      <c r="A2931" s="360" t="s">
        <v>470</v>
      </c>
      <c r="B2931" s="360" t="s">
        <v>106</v>
      </c>
      <c r="C2931" s="355" t="s">
        <v>49</v>
      </c>
      <c r="D2931">
        <v>5410</v>
      </c>
      <c r="E2931" s="143">
        <v>50000</v>
      </c>
      <c r="F2931" s="117">
        <v>1403</v>
      </c>
      <c r="G2931" s="360" t="s">
        <v>303</v>
      </c>
      <c r="H2931" s="144">
        <f>bargiri[[#This Row],[میزان بارگیری شده]]*bargiri[[#This Row],[فی]]</f>
        <v>270500000</v>
      </c>
      <c r="I2931" s="360">
        <f>IF(year=bargiri[[#This Row],[سال]],1,0)</f>
        <v>0</v>
      </c>
      <c r="J2931" s="360" t="str">
        <f>VLOOKUP(bargiri[[#This Row],[شماره پیش فاکتور]],invoice[],16,0)</f>
        <v>عادی</v>
      </c>
      <c r="K2931" s="252">
        <f>bargiri[[#This Row],[فی]]*bargiri[[#This Row],[میزان بارگیری شده]]</f>
        <v>270500000</v>
      </c>
    </row>
    <row r="2932" spans="1:11" ht="18.600000000000001">
      <c r="A2932" s="360" t="s">
        <v>470</v>
      </c>
      <c r="B2932" s="360" t="s">
        <v>115</v>
      </c>
      <c r="C2932" s="355" t="s">
        <v>65</v>
      </c>
      <c r="D2932">
        <v>20180</v>
      </c>
      <c r="E2932" s="143">
        <v>75000</v>
      </c>
      <c r="F2932" s="117">
        <v>1403</v>
      </c>
      <c r="G2932" s="360" t="s">
        <v>303</v>
      </c>
      <c r="H2932" s="144">
        <f>bargiri[[#This Row],[میزان بارگیری شده]]*bargiri[[#This Row],[فی]]</f>
        <v>1513500000</v>
      </c>
      <c r="I2932" s="360">
        <f>IF(year=bargiri[[#This Row],[سال]],1,0)</f>
        <v>0</v>
      </c>
      <c r="J2932" s="360" t="str">
        <f>VLOOKUP(bargiri[[#This Row],[شماره پیش فاکتور]],invoice[],16,0)</f>
        <v>عادی</v>
      </c>
      <c r="K2932" s="252">
        <f>bargiri[[#This Row],[فی]]*bargiri[[#This Row],[میزان بارگیری شده]]</f>
        <v>1513500000</v>
      </c>
    </row>
    <row r="2933" spans="1:11" ht="18.600000000000001">
      <c r="A2933" s="360" t="s">
        <v>384</v>
      </c>
      <c r="B2933" s="360" t="s">
        <v>104</v>
      </c>
      <c r="C2933" s="355" t="s">
        <v>41</v>
      </c>
      <c r="D2933">
        <v>18290</v>
      </c>
      <c r="E2933" s="143">
        <v>85000</v>
      </c>
      <c r="F2933" s="117">
        <v>1403</v>
      </c>
      <c r="G2933" s="360" t="s">
        <v>304</v>
      </c>
      <c r="H2933" s="144">
        <f>bargiri[[#This Row],[میزان بارگیری شده]]*bargiri[[#This Row],[فی]]</f>
        <v>1554650000</v>
      </c>
      <c r="I2933" s="360">
        <f>IF(year=bargiri[[#This Row],[سال]],1,0)</f>
        <v>0</v>
      </c>
      <c r="J2933" s="360" t="str">
        <f>VLOOKUP(bargiri[[#This Row],[شماره پیش فاکتور]],invoice[],16,0)</f>
        <v>عادی</v>
      </c>
      <c r="K2933" s="252">
        <f>bargiri[[#This Row],[فی]]*bargiri[[#This Row],[میزان بارگیری شده]]</f>
        <v>1554650000</v>
      </c>
    </row>
    <row r="2934" spans="1:11" ht="18.600000000000001">
      <c r="A2934" s="360" t="s">
        <v>384</v>
      </c>
      <c r="B2934" s="360" t="s">
        <v>116</v>
      </c>
      <c r="C2934" s="355" t="s">
        <v>77</v>
      </c>
      <c r="D2934">
        <v>20960</v>
      </c>
      <c r="E2934" s="143">
        <v>68500</v>
      </c>
      <c r="F2934" s="117">
        <v>1403</v>
      </c>
      <c r="G2934" s="360" t="s">
        <v>304</v>
      </c>
      <c r="H2934" s="144">
        <f>bargiri[[#This Row],[میزان بارگیری شده]]*bargiri[[#This Row],[فی]]</f>
        <v>1435760000</v>
      </c>
      <c r="I2934" s="360">
        <f>IF(year=bargiri[[#This Row],[سال]],1,0)</f>
        <v>0</v>
      </c>
      <c r="J2934" s="360" t="str">
        <f>VLOOKUP(bargiri[[#This Row],[شماره پیش فاکتور]],invoice[],16,0)</f>
        <v>عادی</v>
      </c>
      <c r="K2934" s="252">
        <f>bargiri[[#This Row],[فی]]*bargiri[[#This Row],[میزان بارگیری شده]]</f>
        <v>1435760000</v>
      </c>
    </row>
    <row r="2935" spans="1:11" ht="18.600000000000001">
      <c r="A2935" s="360" t="s">
        <v>384</v>
      </c>
      <c r="B2935" s="360" t="s">
        <v>106</v>
      </c>
      <c r="C2935" s="355" t="s">
        <v>49</v>
      </c>
      <c r="D2935">
        <v>19080</v>
      </c>
      <c r="E2935" s="143">
        <v>50000</v>
      </c>
      <c r="F2935" s="117">
        <v>1403</v>
      </c>
      <c r="G2935" s="360" t="s">
        <v>304</v>
      </c>
      <c r="H2935" s="144">
        <f>bargiri[[#This Row],[میزان بارگیری شده]]*bargiri[[#This Row],[فی]]</f>
        <v>954000000</v>
      </c>
      <c r="I2935" s="360">
        <f>IF(year=bargiri[[#This Row],[سال]],1,0)</f>
        <v>0</v>
      </c>
      <c r="J2935" s="360" t="str">
        <f>VLOOKUP(bargiri[[#This Row],[شماره پیش فاکتور]],invoice[],16,0)</f>
        <v>عادی</v>
      </c>
      <c r="K2935" s="252">
        <f>bargiri[[#This Row],[فی]]*bargiri[[#This Row],[میزان بارگیری شده]]</f>
        <v>954000000</v>
      </c>
    </row>
    <row r="2936" spans="1:11" ht="18.600000000000001">
      <c r="A2936" s="360" t="s">
        <v>384</v>
      </c>
      <c r="B2936" s="360" t="s">
        <v>99</v>
      </c>
      <c r="C2936" s="355" t="s">
        <v>13</v>
      </c>
      <c r="D2936">
        <v>18510</v>
      </c>
      <c r="E2936" s="143">
        <v>65000</v>
      </c>
      <c r="F2936" s="117">
        <v>1403</v>
      </c>
      <c r="G2936" s="360" t="s">
        <v>304</v>
      </c>
      <c r="H2936" s="144">
        <f>bargiri[[#This Row],[میزان بارگیری شده]]*bargiri[[#This Row],[فی]]</f>
        <v>1203150000</v>
      </c>
      <c r="I2936" s="360">
        <f>IF(year=bargiri[[#This Row],[سال]],1,0)</f>
        <v>0</v>
      </c>
      <c r="J2936" s="360" t="str">
        <f>VLOOKUP(bargiri[[#This Row],[شماره پیش فاکتور]],invoice[],16,0)</f>
        <v>عادی</v>
      </c>
      <c r="K2936" s="252">
        <f>bargiri[[#This Row],[فی]]*bargiri[[#This Row],[میزان بارگیری شده]]</f>
        <v>1203150000</v>
      </c>
    </row>
    <row r="2937" spans="1:11" ht="18.600000000000001">
      <c r="A2937" s="360" t="s">
        <v>215</v>
      </c>
      <c r="B2937" s="360" t="s">
        <v>102</v>
      </c>
      <c r="C2937" s="355" t="s">
        <v>26</v>
      </c>
      <c r="D2937">
        <v>11900</v>
      </c>
      <c r="E2937" s="143">
        <v>70000</v>
      </c>
      <c r="F2937" s="117">
        <v>1403</v>
      </c>
      <c r="G2937" s="360" t="s">
        <v>304</v>
      </c>
      <c r="H2937" s="144">
        <f>bargiri[[#This Row],[میزان بارگیری شده]]*bargiri[[#This Row],[فی]]</f>
        <v>833000000</v>
      </c>
      <c r="I2937" s="360">
        <f>IF(year=bargiri[[#This Row],[سال]],1,0)</f>
        <v>0</v>
      </c>
      <c r="J2937" s="360" t="str">
        <f>VLOOKUP(bargiri[[#This Row],[شماره پیش فاکتور]],invoice[],16,0)</f>
        <v>عادی</v>
      </c>
      <c r="K2937" s="252">
        <f>bargiri[[#This Row],[فی]]*bargiri[[#This Row],[میزان بارگیری شده]]</f>
        <v>833000000</v>
      </c>
    </row>
    <row r="2938" spans="1:11" ht="18.600000000000001">
      <c r="A2938" s="360" t="s">
        <v>215</v>
      </c>
      <c r="B2938" s="360" t="s">
        <v>116</v>
      </c>
      <c r="C2938" s="355" t="s">
        <v>77</v>
      </c>
      <c r="D2938">
        <v>19930</v>
      </c>
      <c r="E2938" s="143">
        <v>68500</v>
      </c>
      <c r="F2938" s="117">
        <v>1403</v>
      </c>
      <c r="G2938" s="360" t="s">
        <v>304</v>
      </c>
      <c r="H2938" s="144">
        <f>bargiri[[#This Row],[میزان بارگیری شده]]*bargiri[[#This Row],[فی]]</f>
        <v>1365205000</v>
      </c>
      <c r="I2938" s="360">
        <f>IF(year=bargiri[[#This Row],[سال]],1,0)</f>
        <v>0</v>
      </c>
      <c r="J2938" s="360" t="str">
        <f>VLOOKUP(bargiri[[#This Row],[شماره پیش فاکتور]],invoice[],16,0)</f>
        <v>عادی</v>
      </c>
      <c r="K2938" s="252">
        <f>bargiri[[#This Row],[فی]]*bargiri[[#This Row],[میزان بارگیری شده]]</f>
        <v>1365205000</v>
      </c>
    </row>
    <row r="2939" spans="1:11" ht="18.600000000000001">
      <c r="A2939" s="360" t="s">
        <v>215</v>
      </c>
      <c r="B2939" s="360" t="s">
        <v>116</v>
      </c>
      <c r="C2939" s="355" t="s">
        <v>77</v>
      </c>
      <c r="D2939">
        <v>12100</v>
      </c>
      <c r="E2939" s="143">
        <v>68500</v>
      </c>
      <c r="F2939" s="117">
        <v>1403</v>
      </c>
      <c r="G2939" s="360" t="s">
        <v>304</v>
      </c>
      <c r="H2939" s="144">
        <f>bargiri[[#This Row],[میزان بارگیری شده]]*bargiri[[#This Row],[فی]]</f>
        <v>828850000</v>
      </c>
      <c r="I2939" s="360">
        <f>IF(year=bargiri[[#This Row],[سال]],1,0)</f>
        <v>0</v>
      </c>
      <c r="J2939" s="360" t="str">
        <f>VLOOKUP(bargiri[[#This Row],[شماره پیش فاکتور]],invoice[],16,0)</f>
        <v>عادی</v>
      </c>
      <c r="K2939" s="252">
        <f>bargiri[[#This Row],[فی]]*bargiri[[#This Row],[میزان بارگیری شده]]</f>
        <v>828850000</v>
      </c>
    </row>
    <row r="2940" spans="1:11" ht="18.600000000000001">
      <c r="A2940" s="360" t="s">
        <v>215</v>
      </c>
      <c r="B2940" s="360" t="s">
        <v>98</v>
      </c>
      <c r="C2940" s="355" t="s">
        <v>11</v>
      </c>
      <c r="D2940">
        <v>20250</v>
      </c>
      <c r="E2940" s="143">
        <v>77000</v>
      </c>
      <c r="F2940" s="117">
        <v>1403</v>
      </c>
      <c r="G2940" s="360" t="s">
        <v>304</v>
      </c>
      <c r="H2940" s="144">
        <f>bargiri[[#This Row],[میزان بارگیری شده]]*bargiri[[#This Row],[فی]]</f>
        <v>1559250000</v>
      </c>
      <c r="I2940" s="360">
        <f>IF(year=bargiri[[#This Row],[سال]],1,0)</f>
        <v>0</v>
      </c>
      <c r="J2940" s="360" t="str">
        <f>VLOOKUP(bargiri[[#This Row],[شماره پیش فاکتور]],invoice[],16,0)</f>
        <v>عادی</v>
      </c>
      <c r="K2940" s="252">
        <f>bargiri[[#This Row],[فی]]*bargiri[[#This Row],[میزان بارگیری شده]]</f>
        <v>1559250000</v>
      </c>
    </row>
    <row r="2941" spans="1:11" ht="18.600000000000001">
      <c r="A2941" s="360" t="s">
        <v>215</v>
      </c>
      <c r="B2941" s="360" t="s">
        <v>108</v>
      </c>
      <c r="C2941" s="355" t="s">
        <v>53</v>
      </c>
      <c r="D2941">
        <v>20070</v>
      </c>
      <c r="E2941" s="143">
        <v>70000</v>
      </c>
      <c r="F2941" s="117">
        <v>1403</v>
      </c>
      <c r="G2941" s="360" t="s">
        <v>304</v>
      </c>
      <c r="H2941" s="144">
        <f>bargiri[[#This Row],[میزان بارگیری شده]]*bargiri[[#This Row],[فی]]</f>
        <v>1404900000</v>
      </c>
      <c r="I2941" s="360">
        <f>IF(year=bargiri[[#This Row],[سال]],1,0)</f>
        <v>0</v>
      </c>
      <c r="J2941" s="360" t="str">
        <f>VLOOKUP(bargiri[[#This Row],[شماره پیش فاکتور]],invoice[],16,0)</f>
        <v>عادی</v>
      </c>
      <c r="K2941" s="252">
        <f>bargiri[[#This Row],[فی]]*bargiri[[#This Row],[میزان بارگیری شده]]</f>
        <v>1404900000</v>
      </c>
    </row>
    <row r="2942" spans="1:11" ht="18.600000000000001">
      <c r="A2942" s="360" t="s">
        <v>215</v>
      </c>
      <c r="B2942" s="360" t="s">
        <v>104</v>
      </c>
      <c r="C2942" s="355" t="s">
        <v>41</v>
      </c>
      <c r="D2942">
        <v>18120</v>
      </c>
      <c r="E2942" s="143">
        <v>85000</v>
      </c>
      <c r="F2942" s="117">
        <v>1403</v>
      </c>
      <c r="G2942" s="360" t="s">
        <v>304</v>
      </c>
      <c r="H2942" s="144">
        <f>bargiri[[#This Row],[میزان بارگیری شده]]*bargiri[[#This Row],[فی]]</f>
        <v>1540200000</v>
      </c>
      <c r="I2942" s="360">
        <f>IF(year=bargiri[[#This Row],[سال]],1,0)</f>
        <v>0</v>
      </c>
      <c r="J2942" s="360" t="str">
        <f>VLOOKUP(bargiri[[#This Row],[شماره پیش فاکتور]],invoice[],16,0)</f>
        <v>عادی</v>
      </c>
      <c r="K2942" s="252">
        <f>bargiri[[#This Row],[فی]]*bargiri[[#This Row],[میزان بارگیری شده]]</f>
        <v>1540200000</v>
      </c>
    </row>
    <row r="2943" spans="1:11" ht="18.600000000000001">
      <c r="A2943" s="360" t="s">
        <v>215</v>
      </c>
      <c r="B2943" s="360" t="s">
        <v>99</v>
      </c>
      <c r="C2943" s="355" t="s">
        <v>13</v>
      </c>
      <c r="D2943">
        <v>18540</v>
      </c>
      <c r="E2943" s="143">
        <v>65000</v>
      </c>
      <c r="F2943" s="117">
        <v>1403</v>
      </c>
      <c r="G2943" s="360" t="s">
        <v>304</v>
      </c>
      <c r="H2943" s="144">
        <f>bargiri[[#This Row],[میزان بارگیری شده]]*bargiri[[#This Row],[فی]]</f>
        <v>1205100000</v>
      </c>
      <c r="I2943" s="360">
        <f>IF(year=bargiri[[#This Row],[سال]],1,0)</f>
        <v>0</v>
      </c>
      <c r="J2943" s="360" t="str">
        <f>VLOOKUP(bargiri[[#This Row],[شماره پیش فاکتور]],invoice[],16,0)</f>
        <v>عادی</v>
      </c>
      <c r="K2943" s="252">
        <f>bargiri[[#This Row],[فی]]*bargiri[[#This Row],[میزان بارگیری شده]]</f>
        <v>1205100000</v>
      </c>
    </row>
    <row r="2944" spans="1:11" ht="18.600000000000001">
      <c r="A2944" s="360" t="s">
        <v>193</v>
      </c>
      <c r="B2944" s="360" t="s">
        <v>99</v>
      </c>
      <c r="C2944" s="355" t="s">
        <v>13</v>
      </c>
      <c r="D2944">
        <v>17730</v>
      </c>
      <c r="E2944" s="143">
        <v>65000</v>
      </c>
      <c r="F2944" s="117">
        <v>1403</v>
      </c>
      <c r="G2944" s="360" t="s">
        <v>304</v>
      </c>
      <c r="H2944" s="144">
        <f>bargiri[[#This Row],[میزان بارگیری شده]]*bargiri[[#This Row],[فی]]</f>
        <v>1152450000</v>
      </c>
      <c r="I2944" s="360">
        <f>IF(year=bargiri[[#This Row],[سال]],1,0)</f>
        <v>0</v>
      </c>
      <c r="J2944" s="360" t="str">
        <f>VLOOKUP(bargiri[[#This Row],[شماره پیش فاکتور]],invoice[],16,0)</f>
        <v>عادی</v>
      </c>
      <c r="K2944" s="252">
        <f>bargiri[[#This Row],[فی]]*bargiri[[#This Row],[میزان بارگیری شده]]</f>
        <v>1152450000</v>
      </c>
    </row>
    <row r="2945" spans="1:11" ht="18.600000000000001">
      <c r="A2945" s="360" t="s">
        <v>193</v>
      </c>
      <c r="B2945" s="360" t="s">
        <v>116</v>
      </c>
      <c r="C2945" s="355" t="s">
        <v>77</v>
      </c>
      <c r="D2945">
        <v>21020</v>
      </c>
      <c r="E2945" s="143">
        <v>68500</v>
      </c>
      <c r="F2945" s="117">
        <v>1403</v>
      </c>
      <c r="G2945" s="360" t="s">
        <v>304</v>
      </c>
      <c r="H2945" s="144">
        <f>bargiri[[#This Row],[میزان بارگیری شده]]*bargiri[[#This Row],[فی]]</f>
        <v>1439870000</v>
      </c>
      <c r="I2945" s="360">
        <f>IF(year=bargiri[[#This Row],[سال]],1,0)</f>
        <v>0</v>
      </c>
      <c r="J2945" s="360" t="str">
        <f>VLOOKUP(bargiri[[#This Row],[شماره پیش فاکتور]],invoice[],16,0)</f>
        <v>عادی</v>
      </c>
      <c r="K2945" s="252">
        <f>bargiri[[#This Row],[فی]]*bargiri[[#This Row],[میزان بارگیری شده]]</f>
        <v>1439870000</v>
      </c>
    </row>
    <row r="2946" spans="1:11" ht="18.600000000000001">
      <c r="A2946" s="360" t="s">
        <v>193</v>
      </c>
      <c r="B2946" s="360" t="s">
        <v>116</v>
      </c>
      <c r="C2946" s="355" t="s">
        <v>77</v>
      </c>
      <c r="D2946">
        <v>11950</v>
      </c>
      <c r="E2946" s="143">
        <v>68500</v>
      </c>
      <c r="F2946" s="117">
        <v>1403</v>
      </c>
      <c r="G2946" s="360" t="s">
        <v>304</v>
      </c>
      <c r="H2946" s="144">
        <f>bargiri[[#This Row],[میزان بارگیری شده]]*bargiri[[#This Row],[فی]]</f>
        <v>818575000</v>
      </c>
      <c r="I2946" s="360">
        <f>IF(year=bargiri[[#This Row],[سال]],1,0)</f>
        <v>0</v>
      </c>
      <c r="J2946" s="360" t="str">
        <f>VLOOKUP(bargiri[[#This Row],[شماره پیش فاکتور]],invoice[],16,0)</f>
        <v>عادی</v>
      </c>
      <c r="K2946" s="252">
        <f>bargiri[[#This Row],[فی]]*bargiri[[#This Row],[میزان بارگیری شده]]</f>
        <v>818575000</v>
      </c>
    </row>
    <row r="2947" spans="1:11" ht="18.600000000000001">
      <c r="A2947" s="360" t="s">
        <v>193</v>
      </c>
      <c r="B2947" s="360" t="s">
        <v>106</v>
      </c>
      <c r="C2947" s="355" t="s">
        <v>49</v>
      </c>
      <c r="D2947">
        <v>20950</v>
      </c>
      <c r="E2947" s="143">
        <v>50000</v>
      </c>
      <c r="F2947" s="117">
        <v>1403</v>
      </c>
      <c r="G2947" s="360" t="s">
        <v>304</v>
      </c>
      <c r="H2947" s="144">
        <f>bargiri[[#This Row],[میزان بارگیری شده]]*bargiri[[#This Row],[فی]]</f>
        <v>1047500000</v>
      </c>
      <c r="I2947" s="360">
        <f>IF(year=bargiri[[#This Row],[سال]],1,0)</f>
        <v>0</v>
      </c>
      <c r="J2947" s="360" t="str">
        <f>VLOOKUP(bargiri[[#This Row],[شماره پیش فاکتور]],invoice[],16,0)</f>
        <v>عادی</v>
      </c>
      <c r="K2947" s="252">
        <f>bargiri[[#This Row],[فی]]*bargiri[[#This Row],[میزان بارگیری شده]]</f>
        <v>1047500000</v>
      </c>
    </row>
    <row r="2948" spans="1:11" ht="18.600000000000001">
      <c r="A2948" s="360" t="s">
        <v>193</v>
      </c>
      <c r="B2948" s="360" t="s">
        <v>104</v>
      </c>
      <c r="C2948" s="355" t="s">
        <v>41</v>
      </c>
      <c r="D2948">
        <v>7990</v>
      </c>
      <c r="E2948" s="143">
        <v>85000</v>
      </c>
      <c r="F2948" s="117">
        <v>1403</v>
      </c>
      <c r="G2948" s="360" t="s">
        <v>304</v>
      </c>
      <c r="H2948" s="144">
        <f>bargiri[[#This Row],[میزان بارگیری شده]]*bargiri[[#This Row],[فی]]</f>
        <v>679150000</v>
      </c>
      <c r="I2948" s="360">
        <f>IF(year=bargiri[[#This Row],[سال]],1,0)</f>
        <v>0</v>
      </c>
      <c r="J2948" s="360" t="str">
        <f>VLOOKUP(bargiri[[#This Row],[شماره پیش فاکتور]],invoice[],16,0)</f>
        <v>عادی</v>
      </c>
      <c r="K2948" s="252">
        <f>bargiri[[#This Row],[فی]]*bargiri[[#This Row],[میزان بارگیری شده]]</f>
        <v>679150000</v>
      </c>
    </row>
    <row r="2949" spans="1:11" ht="18.600000000000001">
      <c r="A2949" s="360" t="s">
        <v>193</v>
      </c>
      <c r="B2949" s="360" t="s">
        <v>118</v>
      </c>
      <c r="C2949" s="355" t="s">
        <v>85</v>
      </c>
      <c r="D2949">
        <v>20950</v>
      </c>
      <c r="E2949" s="143">
        <v>56881</v>
      </c>
      <c r="F2949" s="117">
        <v>1403</v>
      </c>
      <c r="G2949" s="360" t="s">
        <v>304</v>
      </c>
      <c r="H2949" s="144">
        <f>bargiri[[#This Row],[میزان بارگیری شده]]*bargiri[[#This Row],[فی]]</f>
        <v>1191656950</v>
      </c>
      <c r="I2949" s="360">
        <f>IF(year=bargiri[[#This Row],[سال]],1,0)</f>
        <v>0</v>
      </c>
      <c r="J2949" s="360" t="str">
        <f>VLOOKUP(bargiri[[#This Row],[شماره پیش فاکتور]],invoice[],16,0)</f>
        <v>عادی</v>
      </c>
      <c r="K2949" s="252">
        <f>bargiri[[#This Row],[فی]]*bargiri[[#This Row],[میزان بارگیری شده]]</f>
        <v>1191656950</v>
      </c>
    </row>
    <row r="2950" spans="1:11" ht="18.600000000000001">
      <c r="A2950" s="360" t="s">
        <v>193</v>
      </c>
      <c r="B2950" s="360" t="s">
        <v>118</v>
      </c>
      <c r="C2950" s="355" t="s">
        <v>85</v>
      </c>
      <c r="D2950">
        <v>21310</v>
      </c>
      <c r="E2950" s="143">
        <v>56881</v>
      </c>
      <c r="F2950" s="117">
        <v>1403</v>
      </c>
      <c r="G2950" s="360" t="s">
        <v>304</v>
      </c>
      <c r="H2950" s="144">
        <f>bargiri[[#This Row],[میزان بارگیری شده]]*bargiri[[#This Row],[فی]]</f>
        <v>1212134110</v>
      </c>
      <c r="I2950" s="360">
        <f>IF(year=bargiri[[#This Row],[سال]],1,0)</f>
        <v>0</v>
      </c>
      <c r="J2950" s="360" t="str">
        <f>VLOOKUP(bargiri[[#This Row],[شماره پیش فاکتور]],invoice[],16,0)</f>
        <v>عادی</v>
      </c>
      <c r="K2950" s="252">
        <f>bargiri[[#This Row],[فی]]*bargiri[[#This Row],[میزان بارگیری شده]]</f>
        <v>1212134110</v>
      </c>
    </row>
    <row r="2951" spans="1:11" ht="18.600000000000001">
      <c r="A2951" s="360" t="s">
        <v>193</v>
      </c>
      <c r="B2951" s="360" t="s">
        <v>118</v>
      </c>
      <c r="C2951" s="355" t="s">
        <v>85</v>
      </c>
      <c r="D2951">
        <v>20910</v>
      </c>
      <c r="E2951" s="143">
        <v>56881</v>
      </c>
      <c r="F2951" s="117">
        <v>1403</v>
      </c>
      <c r="G2951" s="360" t="s">
        <v>304</v>
      </c>
      <c r="H2951" s="144">
        <f>bargiri[[#This Row],[میزان بارگیری شده]]*bargiri[[#This Row],[فی]]</f>
        <v>1189381710</v>
      </c>
      <c r="I2951" s="360">
        <f>IF(year=bargiri[[#This Row],[سال]],1,0)</f>
        <v>0</v>
      </c>
      <c r="J2951" s="360" t="str">
        <f>VLOOKUP(bargiri[[#This Row],[شماره پیش فاکتور]],invoice[],16,0)</f>
        <v>عادی</v>
      </c>
      <c r="K2951" s="252">
        <f>bargiri[[#This Row],[فی]]*bargiri[[#This Row],[میزان بارگیری شده]]</f>
        <v>1189381710</v>
      </c>
    </row>
    <row r="2952" spans="1:11" ht="18.600000000000001">
      <c r="A2952" s="360" t="s">
        <v>193</v>
      </c>
      <c r="B2952" s="360" t="s">
        <v>101</v>
      </c>
      <c r="C2952" s="355" t="s">
        <v>21</v>
      </c>
      <c r="D2952">
        <v>20330</v>
      </c>
      <c r="E2952" s="143">
        <v>68000</v>
      </c>
      <c r="F2952" s="117">
        <v>1403</v>
      </c>
      <c r="G2952" s="360" t="s">
        <v>304</v>
      </c>
      <c r="H2952" s="144">
        <f>bargiri[[#This Row],[میزان بارگیری شده]]*bargiri[[#This Row],[فی]]</f>
        <v>1382440000</v>
      </c>
      <c r="I2952" s="360">
        <f>IF(year=bargiri[[#This Row],[سال]],1,0)</f>
        <v>0</v>
      </c>
      <c r="J2952" s="360" t="str">
        <f>VLOOKUP(bargiri[[#This Row],[شماره پیش فاکتور]],invoice[],16,0)</f>
        <v>عادی</v>
      </c>
      <c r="K2952" s="252">
        <f>bargiri[[#This Row],[فی]]*bargiri[[#This Row],[میزان بارگیری شده]]</f>
        <v>1382440000</v>
      </c>
    </row>
    <row r="2953" spans="1:11" ht="18.600000000000001">
      <c r="A2953" s="360" t="s">
        <v>193</v>
      </c>
      <c r="B2953" s="360" t="s">
        <v>101</v>
      </c>
      <c r="C2953" s="355" t="s">
        <v>20</v>
      </c>
      <c r="D2953">
        <v>1890</v>
      </c>
      <c r="E2953" s="143">
        <v>68000</v>
      </c>
      <c r="F2953" s="117">
        <v>1403</v>
      </c>
      <c r="G2953" s="360" t="s">
        <v>304</v>
      </c>
      <c r="H2953" s="144">
        <f>bargiri[[#This Row],[میزان بارگیری شده]]*bargiri[[#This Row],[فی]]</f>
        <v>128520000</v>
      </c>
      <c r="I2953" s="360">
        <f>IF(year=bargiri[[#This Row],[سال]],1,0)</f>
        <v>0</v>
      </c>
      <c r="J2953" s="360" t="str">
        <f>VLOOKUP(bargiri[[#This Row],[شماره پیش فاکتور]],invoice[],16,0)</f>
        <v>عادی</v>
      </c>
      <c r="K2953" s="252">
        <f>bargiri[[#This Row],[فی]]*bargiri[[#This Row],[میزان بارگیری شده]]</f>
        <v>128520000</v>
      </c>
    </row>
    <row r="2954" spans="1:11" ht="18.600000000000001">
      <c r="A2954" s="360" t="s">
        <v>193</v>
      </c>
      <c r="B2954" s="360" t="s">
        <v>116</v>
      </c>
      <c r="C2954" s="355" t="s">
        <v>77</v>
      </c>
      <c r="D2954">
        <v>22140</v>
      </c>
      <c r="E2954" s="143">
        <v>68500</v>
      </c>
      <c r="F2954" s="117">
        <v>1403</v>
      </c>
      <c r="G2954" s="360" t="s">
        <v>304</v>
      </c>
      <c r="H2954" s="144">
        <f>bargiri[[#This Row],[میزان بارگیری شده]]*bargiri[[#This Row],[فی]]</f>
        <v>1516590000</v>
      </c>
      <c r="I2954" s="360">
        <f>IF(year=bargiri[[#This Row],[سال]],1,0)</f>
        <v>0</v>
      </c>
      <c r="J2954" s="360" t="str">
        <f>VLOOKUP(bargiri[[#This Row],[شماره پیش فاکتور]],invoice[],16,0)</f>
        <v>عادی</v>
      </c>
      <c r="K2954" s="252">
        <f>bargiri[[#This Row],[فی]]*bargiri[[#This Row],[میزان بارگیری شده]]</f>
        <v>1516590000</v>
      </c>
    </row>
    <row r="2955" spans="1:11" ht="18.600000000000001">
      <c r="A2955" s="360" t="s">
        <v>471</v>
      </c>
      <c r="B2955" s="360" t="s">
        <v>102</v>
      </c>
      <c r="C2955" s="355" t="s">
        <v>26</v>
      </c>
      <c r="D2955">
        <v>9100</v>
      </c>
      <c r="E2955" s="143">
        <v>70000</v>
      </c>
      <c r="F2955" s="117">
        <v>1403</v>
      </c>
      <c r="G2955" s="360" t="s">
        <v>304</v>
      </c>
      <c r="H2955" s="144">
        <f>bargiri[[#This Row],[میزان بارگیری شده]]*bargiri[[#This Row],[فی]]</f>
        <v>637000000</v>
      </c>
      <c r="I2955" s="360">
        <f>IF(year=bargiri[[#This Row],[سال]],1,0)</f>
        <v>0</v>
      </c>
      <c r="J2955" s="360" t="str">
        <f>VLOOKUP(bargiri[[#This Row],[شماره پیش فاکتور]],invoice[],16,0)</f>
        <v>عادی</v>
      </c>
      <c r="K2955" s="252">
        <f>bargiri[[#This Row],[فی]]*bargiri[[#This Row],[میزان بارگیری شده]]</f>
        <v>637000000</v>
      </c>
    </row>
    <row r="2956" spans="1:11" ht="18.600000000000001">
      <c r="A2956" s="360" t="s">
        <v>471</v>
      </c>
      <c r="B2956" s="360" t="s">
        <v>117</v>
      </c>
      <c r="C2956" s="355" t="s">
        <v>82</v>
      </c>
      <c r="D2956">
        <v>19960</v>
      </c>
      <c r="E2956" s="143">
        <v>70000</v>
      </c>
      <c r="F2956" s="117">
        <v>1403</v>
      </c>
      <c r="G2956" s="360" t="s">
        <v>304</v>
      </c>
      <c r="H2956" s="144">
        <f>bargiri[[#This Row],[میزان بارگیری شده]]*bargiri[[#This Row],[فی]]</f>
        <v>1397200000</v>
      </c>
      <c r="I2956" s="360">
        <f>IF(year=bargiri[[#This Row],[سال]],1,0)</f>
        <v>0</v>
      </c>
      <c r="J2956" s="360" t="str">
        <f>VLOOKUP(bargiri[[#This Row],[شماره پیش فاکتور]],invoice[],16,0)</f>
        <v>عادی</v>
      </c>
      <c r="K2956" s="252">
        <f>bargiri[[#This Row],[فی]]*bargiri[[#This Row],[میزان بارگیری شده]]</f>
        <v>1397200000</v>
      </c>
    </row>
    <row r="2957" spans="1:11" ht="18.600000000000001">
      <c r="A2957" s="360" t="s">
        <v>462</v>
      </c>
      <c r="B2957" s="360" t="s">
        <v>104</v>
      </c>
      <c r="C2957" s="355" t="s">
        <v>41</v>
      </c>
      <c r="D2957">
        <v>18180</v>
      </c>
      <c r="E2957" s="143">
        <v>85000</v>
      </c>
      <c r="F2957" s="117">
        <v>1403</v>
      </c>
      <c r="G2957" s="360" t="s">
        <v>304</v>
      </c>
      <c r="H2957" s="144">
        <f>bargiri[[#This Row],[میزان بارگیری شده]]*bargiri[[#This Row],[فی]]</f>
        <v>1545300000</v>
      </c>
      <c r="I2957" s="360">
        <f>IF(year=bargiri[[#This Row],[سال]],1,0)</f>
        <v>0</v>
      </c>
      <c r="J2957" s="360" t="str">
        <f>VLOOKUP(bargiri[[#This Row],[شماره پیش فاکتور]],invoice[],16,0)</f>
        <v>عادی</v>
      </c>
      <c r="K2957" s="252">
        <f>bargiri[[#This Row],[فی]]*bargiri[[#This Row],[میزان بارگیری شده]]</f>
        <v>1545300000</v>
      </c>
    </row>
    <row r="2958" spans="1:11" ht="18.600000000000001">
      <c r="A2958" s="360" t="s">
        <v>210</v>
      </c>
      <c r="B2958" s="360" t="s">
        <v>104</v>
      </c>
      <c r="C2958" s="355" t="s">
        <v>42</v>
      </c>
      <c r="D2958">
        <v>19890</v>
      </c>
      <c r="E2958" s="143">
        <v>75000</v>
      </c>
      <c r="F2958" s="117">
        <v>1403</v>
      </c>
      <c r="G2958" s="360" t="s">
        <v>304</v>
      </c>
      <c r="H2958" s="144">
        <f>bargiri[[#This Row],[میزان بارگیری شده]]*bargiri[[#This Row],[فی]]</f>
        <v>1491750000</v>
      </c>
      <c r="I2958" s="360">
        <f>IF(year=bargiri[[#This Row],[سال]],1,0)</f>
        <v>0</v>
      </c>
      <c r="J2958" s="360" t="str">
        <f>VLOOKUP(bargiri[[#This Row],[شماره پیش فاکتور]],invoice[],16,0)</f>
        <v>عادی</v>
      </c>
      <c r="K2958" s="252">
        <f>bargiri[[#This Row],[فی]]*bargiri[[#This Row],[میزان بارگیری شده]]</f>
        <v>1491750000</v>
      </c>
    </row>
    <row r="2959" spans="1:11" ht="18.600000000000001">
      <c r="A2959" s="360" t="s">
        <v>226</v>
      </c>
      <c r="B2959" s="360" t="s">
        <v>104</v>
      </c>
      <c r="C2959" s="355" t="s">
        <v>42</v>
      </c>
      <c r="D2959">
        <v>18130</v>
      </c>
      <c r="E2959" s="143">
        <v>75000</v>
      </c>
      <c r="F2959" s="117">
        <v>1403</v>
      </c>
      <c r="G2959" s="360" t="s">
        <v>304</v>
      </c>
      <c r="H2959" s="144">
        <f>bargiri[[#This Row],[میزان بارگیری شده]]*bargiri[[#This Row],[فی]]</f>
        <v>1359750000</v>
      </c>
      <c r="I2959" s="360">
        <f>IF(year=bargiri[[#This Row],[سال]],1,0)</f>
        <v>0</v>
      </c>
      <c r="J2959" s="360" t="str">
        <f>VLOOKUP(bargiri[[#This Row],[شماره پیش فاکتور]],invoice[],16,0)</f>
        <v>عادی</v>
      </c>
      <c r="K2959" s="252">
        <f>bargiri[[#This Row],[فی]]*bargiri[[#This Row],[میزان بارگیری شده]]</f>
        <v>1359750000</v>
      </c>
    </row>
    <row r="2960" spans="1:11" ht="18.600000000000001">
      <c r="A2960" s="360" t="s">
        <v>194</v>
      </c>
      <c r="B2960" s="360" t="s">
        <v>104</v>
      </c>
      <c r="C2960" s="355" t="s">
        <v>42</v>
      </c>
      <c r="D2960">
        <v>19580</v>
      </c>
      <c r="E2960" s="143">
        <v>75000</v>
      </c>
      <c r="F2960" s="117">
        <v>1403</v>
      </c>
      <c r="G2960" s="360" t="s">
        <v>304</v>
      </c>
      <c r="H2960" s="144">
        <f>bargiri[[#This Row],[میزان بارگیری شده]]*bargiri[[#This Row],[فی]]</f>
        <v>1468500000</v>
      </c>
      <c r="I2960" s="360">
        <f>IF(year=bargiri[[#This Row],[سال]],1,0)</f>
        <v>0</v>
      </c>
      <c r="J2960" s="360" t="str">
        <f>VLOOKUP(bargiri[[#This Row],[شماره پیش فاکتور]],invoice[],16,0)</f>
        <v>عادی</v>
      </c>
      <c r="K2960" s="252">
        <f>bargiri[[#This Row],[فی]]*bargiri[[#This Row],[میزان بارگیری شده]]</f>
        <v>1468500000</v>
      </c>
    </row>
    <row r="2961" spans="1:11" ht="18.600000000000001">
      <c r="A2961" s="360" t="s">
        <v>199</v>
      </c>
      <c r="B2961" s="360" t="s">
        <v>104</v>
      </c>
      <c r="C2961" s="355" t="s">
        <v>42</v>
      </c>
      <c r="D2961">
        <v>18260</v>
      </c>
      <c r="E2961" s="143">
        <v>75000</v>
      </c>
      <c r="F2961" s="117">
        <v>1403</v>
      </c>
      <c r="G2961" s="360" t="s">
        <v>304</v>
      </c>
      <c r="H2961" s="144">
        <f>bargiri[[#This Row],[میزان بارگیری شده]]*bargiri[[#This Row],[فی]]</f>
        <v>1369500000</v>
      </c>
      <c r="I2961" s="360">
        <f>IF(year=bargiri[[#This Row],[سال]],1,0)</f>
        <v>0</v>
      </c>
      <c r="J2961" s="360" t="str">
        <f>VLOOKUP(bargiri[[#This Row],[شماره پیش فاکتور]],invoice[],16,0)</f>
        <v>عادی</v>
      </c>
      <c r="K2961" s="252">
        <f>bargiri[[#This Row],[فی]]*bargiri[[#This Row],[میزان بارگیری شده]]</f>
        <v>1369500000</v>
      </c>
    </row>
    <row r="2962" spans="1:11" ht="18.600000000000001">
      <c r="A2962" s="360" t="s">
        <v>202</v>
      </c>
      <c r="B2962" s="360" t="s">
        <v>104</v>
      </c>
      <c r="C2962" s="355" t="s">
        <v>42</v>
      </c>
      <c r="D2962">
        <v>18230</v>
      </c>
      <c r="E2962" s="143">
        <v>75000</v>
      </c>
      <c r="F2962" s="117">
        <v>1403</v>
      </c>
      <c r="G2962" s="360" t="s">
        <v>304</v>
      </c>
      <c r="H2962" s="144">
        <f>bargiri[[#This Row],[میزان بارگیری شده]]*bargiri[[#This Row],[فی]]</f>
        <v>1367250000</v>
      </c>
      <c r="I2962" s="360">
        <f>IF(year=bargiri[[#This Row],[سال]],1,0)</f>
        <v>0</v>
      </c>
      <c r="J2962" s="360" t="str">
        <f>VLOOKUP(bargiri[[#This Row],[شماره پیش فاکتور]],invoice[],16,0)</f>
        <v>عادی</v>
      </c>
      <c r="K2962" s="252">
        <f>bargiri[[#This Row],[فی]]*bargiri[[#This Row],[میزان بارگیری شده]]</f>
        <v>1367250000</v>
      </c>
    </row>
    <row r="2963" spans="1:11" ht="18.600000000000001">
      <c r="A2963" s="360" t="s">
        <v>471</v>
      </c>
      <c r="B2963" s="360" t="s">
        <v>124</v>
      </c>
      <c r="C2963" s="355" t="s">
        <v>94</v>
      </c>
      <c r="D2963">
        <v>21210</v>
      </c>
      <c r="E2963" s="143">
        <v>70000</v>
      </c>
      <c r="F2963" s="117">
        <v>1403</v>
      </c>
      <c r="G2963" s="360" t="s">
        <v>304</v>
      </c>
      <c r="H2963" s="144">
        <f>bargiri[[#This Row],[میزان بارگیری شده]]*bargiri[[#This Row],[فی]]</f>
        <v>1484700000</v>
      </c>
      <c r="I2963" s="360">
        <f>IF(year=bargiri[[#This Row],[سال]],1,0)</f>
        <v>0</v>
      </c>
      <c r="J2963" s="360" t="str">
        <f>VLOOKUP(bargiri[[#This Row],[شماره پیش فاکتور]],invoice[],16,0)</f>
        <v>عادی</v>
      </c>
      <c r="K2963" s="252">
        <f>bargiri[[#This Row],[فی]]*bargiri[[#This Row],[میزان بارگیری شده]]</f>
        <v>1484700000</v>
      </c>
    </row>
    <row r="2964" spans="1:11" ht="18.600000000000001">
      <c r="A2964" s="360" t="s">
        <v>471</v>
      </c>
      <c r="B2964" s="360" t="s">
        <v>116</v>
      </c>
      <c r="C2964" s="355" t="s">
        <v>77</v>
      </c>
      <c r="D2964">
        <v>21350</v>
      </c>
      <c r="E2964" s="143">
        <v>68500</v>
      </c>
      <c r="F2964" s="117">
        <v>1403</v>
      </c>
      <c r="G2964" s="360" t="s">
        <v>304</v>
      </c>
      <c r="H2964" s="144">
        <f>bargiri[[#This Row],[میزان بارگیری شده]]*bargiri[[#This Row],[فی]]</f>
        <v>1462475000</v>
      </c>
      <c r="I2964" s="360">
        <f>IF(year=bargiri[[#This Row],[سال]],1,0)</f>
        <v>0</v>
      </c>
      <c r="J2964" s="360" t="str">
        <f>VLOOKUP(bargiri[[#This Row],[شماره پیش فاکتور]],invoice[],16,0)</f>
        <v>عادی</v>
      </c>
      <c r="K2964" s="252">
        <f>bargiri[[#This Row],[فی]]*bargiri[[#This Row],[میزان بارگیری شده]]</f>
        <v>1462475000</v>
      </c>
    </row>
    <row r="2965" spans="1:11" ht="18.600000000000001">
      <c r="A2965" s="360" t="s">
        <v>462</v>
      </c>
      <c r="B2965" s="360" t="s">
        <v>99</v>
      </c>
      <c r="C2965" s="355" t="s">
        <v>13</v>
      </c>
      <c r="D2965">
        <v>18650</v>
      </c>
      <c r="E2965" s="143">
        <v>65000</v>
      </c>
      <c r="F2965" s="117">
        <v>1403</v>
      </c>
      <c r="G2965" s="360" t="s">
        <v>304</v>
      </c>
      <c r="H2965" s="144">
        <f>bargiri[[#This Row],[میزان بارگیری شده]]*bargiri[[#This Row],[فی]]</f>
        <v>1212250000</v>
      </c>
      <c r="I2965" s="360">
        <f>IF(year=bargiri[[#This Row],[سال]],1,0)</f>
        <v>0</v>
      </c>
      <c r="J2965" s="360" t="str">
        <f>VLOOKUP(bargiri[[#This Row],[شماره پیش فاکتور]],invoice[],16,0)</f>
        <v>عادی</v>
      </c>
      <c r="K2965" s="252">
        <f>bargiri[[#This Row],[فی]]*bargiri[[#This Row],[میزان بارگیری شده]]</f>
        <v>1212250000</v>
      </c>
    </row>
    <row r="2966" spans="1:11" ht="18.600000000000001">
      <c r="A2966" s="360" t="s">
        <v>462</v>
      </c>
      <c r="B2966" s="360" t="s">
        <v>98</v>
      </c>
      <c r="C2966" s="355" t="s">
        <v>11</v>
      </c>
      <c r="D2966">
        <v>21290</v>
      </c>
      <c r="E2966" s="143">
        <v>77000</v>
      </c>
      <c r="F2966" s="117">
        <v>1403</v>
      </c>
      <c r="G2966" s="360" t="s">
        <v>304</v>
      </c>
      <c r="H2966" s="144">
        <f>bargiri[[#This Row],[میزان بارگیری شده]]*bargiri[[#This Row],[فی]]</f>
        <v>1639330000</v>
      </c>
      <c r="I2966" s="360">
        <f>IF(year=bargiri[[#This Row],[سال]],1,0)</f>
        <v>0</v>
      </c>
      <c r="J2966" s="360" t="str">
        <f>VLOOKUP(bargiri[[#This Row],[شماره پیش فاکتور]],invoice[],16,0)</f>
        <v>عادی</v>
      </c>
      <c r="K2966" s="252">
        <f>bargiri[[#This Row],[فی]]*bargiri[[#This Row],[میزان بارگیری شده]]</f>
        <v>1639330000</v>
      </c>
    </row>
    <row r="2967" spans="1:11" ht="18.600000000000001">
      <c r="A2967" s="360" t="s">
        <v>462</v>
      </c>
      <c r="B2967" s="360" t="s">
        <v>115</v>
      </c>
      <c r="C2967" s="355" t="s">
        <v>66</v>
      </c>
      <c r="D2967">
        <v>21000</v>
      </c>
      <c r="E2967" s="143">
        <v>45000</v>
      </c>
      <c r="F2967" s="117">
        <v>1403</v>
      </c>
      <c r="G2967" s="360" t="s">
        <v>304</v>
      </c>
      <c r="H2967" s="144">
        <f>bargiri[[#This Row],[میزان بارگیری شده]]*bargiri[[#This Row],[فی]]</f>
        <v>945000000</v>
      </c>
      <c r="I2967" s="360">
        <f>IF(year=bargiri[[#This Row],[سال]],1,0)</f>
        <v>0</v>
      </c>
      <c r="J2967" s="360" t="str">
        <f>VLOOKUP(bargiri[[#This Row],[شماره پیش فاکتور]],invoice[],16,0)</f>
        <v>عادی</v>
      </c>
      <c r="K2967" s="252">
        <f>bargiri[[#This Row],[فی]]*bargiri[[#This Row],[میزان بارگیری شده]]</f>
        <v>945000000</v>
      </c>
    </row>
    <row r="2968" spans="1:11" ht="18.600000000000001">
      <c r="A2968" s="360" t="s">
        <v>462</v>
      </c>
      <c r="B2968" s="360" t="s">
        <v>116</v>
      </c>
      <c r="C2968" s="355" t="s">
        <v>77</v>
      </c>
      <c r="D2968">
        <v>20400</v>
      </c>
      <c r="E2968" s="143">
        <v>68500</v>
      </c>
      <c r="F2968" s="117">
        <v>1403</v>
      </c>
      <c r="G2968" s="360" t="s">
        <v>304</v>
      </c>
      <c r="H2968" s="144">
        <f>bargiri[[#This Row],[میزان بارگیری شده]]*bargiri[[#This Row],[فی]]</f>
        <v>1397400000</v>
      </c>
      <c r="I2968" s="360">
        <f>IF(year=bargiri[[#This Row],[سال]],1,0)</f>
        <v>0</v>
      </c>
      <c r="J2968" s="360" t="str">
        <f>VLOOKUP(bargiri[[#This Row],[شماره پیش فاکتور]],invoice[],16,0)</f>
        <v>عادی</v>
      </c>
      <c r="K2968" s="252">
        <f>bargiri[[#This Row],[فی]]*bargiri[[#This Row],[میزان بارگیری شده]]</f>
        <v>1397400000</v>
      </c>
    </row>
    <row r="2969" spans="1:11" ht="18.600000000000001">
      <c r="A2969" s="360" t="s">
        <v>168</v>
      </c>
      <c r="B2969" s="360" t="s">
        <v>102</v>
      </c>
      <c r="C2969" s="355" t="s">
        <v>26</v>
      </c>
      <c r="D2969">
        <v>11580</v>
      </c>
      <c r="E2969" s="143">
        <v>70000</v>
      </c>
      <c r="F2969" s="117">
        <v>1403</v>
      </c>
      <c r="G2969" s="360" t="s">
        <v>304</v>
      </c>
      <c r="H2969" s="144">
        <f>bargiri[[#This Row],[میزان بارگیری شده]]*bargiri[[#This Row],[فی]]</f>
        <v>810600000</v>
      </c>
      <c r="I2969" s="360">
        <f>IF(year=bargiri[[#This Row],[سال]],1,0)</f>
        <v>0</v>
      </c>
      <c r="J2969" s="360" t="str">
        <f>VLOOKUP(bargiri[[#This Row],[شماره پیش فاکتور]],invoice[],16,0)</f>
        <v>عادی</v>
      </c>
      <c r="K2969" s="252">
        <f>bargiri[[#This Row],[فی]]*bargiri[[#This Row],[میزان بارگیری شده]]</f>
        <v>810600000</v>
      </c>
    </row>
    <row r="2970" spans="1:11" ht="18.600000000000001">
      <c r="A2970" s="360" t="s">
        <v>168</v>
      </c>
      <c r="B2970" s="360" t="s">
        <v>118</v>
      </c>
      <c r="C2970" s="355" t="s">
        <v>85</v>
      </c>
      <c r="D2970">
        <v>19850</v>
      </c>
      <c r="E2970" s="143">
        <v>56881</v>
      </c>
      <c r="F2970" s="117">
        <v>1403</v>
      </c>
      <c r="G2970" s="360" t="s">
        <v>304</v>
      </c>
      <c r="H2970" s="144">
        <f>bargiri[[#This Row],[میزان بارگیری شده]]*bargiri[[#This Row],[فی]]</f>
        <v>1129087850</v>
      </c>
      <c r="I2970" s="360">
        <f>IF(year=bargiri[[#This Row],[سال]],1,0)</f>
        <v>0</v>
      </c>
      <c r="J2970" s="360" t="str">
        <f>VLOOKUP(bargiri[[#This Row],[شماره پیش فاکتور]],invoice[],16,0)</f>
        <v>عادی</v>
      </c>
      <c r="K2970" s="252">
        <f>bargiri[[#This Row],[فی]]*bargiri[[#This Row],[میزان بارگیری شده]]</f>
        <v>1129087850</v>
      </c>
    </row>
    <row r="2971" spans="1:11" ht="18.600000000000001">
      <c r="A2971" s="360" t="s">
        <v>168</v>
      </c>
      <c r="B2971" s="360" t="s">
        <v>118</v>
      </c>
      <c r="C2971" s="355" t="s">
        <v>85</v>
      </c>
      <c r="D2971">
        <v>20300</v>
      </c>
      <c r="E2971" s="143">
        <v>56881</v>
      </c>
      <c r="F2971" s="117">
        <v>1403</v>
      </c>
      <c r="G2971" s="360" t="s">
        <v>304</v>
      </c>
      <c r="H2971" s="144">
        <f>bargiri[[#This Row],[میزان بارگیری شده]]*bargiri[[#This Row],[فی]]</f>
        <v>1154684300</v>
      </c>
      <c r="I2971" s="360">
        <f>IF(year=bargiri[[#This Row],[سال]],1,0)</f>
        <v>0</v>
      </c>
      <c r="J2971" s="360" t="str">
        <f>VLOOKUP(bargiri[[#This Row],[شماره پیش فاکتور]],invoice[],16,0)</f>
        <v>عادی</v>
      </c>
      <c r="K2971" s="252">
        <f>bargiri[[#This Row],[فی]]*bargiri[[#This Row],[میزان بارگیری شده]]</f>
        <v>1154684300</v>
      </c>
    </row>
    <row r="2972" spans="1:11" ht="18.600000000000001">
      <c r="A2972" s="360" t="s">
        <v>168</v>
      </c>
      <c r="B2972" s="360" t="s">
        <v>118</v>
      </c>
      <c r="C2972" s="355" t="s">
        <v>85</v>
      </c>
      <c r="D2972">
        <v>20400</v>
      </c>
      <c r="E2972" s="143">
        <v>56881</v>
      </c>
      <c r="F2972" s="117">
        <v>1403</v>
      </c>
      <c r="G2972" s="360" t="s">
        <v>304</v>
      </c>
      <c r="H2972" s="144">
        <f>bargiri[[#This Row],[میزان بارگیری شده]]*bargiri[[#This Row],[فی]]</f>
        <v>1160372400</v>
      </c>
      <c r="I2972" s="360">
        <f>IF(year=bargiri[[#This Row],[سال]],1,0)</f>
        <v>0</v>
      </c>
      <c r="J2972" s="360" t="str">
        <f>VLOOKUP(bargiri[[#This Row],[شماره پیش فاکتور]],invoice[],16,0)</f>
        <v>عادی</v>
      </c>
      <c r="K2972" s="252">
        <f>bargiri[[#This Row],[فی]]*bargiri[[#This Row],[میزان بارگیری شده]]</f>
        <v>1160372400</v>
      </c>
    </row>
    <row r="2973" spans="1:11" ht="18.600000000000001">
      <c r="A2973" s="360" t="s">
        <v>168</v>
      </c>
      <c r="B2973" s="360" t="s">
        <v>101</v>
      </c>
      <c r="C2973" s="355" t="s">
        <v>21</v>
      </c>
      <c r="D2973">
        <v>6120</v>
      </c>
      <c r="E2973" s="143">
        <v>68000</v>
      </c>
      <c r="F2973" s="117">
        <v>1403</v>
      </c>
      <c r="G2973" s="360" t="s">
        <v>304</v>
      </c>
      <c r="H2973" s="144">
        <f>bargiri[[#This Row],[میزان بارگیری شده]]*bargiri[[#This Row],[فی]]</f>
        <v>416160000</v>
      </c>
      <c r="I2973" s="360">
        <f>IF(year=bargiri[[#This Row],[سال]],1,0)</f>
        <v>0</v>
      </c>
      <c r="J2973" s="360" t="str">
        <f>VLOOKUP(bargiri[[#This Row],[شماره پیش فاکتور]],invoice[],16,0)</f>
        <v>عادی</v>
      </c>
      <c r="K2973" s="252">
        <f>bargiri[[#This Row],[فی]]*bargiri[[#This Row],[میزان بارگیری شده]]</f>
        <v>416160000</v>
      </c>
    </row>
    <row r="2974" spans="1:11" ht="18.600000000000001">
      <c r="A2974" s="360" t="s">
        <v>168</v>
      </c>
      <c r="B2974" s="360" t="s">
        <v>118</v>
      </c>
      <c r="C2974" s="355" t="s">
        <v>85</v>
      </c>
      <c r="D2974">
        <v>20430</v>
      </c>
      <c r="E2974" s="143">
        <v>56881</v>
      </c>
      <c r="F2974" s="117">
        <v>1403</v>
      </c>
      <c r="G2974" s="360" t="s">
        <v>304</v>
      </c>
      <c r="H2974" s="144">
        <f>bargiri[[#This Row],[میزان بارگیری شده]]*bargiri[[#This Row],[فی]]</f>
        <v>1162078830</v>
      </c>
      <c r="I2974" s="360">
        <f>IF(year=bargiri[[#This Row],[سال]],1,0)</f>
        <v>0</v>
      </c>
      <c r="J2974" s="360" t="str">
        <f>VLOOKUP(bargiri[[#This Row],[شماره پیش فاکتور]],invoice[],16,0)</f>
        <v>عادی</v>
      </c>
      <c r="K2974" s="252">
        <f>bargiri[[#This Row],[فی]]*bargiri[[#This Row],[میزان بارگیری شده]]</f>
        <v>1162078830</v>
      </c>
    </row>
    <row r="2975" spans="1:11" ht="18.600000000000001">
      <c r="A2975" s="360" t="s">
        <v>168</v>
      </c>
      <c r="B2975" s="360" t="s">
        <v>116</v>
      </c>
      <c r="C2975" s="355" t="s">
        <v>77</v>
      </c>
      <c r="D2975">
        <v>20020</v>
      </c>
      <c r="E2975" s="143">
        <v>68500</v>
      </c>
      <c r="F2975" s="117">
        <v>1403</v>
      </c>
      <c r="G2975" s="360" t="s">
        <v>304</v>
      </c>
      <c r="H2975" s="144">
        <f>bargiri[[#This Row],[میزان بارگیری شده]]*bargiri[[#This Row],[فی]]</f>
        <v>1371370000</v>
      </c>
      <c r="I2975" s="360">
        <f>IF(year=bargiri[[#This Row],[سال]],1,0)</f>
        <v>0</v>
      </c>
      <c r="J2975" s="360" t="str">
        <f>VLOOKUP(bargiri[[#This Row],[شماره پیش فاکتور]],invoice[],16,0)</f>
        <v>عادی</v>
      </c>
      <c r="K2975" s="252">
        <f>bargiri[[#This Row],[فی]]*bargiri[[#This Row],[میزان بارگیری شده]]</f>
        <v>1371370000</v>
      </c>
    </row>
    <row r="2976" spans="1:11" ht="18.600000000000001">
      <c r="A2976" s="360" t="s">
        <v>168</v>
      </c>
      <c r="B2976" s="360" t="s">
        <v>118</v>
      </c>
      <c r="C2976" s="355" t="s">
        <v>85</v>
      </c>
      <c r="D2976">
        <v>20550</v>
      </c>
      <c r="E2976" s="143">
        <v>56881</v>
      </c>
      <c r="F2976" s="117">
        <v>1403</v>
      </c>
      <c r="G2976" s="360" t="s">
        <v>304</v>
      </c>
      <c r="H2976" s="144">
        <f>bargiri[[#This Row],[میزان بارگیری شده]]*bargiri[[#This Row],[فی]]</f>
        <v>1168904550</v>
      </c>
      <c r="I2976" s="360">
        <f>IF(year=bargiri[[#This Row],[سال]],1,0)</f>
        <v>0</v>
      </c>
      <c r="J2976" s="360" t="str">
        <f>VLOOKUP(bargiri[[#This Row],[شماره پیش فاکتور]],invoice[],16,0)</f>
        <v>عادی</v>
      </c>
      <c r="K2976" s="252">
        <f>bargiri[[#This Row],[فی]]*bargiri[[#This Row],[میزان بارگیری شده]]</f>
        <v>1168904550</v>
      </c>
    </row>
    <row r="2977" spans="1:11" ht="18.600000000000001">
      <c r="A2977" s="360" t="s">
        <v>168</v>
      </c>
      <c r="B2977" s="360" t="s">
        <v>99</v>
      </c>
      <c r="C2977" s="355" t="s">
        <v>13</v>
      </c>
      <c r="D2977">
        <v>18430</v>
      </c>
      <c r="E2977" s="143">
        <v>65000</v>
      </c>
      <c r="F2977" s="117">
        <v>1403</v>
      </c>
      <c r="G2977" s="360" t="s">
        <v>304</v>
      </c>
      <c r="H2977" s="144">
        <f>bargiri[[#This Row],[میزان بارگیری شده]]*bargiri[[#This Row],[فی]]</f>
        <v>1197950000</v>
      </c>
      <c r="I2977" s="360">
        <f>IF(year=bargiri[[#This Row],[سال]],1,0)</f>
        <v>0</v>
      </c>
      <c r="J2977" s="360" t="str">
        <f>VLOOKUP(bargiri[[#This Row],[شماره پیش فاکتور]],invoice[],16,0)</f>
        <v>عادی</v>
      </c>
      <c r="K2977" s="252">
        <f>bargiri[[#This Row],[فی]]*bargiri[[#This Row],[میزان بارگیری شده]]</f>
        <v>1197950000</v>
      </c>
    </row>
    <row r="2978" spans="1:11" ht="18.600000000000001">
      <c r="A2978" s="360" t="s">
        <v>168</v>
      </c>
      <c r="B2978" s="360" t="s">
        <v>98</v>
      </c>
      <c r="C2978" s="355" t="s">
        <v>9</v>
      </c>
      <c r="D2978">
        <v>23160</v>
      </c>
      <c r="E2978" s="143">
        <v>105000</v>
      </c>
      <c r="F2978" s="117">
        <v>1403</v>
      </c>
      <c r="G2978" s="360" t="s">
        <v>304</v>
      </c>
      <c r="H2978" s="144">
        <f>bargiri[[#This Row],[میزان بارگیری شده]]*bargiri[[#This Row],[فی]]</f>
        <v>2431800000</v>
      </c>
      <c r="I2978" s="360">
        <f>IF(year=bargiri[[#This Row],[سال]],1,0)</f>
        <v>0</v>
      </c>
      <c r="J2978" s="360" t="str">
        <f>VLOOKUP(bargiri[[#This Row],[شماره پیش فاکتور]],invoice[],16,0)</f>
        <v>عادی</v>
      </c>
      <c r="K2978" s="252">
        <f>bargiri[[#This Row],[فی]]*bargiri[[#This Row],[میزان بارگیری شده]]</f>
        <v>2431800000</v>
      </c>
    </row>
    <row r="2979" spans="1:11" ht="18.600000000000001">
      <c r="A2979" s="360" t="s">
        <v>137</v>
      </c>
      <c r="B2979" s="360" t="s">
        <v>116</v>
      </c>
      <c r="C2979" s="355" t="s">
        <v>77</v>
      </c>
      <c r="D2979">
        <v>20120</v>
      </c>
      <c r="E2979" s="143">
        <v>68500</v>
      </c>
      <c r="F2979" s="117">
        <v>1403</v>
      </c>
      <c r="G2979" s="360" t="s">
        <v>304</v>
      </c>
      <c r="H2979" s="144">
        <f>bargiri[[#This Row],[میزان بارگیری شده]]*bargiri[[#This Row],[فی]]</f>
        <v>1378220000</v>
      </c>
      <c r="I2979" s="360">
        <f>IF(year=bargiri[[#This Row],[سال]],1,0)</f>
        <v>0</v>
      </c>
      <c r="J2979" s="360" t="str">
        <f>VLOOKUP(bargiri[[#This Row],[شماره پیش فاکتور]],invoice[],16,0)</f>
        <v>عادی</v>
      </c>
      <c r="K2979" s="252">
        <f>bargiri[[#This Row],[فی]]*bargiri[[#This Row],[میزان بارگیری شده]]</f>
        <v>1378220000</v>
      </c>
    </row>
    <row r="2980" spans="1:11" ht="18.600000000000001">
      <c r="A2980" s="360" t="s">
        <v>137</v>
      </c>
      <c r="B2980" s="360" t="s">
        <v>99</v>
      </c>
      <c r="C2980" s="355" t="s">
        <v>13</v>
      </c>
      <c r="D2980">
        <v>18370</v>
      </c>
      <c r="E2980" s="143">
        <v>65000</v>
      </c>
      <c r="F2980" s="117">
        <v>1403</v>
      </c>
      <c r="G2980" s="360" t="s">
        <v>304</v>
      </c>
      <c r="H2980" s="144">
        <f>bargiri[[#This Row],[میزان بارگیری شده]]*bargiri[[#This Row],[فی]]</f>
        <v>1194050000</v>
      </c>
      <c r="I2980" s="360">
        <f>IF(year=bargiri[[#This Row],[سال]],1,0)</f>
        <v>0</v>
      </c>
      <c r="J2980" s="360" t="str">
        <f>VLOOKUP(bargiri[[#This Row],[شماره پیش فاکتور]],invoice[],16,0)</f>
        <v>عادی</v>
      </c>
      <c r="K2980" s="252">
        <f>bargiri[[#This Row],[فی]]*bargiri[[#This Row],[میزان بارگیری شده]]</f>
        <v>1194050000</v>
      </c>
    </row>
    <row r="2981" spans="1:11" ht="18.600000000000001">
      <c r="A2981" s="360" t="s">
        <v>156</v>
      </c>
      <c r="B2981" s="360" t="s">
        <v>102</v>
      </c>
      <c r="C2981" s="355" t="s">
        <v>26</v>
      </c>
      <c r="D2981">
        <v>10130</v>
      </c>
      <c r="E2981" s="143">
        <v>70000</v>
      </c>
      <c r="F2981" s="117">
        <v>1403</v>
      </c>
      <c r="G2981" s="360" t="s">
        <v>304</v>
      </c>
      <c r="H2981" s="144">
        <f>bargiri[[#This Row],[میزان بارگیری شده]]*bargiri[[#This Row],[فی]]</f>
        <v>709100000</v>
      </c>
      <c r="I2981" s="360">
        <f>IF(year=bargiri[[#This Row],[سال]],1,0)</f>
        <v>0</v>
      </c>
      <c r="J2981" s="360" t="str">
        <f>VLOOKUP(bargiri[[#This Row],[شماره پیش فاکتور]],invoice[],16,0)</f>
        <v>عادی</v>
      </c>
      <c r="K2981" s="252">
        <f>bargiri[[#This Row],[فی]]*bargiri[[#This Row],[میزان بارگیری شده]]</f>
        <v>709100000</v>
      </c>
    </row>
    <row r="2982" spans="1:11" ht="18.600000000000001">
      <c r="A2982" s="360" t="s">
        <v>156</v>
      </c>
      <c r="B2982" s="360" t="s">
        <v>116</v>
      </c>
      <c r="C2982" s="355" t="s">
        <v>77</v>
      </c>
      <c r="D2982">
        <v>20630</v>
      </c>
      <c r="E2982" s="143">
        <v>68500</v>
      </c>
      <c r="F2982" s="117">
        <v>1403</v>
      </c>
      <c r="G2982" s="360" t="s">
        <v>304</v>
      </c>
      <c r="H2982" s="144">
        <f>bargiri[[#This Row],[میزان بارگیری شده]]*bargiri[[#This Row],[فی]]</f>
        <v>1413155000</v>
      </c>
      <c r="I2982" s="360">
        <f>IF(year=bargiri[[#This Row],[سال]],1,0)</f>
        <v>0</v>
      </c>
      <c r="J2982" s="360" t="str">
        <f>VLOOKUP(bargiri[[#This Row],[شماره پیش فاکتور]],invoice[],16,0)</f>
        <v>عادی</v>
      </c>
      <c r="K2982" s="252">
        <f>bargiri[[#This Row],[فی]]*bargiri[[#This Row],[میزان بارگیری شده]]</f>
        <v>1413155000</v>
      </c>
    </row>
    <row r="2983" spans="1:11" ht="18.600000000000001">
      <c r="A2983" s="360" t="s">
        <v>472</v>
      </c>
      <c r="B2983" s="360" t="s">
        <v>116</v>
      </c>
      <c r="C2983" s="355" t="s">
        <v>77</v>
      </c>
      <c r="D2983">
        <v>20270</v>
      </c>
      <c r="E2983" s="143">
        <v>68500</v>
      </c>
      <c r="F2983" s="117">
        <v>1403</v>
      </c>
      <c r="G2983" s="360" t="s">
        <v>304</v>
      </c>
      <c r="H2983" s="144">
        <f>bargiri[[#This Row],[میزان بارگیری شده]]*bargiri[[#This Row],[فی]]</f>
        <v>1388495000</v>
      </c>
      <c r="I2983" s="360">
        <f>IF(year=bargiri[[#This Row],[سال]],1,0)</f>
        <v>0</v>
      </c>
      <c r="J2983" s="360" t="str">
        <f>VLOOKUP(bargiri[[#This Row],[شماره پیش فاکتور]],invoice[],16,0)</f>
        <v>عادی</v>
      </c>
      <c r="K2983" s="252">
        <f>bargiri[[#This Row],[فی]]*bargiri[[#This Row],[میزان بارگیری شده]]</f>
        <v>1388495000</v>
      </c>
    </row>
    <row r="2984" spans="1:11" ht="18.600000000000001">
      <c r="A2984" s="360" t="s">
        <v>472</v>
      </c>
      <c r="B2984" s="360" t="s">
        <v>99</v>
      </c>
      <c r="C2984" s="355" t="s">
        <v>13</v>
      </c>
      <c r="D2984">
        <v>18320</v>
      </c>
      <c r="E2984" s="143">
        <v>65000</v>
      </c>
      <c r="F2984" s="117">
        <v>1403</v>
      </c>
      <c r="G2984" s="360" t="s">
        <v>304</v>
      </c>
      <c r="H2984" s="144">
        <f>bargiri[[#This Row],[میزان بارگیری شده]]*bargiri[[#This Row],[فی]]</f>
        <v>1190800000</v>
      </c>
      <c r="I2984" s="360">
        <f>IF(year=bargiri[[#This Row],[سال]],1,0)</f>
        <v>0</v>
      </c>
      <c r="J2984" s="360" t="str">
        <f>VLOOKUP(bargiri[[#This Row],[شماره پیش فاکتور]],invoice[],16,0)</f>
        <v>عادی</v>
      </c>
      <c r="K2984" s="252">
        <f>bargiri[[#This Row],[فی]]*bargiri[[#This Row],[میزان بارگیری شده]]</f>
        <v>1190800000</v>
      </c>
    </row>
    <row r="2985" spans="1:11" ht="18.600000000000001">
      <c r="A2985" s="360" t="s">
        <v>472</v>
      </c>
      <c r="B2985" s="360" t="s">
        <v>117</v>
      </c>
      <c r="C2985" s="355" t="s">
        <v>82</v>
      </c>
      <c r="D2985">
        <v>19050</v>
      </c>
      <c r="E2985" s="143">
        <v>70000</v>
      </c>
      <c r="F2985" s="117">
        <v>1403</v>
      </c>
      <c r="G2985" s="360" t="s">
        <v>304</v>
      </c>
      <c r="H2985" s="144">
        <f>bargiri[[#This Row],[میزان بارگیری شده]]*bargiri[[#This Row],[فی]]</f>
        <v>1333500000</v>
      </c>
      <c r="I2985" s="360">
        <f>IF(year=bargiri[[#This Row],[سال]],1,0)</f>
        <v>0</v>
      </c>
      <c r="J2985" s="360" t="str">
        <f>VLOOKUP(bargiri[[#This Row],[شماره پیش فاکتور]],invoice[],16,0)</f>
        <v>عادی</v>
      </c>
      <c r="K2985" s="252">
        <f>bargiri[[#This Row],[فی]]*bargiri[[#This Row],[میزان بارگیری شده]]</f>
        <v>1333500000</v>
      </c>
    </row>
    <row r="2986" spans="1:11" ht="18.600000000000001">
      <c r="A2986" s="360" t="s">
        <v>472</v>
      </c>
      <c r="B2986" s="360" t="s">
        <v>115</v>
      </c>
      <c r="C2986" s="355" t="s">
        <v>66</v>
      </c>
      <c r="D2986">
        <v>22040</v>
      </c>
      <c r="E2986" s="143">
        <v>45000</v>
      </c>
      <c r="F2986" s="117">
        <v>1403</v>
      </c>
      <c r="G2986" s="360" t="s">
        <v>304</v>
      </c>
      <c r="H2986" s="144">
        <f>bargiri[[#This Row],[میزان بارگیری شده]]*bargiri[[#This Row],[فی]]</f>
        <v>991800000</v>
      </c>
      <c r="I2986" s="360">
        <f>IF(year=bargiri[[#This Row],[سال]],1,0)</f>
        <v>0</v>
      </c>
      <c r="J2986" s="360" t="str">
        <f>VLOOKUP(bargiri[[#This Row],[شماره پیش فاکتور]],invoice[],16,0)</f>
        <v>عادی</v>
      </c>
      <c r="K2986" s="252">
        <f>bargiri[[#This Row],[فی]]*bargiri[[#This Row],[میزان بارگیری شده]]</f>
        <v>991800000</v>
      </c>
    </row>
    <row r="2987" spans="1:11" ht="18.600000000000001">
      <c r="A2987" s="360" t="s">
        <v>210</v>
      </c>
      <c r="B2987" s="360" t="s">
        <v>98</v>
      </c>
      <c r="C2987" s="355" t="s">
        <v>11</v>
      </c>
      <c r="D2987">
        <v>22090</v>
      </c>
      <c r="E2987" s="143">
        <v>77000</v>
      </c>
      <c r="F2987" s="117">
        <v>1403</v>
      </c>
      <c r="G2987" s="360" t="s">
        <v>304</v>
      </c>
      <c r="H2987" s="144">
        <f>bargiri[[#This Row],[میزان بارگیری شده]]*bargiri[[#This Row],[فی]]</f>
        <v>1700930000</v>
      </c>
      <c r="I2987" s="360">
        <f>IF(year=bargiri[[#This Row],[سال]],1,0)</f>
        <v>0</v>
      </c>
      <c r="J2987" s="360" t="str">
        <f>VLOOKUP(bargiri[[#This Row],[شماره پیش فاکتور]],invoice[],16,0)</f>
        <v>عادی</v>
      </c>
      <c r="K2987" s="252">
        <f>bargiri[[#This Row],[فی]]*bargiri[[#This Row],[میزان بارگیری شده]]</f>
        <v>1700930000</v>
      </c>
    </row>
    <row r="2988" spans="1:11" ht="18.600000000000001">
      <c r="A2988" s="360" t="s">
        <v>210</v>
      </c>
      <c r="B2988" s="360" t="s">
        <v>110</v>
      </c>
      <c r="C2988" s="355" t="s">
        <v>57</v>
      </c>
      <c r="D2988">
        <v>19830</v>
      </c>
      <c r="E2988" s="143">
        <v>78000</v>
      </c>
      <c r="F2988" s="117">
        <v>1403</v>
      </c>
      <c r="G2988" s="360" t="s">
        <v>304</v>
      </c>
      <c r="H2988" s="144">
        <f>bargiri[[#This Row],[میزان بارگیری شده]]*bargiri[[#This Row],[فی]]</f>
        <v>1546740000</v>
      </c>
      <c r="I2988" s="360">
        <f>IF(year=bargiri[[#This Row],[سال]],1,0)</f>
        <v>0</v>
      </c>
      <c r="J2988" s="360" t="str">
        <f>VLOOKUP(bargiri[[#This Row],[شماره پیش فاکتور]],invoice[],16,0)</f>
        <v>عادی</v>
      </c>
      <c r="K2988" s="252">
        <f>bargiri[[#This Row],[فی]]*bargiri[[#This Row],[میزان بارگیری شده]]</f>
        <v>1546740000</v>
      </c>
    </row>
    <row r="2989" spans="1:11" ht="18.600000000000001">
      <c r="A2989" s="360" t="s">
        <v>210</v>
      </c>
      <c r="B2989" s="360" t="s">
        <v>116</v>
      </c>
      <c r="C2989" s="355" t="s">
        <v>77</v>
      </c>
      <c r="D2989">
        <v>20190</v>
      </c>
      <c r="E2989" s="143">
        <v>68500</v>
      </c>
      <c r="F2989" s="117">
        <v>1403</v>
      </c>
      <c r="G2989" s="360" t="s">
        <v>304</v>
      </c>
      <c r="H2989" s="144">
        <f>bargiri[[#This Row],[میزان بارگیری شده]]*bargiri[[#This Row],[فی]]</f>
        <v>1383015000</v>
      </c>
      <c r="I2989" s="360">
        <f>IF(year=bargiri[[#This Row],[سال]],1,0)</f>
        <v>0</v>
      </c>
      <c r="J2989" s="360" t="str">
        <f>VLOOKUP(bargiri[[#This Row],[شماره پیش فاکتور]],invoice[],16,0)</f>
        <v>عادی</v>
      </c>
      <c r="K2989" s="252">
        <f>bargiri[[#This Row],[فی]]*bargiri[[#This Row],[میزان بارگیری شده]]</f>
        <v>1383015000</v>
      </c>
    </row>
    <row r="2990" spans="1:11" ht="18.600000000000001">
      <c r="A2990" s="360" t="s">
        <v>210</v>
      </c>
      <c r="B2990" s="360" t="s">
        <v>118</v>
      </c>
      <c r="C2990" s="355" t="s">
        <v>85</v>
      </c>
      <c r="D2990">
        <v>21070</v>
      </c>
      <c r="E2990" s="143">
        <v>56881</v>
      </c>
      <c r="F2990" s="117">
        <v>1403</v>
      </c>
      <c r="G2990" s="360" t="s">
        <v>304</v>
      </c>
      <c r="H2990" s="144">
        <f>bargiri[[#This Row],[میزان بارگیری شده]]*bargiri[[#This Row],[فی]]</f>
        <v>1198482670</v>
      </c>
      <c r="I2990" s="360">
        <f>IF(year=bargiri[[#This Row],[سال]],1,0)</f>
        <v>0</v>
      </c>
      <c r="J2990" s="360" t="str">
        <f>VLOOKUP(bargiri[[#This Row],[شماره پیش فاکتور]],invoice[],16,0)</f>
        <v>عادی</v>
      </c>
      <c r="K2990" s="252">
        <f>bargiri[[#This Row],[فی]]*bargiri[[#This Row],[میزان بارگیری شده]]</f>
        <v>1198482670</v>
      </c>
    </row>
    <row r="2991" spans="1:11" ht="18.600000000000001">
      <c r="A2991" s="360" t="s">
        <v>210</v>
      </c>
      <c r="B2991" s="360" t="s">
        <v>118</v>
      </c>
      <c r="C2991" s="355" t="s">
        <v>85</v>
      </c>
      <c r="D2991">
        <v>21060</v>
      </c>
      <c r="E2991" s="143">
        <v>56881</v>
      </c>
      <c r="F2991" s="117">
        <v>1403</v>
      </c>
      <c r="G2991" s="360" t="s">
        <v>304</v>
      </c>
      <c r="H2991" s="144">
        <f>bargiri[[#This Row],[میزان بارگیری شده]]*bargiri[[#This Row],[فی]]</f>
        <v>1197913860</v>
      </c>
      <c r="I2991" s="360">
        <f>IF(year=bargiri[[#This Row],[سال]],1,0)</f>
        <v>0</v>
      </c>
      <c r="J2991" s="360" t="str">
        <f>VLOOKUP(bargiri[[#This Row],[شماره پیش فاکتور]],invoice[],16,0)</f>
        <v>عادی</v>
      </c>
      <c r="K2991" s="252">
        <f>bargiri[[#This Row],[فی]]*bargiri[[#This Row],[میزان بارگیری شده]]</f>
        <v>1197913860</v>
      </c>
    </row>
    <row r="2992" spans="1:11" ht="18.600000000000001">
      <c r="A2992" s="360" t="s">
        <v>210</v>
      </c>
      <c r="B2992" s="360" t="s">
        <v>118</v>
      </c>
      <c r="C2992" s="355" t="s">
        <v>85</v>
      </c>
      <c r="D2992">
        <v>21000</v>
      </c>
      <c r="E2992" s="143">
        <v>56881</v>
      </c>
      <c r="F2992" s="117">
        <v>1403</v>
      </c>
      <c r="G2992" s="360" t="s">
        <v>304</v>
      </c>
      <c r="H2992" s="144">
        <f>bargiri[[#This Row],[میزان بارگیری شده]]*bargiri[[#This Row],[فی]]</f>
        <v>1194501000</v>
      </c>
      <c r="I2992" s="360">
        <f>IF(year=bargiri[[#This Row],[سال]],1,0)</f>
        <v>0</v>
      </c>
      <c r="J2992" s="360" t="str">
        <f>VLOOKUP(bargiri[[#This Row],[شماره پیش فاکتور]],invoice[],16,0)</f>
        <v>عادی</v>
      </c>
      <c r="K2992" s="252">
        <f>bargiri[[#This Row],[فی]]*bargiri[[#This Row],[میزان بارگیری شده]]</f>
        <v>1194501000</v>
      </c>
    </row>
    <row r="2993" spans="1:11" ht="18.600000000000001">
      <c r="A2993" s="360" t="s">
        <v>473</v>
      </c>
      <c r="B2993" s="360" t="s">
        <v>102</v>
      </c>
      <c r="C2993" s="355" t="s">
        <v>26</v>
      </c>
      <c r="D2993">
        <v>10400</v>
      </c>
      <c r="E2993" s="143">
        <v>70000</v>
      </c>
      <c r="F2993" s="117">
        <v>1403</v>
      </c>
      <c r="G2993" s="360" t="s">
        <v>304</v>
      </c>
      <c r="H2993" s="144">
        <f>bargiri[[#This Row],[میزان بارگیری شده]]*bargiri[[#This Row],[فی]]</f>
        <v>728000000</v>
      </c>
      <c r="I2993" s="360">
        <f>IF(year=bargiri[[#This Row],[سال]],1,0)</f>
        <v>0</v>
      </c>
      <c r="J2993" s="360" t="str">
        <f>VLOOKUP(bargiri[[#This Row],[شماره پیش فاکتور]],invoice[],16,0)</f>
        <v>عادی</v>
      </c>
      <c r="K2993" s="252">
        <f>bargiri[[#This Row],[فی]]*bargiri[[#This Row],[میزان بارگیری شده]]</f>
        <v>728000000</v>
      </c>
    </row>
    <row r="2994" spans="1:11" ht="18.600000000000001">
      <c r="A2994" s="360" t="s">
        <v>473</v>
      </c>
      <c r="B2994" s="360" t="s">
        <v>116</v>
      </c>
      <c r="C2994" s="355" t="s">
        <v>77</v>
      </c>
      <c r="D2994">
        <v>9910</v>
      </c>
      <c r="E2994" s="143">
        <v>68500</v>
      </c>
      <c r="F2994" s="117">
        <v>1403</v>
      </c>
      <c r="G2994" s="360" t="s">
        <v>304</v>
      </c>
      <c r="H2994" s="144">
        <f>bargiri[[#This Row],[میزان بارگیری شده]]*bargiri[[#This Row],[فی]]</f>
        <v>678835000</v>
      </c>
      <c r="I2994" s="360">
        <f>IF(year=bargiri[[#This Row],[سال]],1,0)</f>
        <v>0</v>
      </c>
      <c r="J2994" s="360" t="str">
        <f>VLOOKUP(bargiri[[#This Row],[شماره پیش فاکتور]],invoice[],16,0)</f>
        <v>عادی</v>
      </c>
      <c r="K2994" s="252">
        <f>bargiri[[#This Row],[فی]]*bargiri[[#This Row],[میزان بارگیری شده]]</f>
        <v>678835000</v>
      </c>
    </row>
    <row r="2995" spans="1:11" ht="18.600000000000001">
      <c r="A2995" s="360" t="s">
        <v>473</v>
      </c>
      <c r="B2995" s="360" t="s">
        <v>99</v>
      </c>
      <c r="C2995" s="355" t="s">
        <v>13</v>
      </c>
      <c r="D2995">
        <v>18550</v>
      </c>
      <c r="E2995" s="143">
        <v>65000</v>
      </c>
      <c r="F2995" s="117">
        <v>1403</v>
      </c>
      <c r="G2995" s="360" t="s">
        <v>304</v>
      </c>
      <c r="H2995" s="144">
        <f>bargiri[[#This Row],[میزان بارگیری شده]]*bargiri[[#This Row],[فی]]</f>
        <v>1205750000</v>
      </c>
      <c r="I2995" s="360">
        <f>IF(year=bargiri[[#This Row],[سال]],1,0)</f>
        <v>0</v>
      </c>
      <c r="J2995" s="360" t="str">
        <f>VLOOKUP(bargiri[[#This Row],[شماره پیش فاکتور]],invoice[],16,0)</f>
        <v>عادی</v>
      </c>
      <c r="K2995" s="252">
        <f>bargiri[[#This Row],[فی]]*bargiri[[#This Row],[میزان بارگیری شده]]</f>
        <v>1205750000</v>
      </c>
    </row>
    <row r="2996" spans="1:11" ht="18.600000000000001">
      <c r="A2996" s="360" t="s">
        <v>463</v>
      </c>
      <c r="B2996" s="360" t="s">
        <v>115</v>
      </c>
      <c r="C2996" s="355" t="s">
        <v>66</v>
      </c>
      <c r="D2996">
        <v>23120</v>
      </c>
      <c r="E2996" s="143">
        <v>45000</v>
      </c>
      <c r="F2996" s="117">
        <v>1403</v>
      </c>
      <c r="G2996" s="360" t="s">
        <v>304</v>
      </c>
      <c r="H2996" s="144">
        <f>bargiri[[#This Row],[میزان بارگیری شده]]*bargiri[[#This Row],[فی]]</f>
        <v>1040400000</v>
      </c>
      <c r="I2996" s="360">
        <f>IF(year=bargiri[[#This Row],[سال]],1,0)</f>
        <v>0</v>
      </c>
      <c r="J2996" s="360" t="str">
        <f>VLOOKUP(bargiri[[#This Row],[شماره پیش فاکتور]],invoice[],16,0)</f>
        <v>عادی</v>
      </c>
      <c r="K2996" s="252">
        <f>bargiri[[#This Row],[فی]]*bargiri[[#This Row],[میزان بارگیری شده]]</f>
        <v>1040400000</v>
      </c>
    </row>
    <row r="2997" spans="1:11" ht="18.600000000000001">
      <c r="A2997" s="360" t="s">
        <v>474</v>
      </c>
      <c r="B2997" s="360" t="s">
        <v>115</v>
      </c>
      <c r="C2997" s="355" t="s">
        <v>66</v>
      </c>
      <c r="D2997">
        <v>20130</v>
      </c>
      <c r="E2997" s="143">
        <v>45000</v>
      </c>
      <c r="F2997" s="117">
        <v>1403</v>
      </c>
      <c r="G2997" s="360" t="s">
        <v>305</v>
      </c>
      <c r="H2997" s="144">
        <f>bargiri[[#This Row],[میزان بارگیری شده]]*bargiri[[#This Row],[فی]]</f>
        <v>905850000</v>
      </c>
      <c r="I2997" s="360">
        <f>IF(year=bargiri[[#This Row],[سال]],1,0)</f>
        <v>0</v>
      </c>
      <c r="J2997" s="360" t="str">
        <f>VLOOKUP(bargiri[[#This Row],[شماره پیش فاکتور]],invoice[],16,0)</f>
        <v>عادی</v>
      </c>
      <c r="K2997" s="252">
        <f>bargiri[[#This Row],[فی]]*bargiri[[#This Row],[میزان بارگیری شده]]</f>
        <v>905850000</v>
      </c>
    </row>
    <row r="2998" spans="1:11" ht="18.600000000000001">
      <c r="A2998" s="360" t="s">
        <v>475</v>
      </c>
      <c r="B2998" s="360" t="s">
        <v>115</v>
      </c>
      <c r="C2998" s="355" t="s">
        <v>66</v>
      </c>
      <c r="D2998">
        <v>22740</v>
      </c>
      <c r="E2998" s="143">
        <v>45000</v>
      </c>
      <c r="F2998" s="117">
        <v>1403</v>
      </c>
      <c r="G2998" s="360" t="s">
        <v>305</v>
      </c>
      <c r="H2998" s="144">
        <f>bargiri[[#This Row],[میزان بارگیری شده]]*bargiri[[#This Row],[فی]]</f>
        <v>1023300000</v>
      </c>
      <c r="I2998" s="360">
        <f>IF(year=bargiri[[#This Row],[سال]],1,0)</f>
        <v>0</v>
      </c>
      <c r="J2998" s="360" t="str">
        <f>VLOOKUP(bargiri[[#This Row],[شماره پیش فاکتور]],invoice[],16,0)</f>
        <v>عادی</v>
      </c>
      <c r="K2998" s="252">
        <f>bargiri[[#This Row],[فی]]*bargiri[[#This Row],[میزان بارگیری شده]]</f>
        <v>1023300000</v>
      </c>
    </row>
    <row r="2999" spans="1:11" ht="18.600000000000001">
      <c r="A2999" s="360" t="s">
        <v>476</v>
      </c>
      <c r="B2999" s="360" t="s">
        <v>115</v>
      </c>
      <c r="C2999" s="355" t="s">
        <v>66</v>
      </c>
      <c r="D2999">
        <v>22800</v>
      </c>
      <c r="E2999" s="143">
        <v>45000</v>
      </c>
      <c r="F2999" s="117">
        <v>1403</v>
      </c>
      <c r="G2999" s="360" t="s">
        <v>305</v>
      </c>
      <c r="H2999" s="144">
        <f>bargiri[[#This Row],[میزان بارگیری شده]]*bargiri[[#This Row],[فی]]</f>
        <v>1026000000</v>
      </c>
      <c r="I2999" s="360">
        <f>IF(year=bargiri[[#This Row],[سال]],1,0)</f>
        <v>0</v>
      </c>
      <c r="J2999" s="360" t="str">
        <f>VLOOKUP(bargiri[[#This Row],[شماره پیش فاکتور]],invoice[],16,0)</f>
        <v>عادی</v>
      </c>
      <c r="K2999" s="252">
        <f>bargiri[[#This Row],[فی]]*bargiri[[#This Row],[میزان بارگیری شده]]</f>
        <v>1026000000</v>
      </c>
    </row>
    <row r="3000" spans="1:11" ht="18.600000000000001">
      <c r="A3000" s="360" t="s">
        <v>151</v>
      </c>
      <c r="B3000" s="360" t="s">
        <v>115</v>
      </c>
      <c r="C3000" s="355" t="s">
        <v>66</v>
      </c>
      <c r="D3000">
        <v>22520</v>
      </c>
      <c r="E3000" s="143">
        <v>45000</v>
      </c>
      <c r="F3000" s="117">
        <v>1403</v>
      </c>
      <c r="G3000" s="360" t="s">
        <v>295</v>
      </c>
      <c r="H3000" s="144">
        <f>bargiri[[#This Row],[میزان بارگیری شده]]*bargiri[[#This Row],[فی]]</f>
        <v>1013400000</v>
      </c>
      <c r="I3000" s="360">
        <f>IF(year=bargiri[[#This Row],[سال]],1,0)</f>
        <v>0</v>
      </c>
      <c r="J3000" s="360" t="str">
        <f>VLOOKUP(bargiri[[#This Row],[شماره پیش فاکتور]],invoice[],16,0)</f>
        <v>عادی</v>
      </c>
      <c r="K3000" s="252">
        <f>bargiri[[#This Row],[فی]]*bargiri[[#This Row],[میزان بارگیری شده]]</f>
        <v>1013400000</v>
      </c>
    </row>
    <row r="3001" spans="1:11" ht="18.600000000000001">
      <c r="A3001" s="360" t="s">
        <v>158</v>
      </c>
      <c r="B3001" s="360" t="s">
        <v>115</v>
      </c>
      <c r="C3001" s="355" t="s">
        <v>66</v>
      </c>
      <c r="D3001">
        <v>22370</v>
      </c>
      <c r="E3001" s="143">
        <v>45000</v>
      </c>
      <c r="F3001" s="117">
        <v>1403</v>
      </c>
      <c r="G3001" s="360" t="s">
        <v>295</v>
      </c>
      <c r="H3001" s="144">
        <f>bargiri[[#This Row],[میزان بارگیری شده]]*bargiri[[#This Row],[فی]]</f>
        <v>1006650000</v>
      </c>
      <c r="I3001" s="360">
        <f>IF(year=bargiri[[#This Row],[سال]],1,0)</f>
        <v>0</v>
      </c>
      <c r="J3001" s="360" t="str">
        <f>VLOOKUP(bargiri[[#This Row],[شماره پیش فاکتور]],invoice[],16,0)</f>
        <v>عادی</v>
      </c>
      <c r="K3001" s="252">
        <f>bargiri[[#This Row],[فی]]*bargiri[[#This Row],[میزان بارگیری شده]]</f>
        <v>1006650000</v>
      </c>
    </row>
    <row r="3002" spans="1:11" ht="18.600000000000001">
      <c r="A3002" s="360" t="s">
        <v>158</v>
      </c>
      <c r="B3002" s="360" t="s">
        <v>115</v>
      </c>
      <c r="C3002" s="355" t="s">
        <v>66</v>
      </c>
      <c r="D3002">
        <v>22690</v>
      </c>
      <c r="E3002" s="143">
        <v>45000</v>
      </c>
      <c r="F3002" s="117">
        <v>1403</v>
      </c>
      <c r="G3002" s="360" t="s">
        <v>295</v>
      </c>
      <c r="H3002" s="144">
        <f>bargiri[[#This Row],[میزان بارگیری شده]]*bargiri[[#This Row],[فی]]</f>
        <v>1021050000</v>
      </c>
      <c r="I3002" s="360">
        <f>IF(year=bargiri[[#This Row],[سال]],1,0)</f>
        <v>0</v>
      </c>
      <c r="J3002" s="360" t="str">
        <f>VLOOKUP(bargiri[[#This Row],[شماره پیش فاکتور]],invoice[],16,0)</f>
        <v>عادی</v>
      </c>
      <c r="K3002" s="252">
        <f>bargiri[[#This Row],[فی]]*bargiri[[#This Row],[میزان بارگیری شده]]</f>
        <v>1021050000</v>
      </c>
    </row>
    <row r="3003" spans="1:11" ht="18.600000000000001">
      <c r="A3003" s="360" t="s">
        <v>477</v>
      </c>
      <c r="B3003" s="360" t="s">
        <v>115</v>
      </c>
      <c r="C3003" s="355" t="s">
        <v>66</v>
      </c>
      <c r="D3003">
        <v>22560</v>
      </c>
      <c r="E3003" s="143">
        <v>45000</v>
      </c>
      <c r="F3003" s="117">
        <v>1403</v>
      </c>
      <c r="G3003" s="360" t="s">
        <v>295</v>
      </c>
      <c r="H3003" s="144">
        <f>bargiri[[#This Row],[میزان بارگیری شده]]*bargiri[[#This Row],[فی]]</f>
        <v>1015200000</v>
      </c>
      <c r="I3003" s="360">
        <f>IF(year=bargiri[[#This Row],[سال]],1,0)</f>
        <v>0</v>
      </c>
      <c r="J3003" s="360" t="str">
        <f>VLOOKUP(bargiri[[#This Row],[شماره پیش فاکتور]],invoice[],16,0)</f>
        <v>عادی</v>
      </c>
      <c r="K3003" s="252">
        <f>bargiri[[#This Row],[فی]]*bargiri[[#This Row],[میزان بارگیری شده]]</f>
        <v>1015200000</v>
      </c>
    </row>
    <row r="3004" spans="1:11" ht="18.600000000000001">
      <c r="A3004" s="360" t="s">
        <v>478</v>
      </c>
      <c r="B3004" s="360" t="s">
        <v>115</v>
      </c>
      <c r="C3004" s="355" t="s">
        <v>66</v>
      </c>
      <c r="D3004">
        <v>22520</v>
      </c>
      <c r="E3004" s="143">
        <v>45000</v>
      </c>
      <c r="F3004" s="117">
        <v>1403</v>
      </c>
      <c r="G3004" s="360" t="s">
        <v>295</v>
      </c>
      <c r="H3004" s="144">
        <f>bargiri[[#This Row],[میزان بارگیری شده]]*bargiri[[#This Row],[فی]]</f>
        <v>1013400000</v>
      </c>
      <c r="I3004" s="360">
        <f>IF(year=bargiri[[#This Row],[سال]],1,0)</f>
        <v>0</v>
      </c>
      <c r="J3004" s="360" t="str">
        <f>VLOOKUP(bargiri[[#This Row],[شماره پیش فاکتور]],invoice[],16,0)</f>
        <v>عادی</v>
      </c>
      <c r="K3004" s="252">
        <f>bargiri[[#This Row],[فی]]*bargiri[[#This Row],[میزان بارگیری شده]]</f>
        <v>1013400000</v>
      </c>
    </row>
    <row r="3005" spans="1:11" ht="18.600000000000001">
      <c r="A3005" s="360" t="s">
        <v>216</v>
      </c>
      <c r="B3005" s="360" t="s">
        <v>115</v>
      </c>
      <c r="C3005" s="355" t="s">
        <v>66</v>
      </c>
      <c r="D3005">
        <v>22550</v>
      </c>
      <c r="E3005" s="143">
        <v>45000</v>
      </c>
      <c r="F3005" s="117">
        <v>1403</v>
      </c>
      <c r="G3005" s="360" t="s">
        <v>295</v>
      </c>
      <c r="H3005" s="144">
        <f>bargiri[[#This Row],[میزان بارگیری شده]]*bargiri[[#This Row],[فی]]</f>
        <v>1014750000</v>
      </c>
      <c r="I3005" s="360">
        <f>IF(year=bargiri[[#This Row],[سال]],1,0)</f>
        <v>0</v>
      </c>
      <c r="J3005" s="360" t="str">
        <f>VLOOKUP(bargiri[[#This Row],[شماره پیش فاکتور]],invoice[],16,0)</f>
        <v>عادی</v>
      </c>
      <c r="K3005" s="252">
        <f>bargiri[[#This Row],[فی]]*bargiri[[#This Row],[میزان بارگیری شده]]</f>
        <v>1014750000</v>
      </c>
    </row>
    <row r="3006" spans="1:11" ht="18.600000000000001">
      <c r="A3006" s="360" t="s">
        <v>226</v>
      </c>
      <c r="B3006" s="360" t="s">
        <v>106</v>
      </c>
      <c r="C3006" s="355" t="s">
        <v>49</v>
      </c>
      <c r="D3006">
        <v>10060</v>
      </c>
      <c r="E3006" s="143">
        <v>50000</v>
      </c>
      <c r="F3006" s="117">
        <v>1403</v>
      </c>
      <c r="G3006" s="360" t="s">
        <v>304</v>
      </c>
      <c r="H3006" s="144">
        <f>bargiri[[#This Row],[میزان بارگیری شده]]*bargiri[[#This Row],[فی]]</f>
        <v>503000000</v>
      </c>
      <c r="I3006" s="360">
        <f>IF(year=bargiri[[#This Row],[سال]],1,0)</f>
        <v>0</v>
      </c>
      <c r="J3006" s="360" t="str">
        <f>VLOOKUP(bargiri[[#This Row],[شماره پیش فاکتور]],invoice[],16,0)</f>
        <v>عادی</v>
      </c>
      <c r="K3006" s="252">
        <f>bargiri[[#This Row],[فی]]*bargiri[[#This Row],[میزان بارگیری شده]]</f>
        <v>503000000</v>
      </c>
    </row>
    <row r="3007" spans="1:11" ht="18.600000000000001">
      <c r="A3007" s="360" t="s">
        <v>226</v>
      </c>
      <c r="B3007" s="360" t="s">
        <v>118</v>
      </c>
      <c r="C3007" s="355" t="s">
        <v>85</v>
      </c>
      <c r="D3007">
        <v>21460</v>
      </c>
      <c r="E3007" s="143">
        <v>56881</v>
      </c>
      <c r="F3007" s="117">
        <v>1403</v>
      </c>
      <c r="G3007" s="360" t="s">
        <v>304</v>
      </c>
      <c r="H3007" s="144">
        <f>bargiri[[#This Row],[میزان بارگیری شده]]*bargiri[[#This Row],[فی]]</f>
        <v>1220666260</v>
      </c>
      <c r="I3007" s="360">
        <f>IF(year=bargiri[[#This Row],[سال]],1,0)</f>
        <v>0</v>
      </c>
      <c r="J3007" s="360" t="str">
        <f>VLOOKUP(bargiri[[#This Row],[شماره پیش فاکتور]],invoice[],16,0)</f>
        <v>عادی</v>
      </c>
      <c r="K3007" s="252">
        <f>bargiri[[#This Row],[فی]]*bargiri[[#This Row],[میزان بارگیری شده]]</f>
        <v>1220666260</v>
      </c>
    </row>
    <row r="3008" spans="1:11" ht="18.600000000000001">
      <c r="A3008" s="360" t="s">
        <v>226</v>
      </c>
      <c r="B3008" s="360" t="s">
        <v>118</v>
      </c>
      <c r="C3008" s="355" t="s">
        <v>85</v>
      </c>
      <c r="D3008">
        <v>20770</v>
      </c>
      <c r="E3008" s="143">
        <v>56881</v>
      </c>
      <c r="F3008" s="117">
        <v>1403</v>
      </c>
      <c r="G3008" s="360" t="s">
        <v>304</v>
      </c>
      <c r="H3008" s="144">
        <f>bargiri[[#This Row],[میزان بارگیری شده]]*bargiri[[#This Row],[فی]]</f>
        <v>1181418370</v>
      </c>
      <c r="I3008" s="360">
        <f>IF(year=bargiri[[#This Row],[سال]],1,0)</f>
        <v>0</v>
      </c>
      <c r="J3008" s="360" t="str">
        <f>VLOOKUP(bargiri[[#This Row],[شماره پیش فاکتور]],invoice[],16,0)</f>
        <v>عادی</v>
      </c>
      <c r="K3008" s="252">
        <f>bargiri[[#This Row],[فی]]*bargiri[[#This Row],[میزان بارگیری شده]]</f>
        <v>1181418370</v>
      </c>
    </row>
    <row r="3009" spans="1:11" ht="18.600000000000001">
      <c r="A3009" s="360" t="s">
        <v>226</v>
      </c>
      <c r="B3009" s="360" t="s">
        <v>118</v>
      </c>
      <c r="C3009" s="355" t="s">
        <v>85</v>
      </c>
      <c r="D3009">
        <v>21090</v>
      </c>
      <c r="E3009" s="143">
        <v>56881</v>
      </c>
      <c r="F3009" s="117">
        <v>1403</v>
      </c>
      <c r="G3009" s="360" t="s">
        <v>304</v>
      </c>
      <c r="H3009" s="144">
        <f>bargiri[[#This Row],[میزان بارگیری شده]]*bargiri[[#This Row],[فی]]</f>
        <v>1199620290</v>
      </c>
      <c r="I3009" s="360">
        <f>IF(year=bargiri[[#This Row],[سال]],1,0)</f>
        <v>0</v>
      </c>
      <c r="J3009" s="360" t="str">
        <f>VLOOKUP(bargiri[[#This Row],[شماره پیش فاکتور]],invoice[],16,0)</f>
        <v>عادی</v>
      </c>
      <c r="K3009" s="252">
        <f>bargiri[[#This Row],[فی]]*bargiri[[#This Row],[میزان بارگیری شده]]</f>
        <v>1199620290</v>
      </c>
    </row>
    <row r="3010" spans="1:11" ht="18.600000000000001">
      <c r="A3010" s="360" t="s">
        <v>463</v>
      </c>
      <c r="B3010" s="360" t="s">
        <v>117</v>
      </c>
      <c r="C3010" s="355" t="s">
        <v>82</v>
      </c>
      <c r="D3010">
        <v>20950</v>
      </c>
      <c r="E3010" s="143">
        <v>70000</v>
      </c>
      <c r="F3010" s="117">
        <v>1403</v>
      </c>
      <c r="G3010" s="360" t="s">
        <v>304</v>
      </c>
      <c r="H3010" s="144">
        <f>bargiri[[#This Row],[میزان بارگیری شده]]*bargiri[[#This Row],[فی]]</f>
        <v>1466500000</v>
      </c>
      <c r="I3010" s="360">
        <f>IF(year=bargiri[[#This Row],[سال]],1,0)</f>
        <v>0</v>
      </c>
      <c r="J3010" s="360" t="str">
        <f>VLOOKUP(bargiri[[#This Row],[شماره پیش فاکتور]],invoice[],16,0)</f>
        <v>عادی</v>
      </c>
      <c r="K3010" s="252">
        <f>bargiri[[#This Row],[فی]]*bargiri[[#This Row],[میزان بارگیری شده]]</f>
        <v>1466500000</v>
      </c>
    </row>
    <row r="3011" spans="1:11" ht="18.600000000000001">
      <c r="A3011" s="360" t="s">
        <v>463</v>
      </c>
      <c r="B3011" s="360" t="s">
        <v>116</v>
      </c>
      <c r="C3011" s="355" t="s">
        <v>77</v>
      </c>
      <c r="D3011">
        <v>19870</v>
      </c>
      <c r="E3011" s="143">
        <v>68500</v>
      </c>
      <c r="F3011" s="117">
        <v>1403</v>
      </c>
      <c r="G3011" s="360" t="s">
        <v>304</v>
      </c>
      <c r="H3011" s="144">
        <f>bargiri[[#This Row],[میزان بارگیری شده]]*bargiri[[#This Row],[فی]]</f>
        <v>1361095000</v>
      </c>
      <c r="I3011" s="360">
        <f>IF(year=bargiri[[#This Row],[سال]],1,0)</f>
        <v>0</v>
      </c>
      <c r="J3011" s="360" t="str">
        <f>VLOOKUP(bargiri[[#This Row],[شماره پیش فاکتور]],invoice[],16,0)</f>
        <v>عادی</v>
      </c>
      <c r="K3011" s="252">
        <f>bargiri[[#This Row],[فی]]*bargiri[[#This Row],[میزان بارگیری شده]]</f>
        <v>1361095000</v>
      </c>
    </row>
    <row r="3012" spans="1:11" ht="18.600000000000001">
      <c r="A3012" s="360" t="s">
        <v>194</v>
      </c>
      <c r="B3012" s="360" t="s">
        <v>101</v>
      </c>
      <c r="C3012" s="355" t="s">
        <v>21</v>
      </c>
      <c r="D3012">
        <v>21130</v>
      </c>
      <c r="E3012" s="143">
        <v>68000</v>
      </c>
      <c r="F3012" s="117">
        <v>1403</v>
      </c>
      <c r="G3012" s="360" t="s">
        <v>304</v>
      </c>
      <c r="H3012" s="144">
        <f>bargiri[[#This Row],[میزان بارگیری شده]]*bargiri[[#This Row],[فی]]</f>
        <v>1436840000</v>
      </c>
      <c r="I3012" s="360">
        <f>IF(year=bargiri[[#This Row],[سال]],1,0)</f>
        <v>0</v>
      </c>
      <c r="J3012" s="360" t="str">
        <f>VLOOKUP(bargiri[[#This Row],[شماره پیش فاکتور]],invoice[],16,0)</f>
        <v>عادی</v>
      </c>
      <c r="K3012" s="252">
        <f>bargiri[[#This Row],[فی]]*bargiri[[#This Row],[میزان بارگیری شده]]</f>
        <v>1436840000</v>
      </c>
    </row>
    <row r="3013" spans="1:11" ht="18.600000000000001">
      <c r="A3013" s="360" t="s">
        <v>189</v>
      </c>
      <c r="B3013" s="360" t="s">
        <v>99</v>
      </c>
      <c r="C3013" s="355" t="s">
        <v>13</v>
      </c>
      <c r="D3013">
        <v>12940</v>
      </c>
      <c r="E3013" s="143">
        <v>65000</v>
      </c>
      <c r="F3013" s="117">
        <v>1403</v>
      </c>
      <c r="G3013" s="360" t="s">
        <v>304</v>
      </c>
      <c r="H3013" s="144">
        <f>bargiri[[#This Row],[میزان بارگیری شده]]*bargiri[[#This Row],[فی]]</f>
        <v>841100000</v>
      </c>
      <c r="I3013" s="360">
        <f>IF(year=bargiri[[#This Row],[سال]],1,0)</f>
        <v>0</v>
      </c>
      <c r="J3013" s="360" t="str">
        <f>VLOOKUP(bargiri[[#This Row],[شماره پیش فاکتور]],invoice[],16,0)</f>
        <v>عادی</v>
      </c>
      <c r="K3013" s="252">
        <f>bargiri[[#This Row],[فی]]*bargiri[[#This Row],[میزان بارگیری شده]]</f>
        <v>841100000</v>
      </c>
    </row>
    <row r="3014" spans="1:11" ht="18.600000000000001">
      <c r="A3014" s="360" t="s">
        <v>189</v>
      </c>
      <c r="B3014" s="360" t="s">
        <v>99</v>
      </c>
      <c r="C3014" s="355" t="s">
        <v>14</v>
      </c>
      <c r="D3014">
        <v>5580</v>
      </c>
      <c r="E3014" s="143">
        <v>50000</v>
      </c>
      <c r="F3014" s="117">
        <v>1403</v>
      </c>
      <c r="G3014" s="360" t="s">
        <v>304</v>
      </c>
      <c r="H3014" s="144">
        <f>bargiri[[#This Row],[میزان بارگیری شده]]*bargiri[[#This Row],[فی]]</f>
        <v>279000000</v>
      </c>
      <c r="I3014" s="360">
        <f>IF(year=bargiri[[#This Row],[سال]],1,0)</f>
        <v>0</v>
      </c>
      <c r="J3014" s="360" t="str">
        <f>VLOOKUP(bargiri[[#This Row],[شماره پیش فاکتور]],invoice[],16,0)</f>
        <v>عادی</v>
      </c>
      <c r="K3014" s="252">
        <f>bargiri[[#This Row],[فی]]*bargiri[[#This Row],[میزان بارگیری شده]]</f>
        <v>279000000</v>
      </c>
    </row>
    <row r="3015" spans="1:11" ht="18.600000000000001">
      <c r="A3015" s="360" t="s">
        <v>199</v>
      </c>
      <c r="B3015" s="360" t="s">
        <v>103</v>
      </c>
      <c r="C3015" s="355" t="s">
        <v>31</v>
      </c>
      <c r="D3015">
        <v>11170</v>
      </c>
      <c r="E3015" s="143">
        <v>90000</v>
      </c>
      <c r="F3015" s="117">
        <v>1403</v>
      </c>
      <c r="G3015" s="360" t="s">
        <v>304</v>
      </c>
      <c r="H3015" s="144">
        <f>bargiri[[#This Row],[میزان بارگیری شده]]*bargiri[[#This Row],[فی]]</f>
        <v>1005300000</v>
      </c>
      <c r="I3015" s="360">
        <f>IF(year=bargiri[[#This Row],[سال]],1,0)</f>
        <v>0</v>
      </c>
      <c r="J3015" s="360" t="str">
        <f>VLOOKUP(bargiri[[#This Row],[شماره پیش فاکتور]],invoice[],16,0)</f>
        <v>عادی</v>
      </c>
      <c r="K3015" s="252">
        <f>bargiri[[#This Row],[فی]]*bargiri[[#This Row],[میزان بارگیری شده]]</f>
        <v>1005300000</v>
      </c>
    </row>
    <row r="3016" spans="1:11" ht="18.600000000000001">
      <c r="A3016" s="360" t="s">
        <v>188</v>
      </c>
      <c r="B3016" s="360" t="s">
        <v>102</v>
      </c>
      <c r="C3016" s="355" t="s">
        <v>26</v>
      </c>
      <c r="D3016">
        <v>4160</v>
      </c>
      <c r="E3016" s="143">
        <v>70000</v>
      </c>
      <c r="F3016" s="117">
        <v>1403</v>
      </c>
      <c r="G3016" s="360" t="s">
        <v>304</v>
      </c>
      <c r="H3016" s="144">
        <f>bargiri[[#This Row],[میزان بارگیری شده]]*bargiri[[#This Row],[فی]]</f>
        <v>291200000</v>
      </c>
      <c r="I3016" s="360">
        <f>IF(year=bargiri[[#This Row],[سال]],1,0)</f>
        <v>0</v>
      </c>
      <c r="J3016" s="360" t="str">
        <f>VLOOKUP(bargiri[[#This Row],[شماره پیش فاکتور]],invoice[],16,0)</f>
        <v>عادی</v>
      </c>
      <c r="K3016" s="252">
        <f>bargiri[[#This Row],[فی]]*bargiri[[#This Row],[میزان بارگیری شده]]</f>
        <v>291200000</v>
      </c>
    </row>
    <row r="3017" spans="1:11" ht="18.600000000000001">
      <c r="A3017" s="360" t="s">
        <v>188</v>
      </c>
      <c r="B3017" s="360" t="s">
        <v>102</v>
      </c>
      <c r="C3017" s="355" t="s">
        <v>27</v>
      </c>
      <c r="D3017">
        <v>7360</v>
      </c>
      <c r="E3017" s="143">
        <v>56000</v>
      </c>
      <c r="F3017" s="117">
        <v>1403</v>
      </c>
      <c r="G3017" s="360" t="s">
        <v>304</v>
      </c>
      <c r="H3017" s="144">
        <f>bargiri[[#This Row],[میزان بارگیری شده]]*bargiri[[#This Row],[فی]]</f>
        <v>412160000</v>
      </c>
      <c r="I3017" s="360">
        <f>IF(year=bargiri[[#This Row],[سال]],1,0)</f>
        <v>0</v>
      </c>
      <c r="J3017" s="360" t="str">
        <f>VLOOKUP(bargiri[[#This Row],[شماره پیش فاکتور]],invoice[],16,0)</f>
        <v>عادی</v>
      </c>
      <c r="K3017" s="252">
        <f>bargiri[[#This Row],[فی]]*bargiri[[#This Row],[میزان بارگیری شده]]</f>
        <v>412160000</v>
      </c>
    </row>
    <row r="3018" spans="1:11" ht="18.600000000000001">
      <c r="A3018" s="360" t="s">
        <v>189</v>
      </c>
      <c r="B3018" s="360" t="s">
        <v>99</v>
      </c>
      <c r="C3018" s="355" t="s">
        <v>14</v>
      </c>
      <c r="D3018">
        <v>18160</v>
      </c>
      <c r="E3018" s="143">
        <v>50000</v>
      </c>
      <c r="F3018" s="117">
        <v>1403</v>
      </c>
      <c r="G3018" s="360" t="s">
        <v>304</v>
      </c>
      <c r="H3018" s="144">
        <f>bargiri[[#This Row],[میزان بارگیری شده]]*bargiri[[#This Row],[فی]]</f>
        <v>908000000</v>
      </c>
      <c r="I3018" s="360">
        <f>IF(year=bargiri[[#This Row],[سال]],1,0)</f>
        <v>0</v>
      </c>
      <c r="J3018" s="360" t="str">
        <f>VLOOKUP(bargiri[[#This Row],[شماره پیش فاکتور]],invoice[],16,0)</f>
        <v>عادی</v>
      </c>
      <c r="K3018" s="252">
        <f>bargiri[[#This Row],[فی]]*bargiri[[#This Row],[میزان بارگیری شده]]</f>
        <v>908000000</v>
      </c>
    </row>
    <row r="3019" spans="1:11" ht="18.600000000000001">
      <c r="A3019" s="360" t="s">
        <v>189</v>
      </c>
      <c r="B3019" s="360" t="s">
        <v>116</v>
      </c>
      <c r="C3019" s="355" t="s">
        <v>77</v>
      </c>
      <c r="D3019">
        <v>20170</v>
      </c>
      <c r="E3019" s="143">
        <v>68500</v>
      </c>
      <c r="F3019" s="117">
        <v>1403</v>
      </c>
      <c r="G3019" s="360" t="s">
        <v>304</v>
      </c>
      <c r="H3019" s="144">
        <f>bargiri[[#This Row],[میزان بارگیری شده]]*bargiri[[#This Row],[فی]]</f>
        <v>1381645000</v>
      </c>
      <c r="I3019" s="360">
        <f>IF(year=bargiri[[#This Row],[سال]],1,0)</f>
        <v>0</v>
      </c>
      <c r="J3019" s="360" t="str">
        <f>VLOOKUP(bargiri[[#This Row],[شماره پیش فاکتور]],invoice[],16,0)</f>
        <v>عادی</v>
      </c>
      <c r="K3019" s="252">
        <f>bargiri[[#This Row],[فی]]*bargiri[[#This Row],[میزان بارگیری شده]]</f>
        <v>1381645000</v>
      </c>
    </row>
    <row r="3020" spans="1:11" ht="18.600000000000001">
      <c r="A3020" s="360" t="s">
        <v>189</v>
      </c>
      <c r="B3020" s="360" t="s">
        <v>98</v>
      </c>
      <c r="C3020" s="355" t="s">
        <v>11</v>
      </c>
      <c r="D3020">
        <v>22140</v>
      </c>
      <c r="E3020" s="143">
        <v>77000</v>
      </c>
      <c r="F3020" s="117">
        <v>1403</v>
      </c>
      <c r="G3020" s="360" t="s">
        <v>304</v>
      </c>
      <c r="H3020" s="144">
        <f>bargiri[[#This Row],[میزان بارگیری شده]]*bargiri[[#This Row],[فی]]</f>
        <v>1704780000</v>
      </c>
      <c r="I3020" s="360">
        <f>IF(year=bargiri[[#This Row],[سال]],1,0)</f>
        <v>0</v>
      </c>
      <c r="J3020" s="360" t="str">
        <f>VLOOKUP(bargiri[[#This Row],[شماره پیش فاکتور]],invoice[],16,0)</f>
        <v>عادی</v>
      </c>
      <c r="K3020" s="252">
        <f>bargiri[[#This Row],[فی]]*bargiri[[#This Row],[میزان بارگیری شده]]</f>
        <v>1704780000</v>
      </c>
    </row>
    <row r="3021" spans="1:11" ht="18.600000000000001">
      <c r="A3021" s="360" t="s">
        <v>194</v>
      </c>
      <c r="B3021" s="360" t="s">
        <v>108</v>
      </c>
      <c r="C3021" s="355" t="s">
        <v>53</v>
      </c>
      <c r="D3021">
        <v>20010</v>
      </c>
      <c r="E3021" s="143">
        <v>70000</v>
      </c>
      <c r="F3021" s="117">
        <v>1403</v>
      </c>
      <c r="G3021" s="360" t="s">
        <v>304</v>
      </c>
      <c r="H3021" s="144">
        <f>bargiri[[#This Row],[میزان بارگیری شده]]*bargiri[[#This Row],[فی]]</f>
        <v>1400700000</v>
      </c>
      <c r="I3021" s="360">
        <f>IF(year=bargiri[[#This Row],[سال]],1,0)</f>
        <v>0</v>
      </c>
      <c r="J3021" s="360" t="str">
        <f>VLOOKUP(bargiri[[#This Row],[شماره پیش فاکتور]],invoice[],16,0)</f>
        <v>عادی</v>
      </c>
      <c r="K3021" s="252">
        <f>bargiri[[#This Row],[فی]]*bargiri[[#This Row],[میزان بارگیری شده]]</f>
        <v>1400700000</v>
      </c>
    </row>
    <row r="3022" spans="1:11" ht="18.600000000000001">
      <c r="A3022" s="360" t="s">
        <v>194</v>
      </c>
      <c r="B3022" s="360" t="s">
        <v>117</v>
      </c>
      <c r="C3022" s="355" t="s">
        <v>82</v>
      </c>
      <c r="D3022">
        <v>6280</v>
      </c>
      <c r="E3022" s="143">
        <v>70000</v>
      </c>
      <c r="F3022" s="117">
        <v>1403</v>
      </c>
      <c r="G3022" s="360" t="s">
        <v>304</v>
      </c>
      <c r="H3022" s="144">
        <f>bargiri[[#This Row],[میزان بارگیری شده]]*bargiri[[#This Row],[فی]]</f>
        <v>439600000</v>
      </c>
      <c r="I3022" s="360">
        <f>IF(year=bargiri[[#This Row],[سال]],1,0)</f>
        <v>0</v>
      </c>
      <c r="J3022" s="360" t="str">
        <f>VLOOKUP(bargiri[[#This Row],[شماره پیش فاکتور]],invoice[],16,0)</f>
        <v>عادی</v>
      </c>
      <c r="K3022" s="252">
        <f>bargiri[[#This Row],[فی]]*bargiri[[#This Row],[میزان بارگیری شده]]</f>
        <v>439600000</v>
      </c>
    </row>
    <row r="3023" spans="1:11" ht="18.600000000000001">
      <c r="A3023" s="360" t="s">
        <v>188</v>
      </c>
      <c r="B3023" s="360" t="s">
        <v>117</v>
      </c>
      <c r="C3023" s="355" t="s">
        <v>82</v>
      </c>
      <c r="D3023">
        <v>23060</v>
      </c>
      <c r="E3023" s="143">
        <v>70000</v>
      </c>
      <c r="F3023" s="117">
        <v>1403</v>
      </c>
      <c r="G3023" s="360" t="s">
        <v>304</v>
      </c>
      <c r="H3023" s="144">
        <f>bargiri[[#This Row],[میزان بارگیری شده]]*bargiri[[#This Row],[فی]]</f>
        <v>1614200000</v>
      </c>
      <c r="I3023" s="360">
        <f>IF(year=bargiri[[#This Row],[سال]],1,0)</f>
        <v>0</v>
      </c>
      <c r="J3023" s="360" t="str">
        <f>VLOOKUP(bargiri[[#This Row],[شماره پیش فاکتور]],invoice[],16,0)</f>
        <v>عادی</v>
      </c>
      <c r="K3023" s="252">
        <f>bargiri[[#This Row],[فی]]*bargiri[[#This Row],[میزان بارگیری شده]]</f>
        <v>1614200000</v>
      </c>
    </row>
    <row r="3024" spans="1:11" ht="18.600000000000001">
      <c r="A3024" s="360" t="s">
        <v>200</v>
      </c>
      <c r="B3024" s="360" t="s">
        <v>117</v>
      </c>
      <c r="C3024" s="355" t="s">
        <v>81</v>
      </c>
      <c r="D3024">
        <v>6140</v>
      </c>
      <c r="E3024" s="143">
        <v>70000</v>
      </c>
      <c r="F3024" s="117">
        <v>1403</v>
      </c>
      <c r="G3024" s="360" t="s">
        <v>311</v>
      </c>
      <c r="H3024" s="144">
        <f>bargiri[[#This Row],[میزان بارگیری شده]]*bargiri[[#This Row],[فی]]</f>
        <v>429800000</v>
      </c>
      <c r="I3024" s="360">
        <f>IF(year=bargiri[[#This Row],[سال]],1,0)</f>
        <v>0</v>
      </c>
      <c r="J3024" s="360" t="str">
        <f>VLOOKUP(bargiri[[#This Row],[شماره پیش فاکتور]],invoice[],16,0)</f>
        <v>عادی</v>
      </c>
      <c r="K3024" s="252">
        <f>bargiri[[#This Row],[فی]]*bargiri[[#This Row],[میزان بارگیری شده]]</f>
        <v>429800000</v>
      </c>
    </row>
    <row r="3025" spans="1:11" ht="18.600000000000001">
      <c r="A3025" s="360" t="s">
        <v>199</v>
      </c>
      <c r="B3025" s="360" t="s">
        <v>102</v>
      </c>
      <c r="C3025" s="355" t="s">
        <v>26</v>
      </c>
      <c r="D3025">
        <v>10320</v>
      </c>
      <c r="E3025" s="143">
        <v>70000</v>
      </c>
      <c r="F3025" s="117">
        <v>1403</v>
      </c>
      <c r="G3025" s="360" t="s">
        <v>304</v>
      </c>
      <c r="H3025" s="144">
        <f>bargiri[[#This Row],[میزان بارگیری شده]]*bargiri[[#This Row],[فی]]</f>
        <v>722400000</v>
      </c>
      <c r="I3025" s="360">
        <f>IF(year=bargiri[[#This Row],[سال]],1,0)</f>
        <v>0</v>
      </c>
      <c r="J3025" s="360" t="str">
        <f>VLOOKUP(bargiri[[#This Row],[شماره پیش فاکتور]],invoice[],16,0)</f>
        <v>عادی</v>
      </c>
      <c r="K3025" s="252">
        <f>bargiri[[#This Row],[فی]]*bargiri[[#This Row],[میزان بارگیری شده]]</f>
        <v>722400000</v>
      </c>
    </row>
    <row r="3026" spans="1:11" ht="18.600000000000001">
      <c r="A3026" s="360" t="s">
        <v>194</v>
      </c>
      <c r="B3026" s="360" t="s">
        <v>102</v>
      </c>
      <c r="C3026" s="355" t="s">
        <v>26</v>
      </c>
      <c r="D3026">
        <v>9520</v>
      </c>
      <c r="E3026" s="143">
        <v>70000</v>
      </c>
      <c r="F3026" s="117">
        <v>1403</v>
      </c>
      <c r="G3026" s="360" t="s">
        <v>304</v>
      </c>
      <c r="H3026" s="144">
        <f>bargiri[[#This Row],[میزان بارگیری شده]]*bargiri[[#This Row],[فی]]</f>
        <v>666400000</v>
      </c>
      <c r="I3026" s="360">
        <f>IF(year=bargiri[[#This Row],[سال]],1,0)</f>
        <v>0</v>
      </c>
      <c r="J3026" s="360" t="str">
        <f>VLOOKUP(bargiri[[#This Row],[شماره پیش فاکتور]],invoice[],16,0)</f>
        <v>عادی</v>
      </c>
      <c r="K3026" s="252">
        <f>bargiri[[#This Row],[فی]]*bargiri[[#This Row],[میزان بارگیری شده]]</f>
        <v>666400000</v>
      </c>
    </row>
    <row r="3027" spans="1:11" ht="18.600000000000001">
      <c r="A3027" s="360" t="s">
        <v>194</v>
      </c>
      <c r="B3027" s="360" t="s">
        <v>102</v>
      </c>
      <c r="C3027" s="355" t="s">
        <v>26</v>
      </c>
      <c r="D3027">
        <v>8070</v>
      </c>
      <c r="E3027" s="143">
        <v>70000</v>
      </c>
      <c r="F3027" s="117">
        <v>1403</v>
      </c>
      <c r="G3027" s="360" t="s">
        <v>304</v>
      </c>
      <c r="H3027" s="144">
        <f>bargiri[[#This Row],[میزان بارگیری شده]]*bargiri[[#This Row],[فی]]</f>
        <v>564900000</v>
      </c>
      <c r="I3027" s="360">
        <f>IF(year=bargiri[[#This Row],[سال]],1,0)</f>
        <v>0</v>
      </c>
      <c r="J3027" s="360" t="str">
        <f>VLOOKUP(bargiri[[#This Row],[شماره پیش فاکتور]],invoice[],16,0)</f>
        <v>عادی</v>
      </c>
      <c r="K3027" s="252">
        <f>bargiri[[#This Row],[فی]]*bargiri[[#This Row],[میزان بارگیری شده]]</f>
        <v>564900000</v>
      </c>
    </row>
    <row r="3028" spans="1:11" ht="18.600000000000001">
      <c r="A3028" s="360" t="s">
        <v>464</v>
      </c>
      <c r="B3028" s="360" t="s">
        <v>116</v>
      </c>
      <c r="C3028" s="355" t="s">
        <v>77</v>
      </c>
      <c r="D3028">
        <v>20030</v>
      </c>
      <c r="E3028" s="143">
        <v>68500</v>
      </c>
      <c r="F3028" s="117">
        <v>1403</v>
      </c>
      <c r="G3028" s="360" t="s">
        <v>304</v>
      </c>
      <c r="H3028" s="144">
        <f>bargiri[[#This Row],[میزان بارگیری شده]]*bargiri[[#This Row],[فی]]</f>
        <v>1372055000</v>
      </c>
      <c r="I3028" s="360">
        <f>IF(year=bargiri[[#This Row],[سال]],1,0)</f>
        <v>0</v>
      </c>
      <c r="J3028" s="360" t="str">
        <f>VLOOKUP(bargiri[[#This Row],[شماره پیش فاکتور]],invoice[],16,0)</f>
        <v>عادی</v>
      </c>
      <c r="K3028" s="252">
        <f>bargiri[[#This Row],[فی]]*bargiri[[#This Row],[میزان بارگیری شده]]</f>
        <v>1372055000</v>
      </c>
    </row>
    <row r="3029" spans="1:11" ht="18.600000000000001">
      <c r="A3029" s="360" t="s">
        <v>464</v>
      </c>
      <c r="B3029" s="360" t="s">
        <v>98</v>
      </c>
      <c r="C3029" s="355" t="s">
        <v>11</v>
      </c>
      <c r="D3029">
        <v>22390</v>
      </c>
      <c r="E3029" s="143">
        <v>77000</v>
      </c>
      <c r="F3029" s="117">
        <v>1403</v>
      </c>
      <c r="G3029" s="360" t="s">
        <v>304</v>
      </c>
      <c r="H3029" s="144">
        <f>bargiri[[#This Row],[میزان بارگیری شده]]*bargiri[[#This Row],[فی]]</f>
        <v>1724030000</v>
      </c>
      <c r="I3029" s="360">
        <f>IF(year=bargiri[[#This Row],[سال]],1,0)</f>
        <v>0</v>
      </c>
      <c r="J3029" s="360" t="str">
        <f>VLOOKUP(bargiri[[#This Row],[شماره پیش فاکتور]],invoice[],16,0)</f>
        <v>عادی</v>
      </c>
      <c r="K3029" s="252">
        <f>bargiri[[#This Row],[فی]]*bargiri[[#This Row],[میزان بارگیری شده]]</f>
        <v>1724030000</v>
      </c>
    </row>
    <row r="3030" spans="1:11" ht="18.600000000000001">
      <c r="A3030" s="360" t="s">
        <v>464</v>
      </c>
      <c r="B3030" s="360" t="s">
        <v>99</v>
      </c>
      <c r="C3030" s="355" t="s">
        <v>14</v>
      </c>
      <c r="D3030">
        <v>18590</v>
      </c>
      <c r="E3030" s="143">
        <v>50000</v>
      </c>
      <c r="F3030" s="117">
        <v>1403</v>
      </c>
      <c r="G3030" s="360" t="s">
        <v>304</v>
      </c>
      <c r="H3030" s="144">
        <f>bargiri[[#This Row],[میزان بارگیری شده]]*bargiri[[#This Row],[فی]]</f>
        <v>929500000</v>
      </c>
      <c r="I3030" s="360">
        <f>IF(year=bargiri[[#This Row],[سال]],1,0)</f>
        <v>0</v>
      </c>
      <c r="J3030" s="360" t="str">
        <f>VLOOKUP(bargiri[[#This Row],[شماره پیش فاکتور]],invoice[],16,0)</f>
        <v>عادی</v>
      </c>
      <c r="K3030" s="252">
        <f>bargiri[[#This Row],[فی]]*bargiri[[#This Row],[میزان بارگیری شده]]</f>
        <v>929500000</v>
      </c>
    </row>
    <row r="3031" spans="1:11" ht="18.600000000000001">
      <c r="A3031" s="360" t="s">
        <v>199</v>
      </c>
      <c r="B3031" s="360" t="s">
        <v>116</v>
      </c>
      <c r="C3031" s="355" t="s">
        <v>77</v>
      </c>
      <c r="D3031">
        <v>21710</v>
      </c>
      <c r="E3031" s="143">
        <v>68500</v>
      </c>
      <c r="F3031" s="117">
        <v>1403</v>
      </c>
      <c r="G3031" s="360" t="s">
        <v>304</v>
      </c>
      <c r="H3031" s="144">
        <f>bargiri[[#This Row],[میزان بارگیری شده]]*bargiri[[#This Row],[فی]]</f>
        <v>1487135000</v>
      </c>
      <c r="I3031" s="360">
        <f>IF(year=bargiri[[#This Row],[سال]],1,0)</f>
        <v>0</v>
      </c>
      <c r="J3031" s="360" t="str">
        <f>VLOOKUP(bargiri[[#This Row],[شماره پیش فاکتور]],invoice[],16,0)</f>
        <v>عادی</v>
      </c>
      <c r="K3031" s="252">
        <f>bargiri[[#This Row],[فی]]*bargiri[[#This Row],[میزان بارگیری شده]]</f>
        <v>1487135000</v>
      </c>
    </row>
    <row r="3032" spans="1:11" ht="18.600000000000001">
      <c r="A3032" s="360" t="s">
        <v>199</v>
      </c>
      <c r="B3032" s="360" t="s">
        <v>116</v>
      </c>
      <c r="C3032" s="355" t="s">
        <v>77</v>
      </c>
      <c r="D3032">
        <v>20050</v>
      </c>
      <c r="E3032" s="143">
        <v>68500</v>
      </c>
      <c r="F3032" s="117">
        <v>1403</v>
      </c>
      <c r="G3032" s="360" t="s">
        <v>304</v>
      </c>
      <c r="H3032" s="144">
        <f>bargiri[[#This Row],[میزان بارگیری شده]]*bargiri[[#This Row],[فی]]</f>
        <v>1373425000</v>
      </c>
      <c r="I3032" s="360">
        <f>IF(year=bargiri[[#This Row],[سال]],1,0)</f>
        <v>0</v>
      </c>
      <c r="J3032" s="360" t="str">
        <f>VLOOKUP(bargiri[[#This Row],[شماره پیش فاکتور]],invoice[],16,0)</f>
        <v>عادی</v>
      </c>
      <c r="K3032" s="252">
        <f>bargiri[[#This Row],[فی]]*bargiri[[#This Row],[میزان بارگیری شده]]</f>
        <v>1373425000</v>
      </c>
    </row>
    <row r="3033" spans="1:11" ht="18.600000000000001">
      <c r="A3033" s="360" t="s">
        <v>188</v>
      </c>
      <c r="B3033" s="360" t="s">
        <v>103</v>
      </c>
      <c r="C3033" s="355" t="s">
        <v>31</v>
      </c>
      <c r="D3033">
        <v>7620</v>
      </c>
      <c r="E3033" s="143">
        <v>90000</v>
      </c>
      <c r="F3033" s="117">
        <v>1403</v>
      </c>
      <c r="G3033" s="360" t="s">
        <v>304</v>
      </c>
      <c r="H3033" s="144">
        <f>bargiri[[#This Row],[میزان بارگیری شده]]*bargiri[[#This Row],[فی]]</f>
        <v>685800000</v>
      </c>
      <c r="I3033" s="360">
        <f>IF(year=bargiri[[#This Row],[سال]],1,0)</f>
        <v>0</v>
      </c>
      <c r="J3033" s="360" t="str">
        <f>VLOOKUP(bargiri[[#This Row],[شماره پیش فاکتور]],invoice[],16,0)</f>
        <v>عادی</v>
      </c>
      <c r="K3033" s="252">
        <f>bargiri[[#This Row],[فی]]*bargiri[[#This Row],[میزان بارگیری شده]]</f>
        <v>685800000</v>
      </c>
    </row>
    <row r="3034" spans="1:11" ht="18.600000000000001">
      <c r="A3034" s="360" t="s">
        <v>188</v>
      </c>
      <c r="B3034" s="360" t="s">
        <v>98</v>
      </c>
      <c r="C3034" s="355" t="s">
        <v>11</v>
      </c>
      <c r="D3034">
        <v>20200</v>
      </c>
      <c r="E3034" s="143">
        <v>77000</v>
      </c>
      <c r="F3034" s="117">
        <v>1403</v>
      </c>
      <c r="G3034" s="360" t="s">
        <v>304</v>
      </c>
      <c r="H3034" s="144">
        <f>bargiri[[#This Row],[میزان بارگیری شده]]*bargiri[[#This Row],[فی]]</f>
        <v>1555400000</v>
      </c>
      <c r="I3034" s="360">
        <f>IF(year=bargiri[[#This Row],[سال]],1,0)</f>
        <v>0</v>
      </c>
      <c r="J3034" s="360" t="str">
        <f>VLOOKUP(bargiri[[#This Row],[شماره پیش فاکتور]],invoice[],16,0)</f>
        <v>عادی</v>
      </c>
      <c r="K3034" s="252">
        <f>bargiri[[#This Row],[فی]]*bargiri[[#This Row],[میزان بارگیری شده]]</f>
        <v>1555400000</v>
      </c>
    </row>
    <row r="3035" spans="1:11" ht="18.600000000000001">
      <c r="A3035" s="360" t="s">
        <v>188</v>
      </c>
      <c r="B3035" s="360" t="s">
        <v>116</v>
      </c>
      <c r="C3035" s="355" t="s">
        <v>77</v>
      </c>
      <c r="D3035">
        <v>20160</v>
      </c>
      <c r="E3035" s="143">
        <v>68500</v>
      </c>
      <c r="F3035" s="117">
        <v>1403</v>
      </c>
      <c r="G3035" s="360" t="s">
        <v>304</v>
      </c>
      <c r="H3035" s="144">
        <f>bargiri[[#This Row],[میزان بارگیری شده]]*bargiri[[#This Row],[فی]]</f>
        <v>1380960000</v>
      </c>
      <c r="I3035" s="360">
        <f>IF(year=bargiri[[#This Row],[سال]],1,0)</f>
        <v>0</v>
      </c>
      <c r="J3035" s="360" t="str">
        <f>VLOOKUP(bargiri[[#This Row],[شماره پیش فاکتور]],invoice[],16,0)</f>
        <v>عادی</v>
      </c>
      <c r="K3035" s="252">
        <f>bargiri[[#This Row],[فی]]*bargiri[[#This Row],[میزان بارگیری شده]]</f>
        <v>1380960000</v>
      </c>
    </row>
    <row r="3036" spans="1:11" ht="18.600000000000001">
      <c r="A3036" s="360" t="s">
        <v>202</v>
      </c>
      <c r="B3036" s="360" t="s">
        <v>116</v>
      </c>
      <c r="C3036" s="355" t="s">
        <v>77</v>
      </c>
      <c r="D3036">
        <v>20190</v>
      </c>
      <c r="E3036" s="143">
        <v>68500</v>
      </c>
      <c r="F3036" s="117">
        <v>1403</v>
      </c>
      <c r="G3036" s="360" t="s">
        <v>304</v>
      </c>
      <c r="H3036" s="144">
        <f>bargiri[[#This Row],[میزان بارگیری شده]]*bargiri[[#This Row],[فی]]</f>
        <v>1383015000</v>
      </c>
      <c r="I3036" s="360">
        <f>IF(year=bargiri[[#This Row],[سال]],1,0)</f>
        <v>0</v>
      </c>
      <c r="J3036" s="360" t="str">
        <f>VLOOKUP(bargiri[[#This Row],[شماره پیش فاکتور]],invoice[],16,0)</f>
        <v>عادی</v>
      </c>
      <c r="K3036" s="252">
        <f>bargiri[[#This Row],[فی]]*bargiri[[#This Row],[میزان بارگیری شده]]</f>
        <v>1383015000</v>
      </c>
    </row>
    <row r="3037" spans="1:11" ht="18.600000000000001">
      <c r="A3037" s="360" t="s">
        <v>202</v>
      </c>
      <c r="B3037" s="360" t="s">
        <v>106</v>
      </c>
      <c r="C3037" s="355" t="s">
        <v>49</v>
      </c>
      <c r="D3037">
        <v>21090</v>
      </c>
      <c r="E3037" s="143">
        <v>50000</v>
      </c>
      <c r="F3037" s="117">
        <v>1403</v>
      </c>
      <c r="G3037" s="360" t="s">
        <v>304</v>
      </c>
      <c r="H3037" s="144">
        <f>bargiri[[#This Row],[میزان بارگیری شده]]*bargiri[[#This Row],[فی]]</f>
        <v>1054500000</v>
      </c>
      <c r="I3037" s="360">
        <f>IF(year=bargiri[[#This Row],[سال]],1,0)</f>
        <v>0</v>
      </c>
      <c r="J3037" s="360" t="str">
        <f>VLOOKUP(bargiri[[#This Row],[شماره پیش فاکتور]],invoice[],16,0)</f>
        <v>عادی</v>
      </c>
      <c r="K3037" s="252">
        <f>bargiri[[#This Row],[فی]]*bargiri[[#This Row],[میزان بارگیری شده]]</f>
        <v>1054500000</v>
      </c>
    </row>
    <row r="3038" spans="1:11" ht="18.600000000000001">
      <c r="A3038" s="360" t="s">
        <v>202</v>
      </c>
      <c r="B3038" s="360" t="s">
        <v>103</v>
      </c>
      <c r="C3038" s="355" t="s">
        <v>31</v>
      </c>
      <c r="D3038">
        <v>7620</v>
      </c>
      <c r="E3038" s="143">
        <v>90000</v>
      </c>
      <c r="F3038" s="117">
        <v>1403</v>
      </c>
      <c r="G3038" s="360" t="s">
        <v>304</v>
      </c>
      <c r="H3038" s="144">
        <f>bargiri[[#This Row],[میزان بارگیری شده]]*bargiri[[#This Row],[فی]]</f>
        <v>685800000</v>
      </c>
      <c r="I3038" s="360">
        <f>IF(year=bargiri[[#This Row],[سال]],1,0)</f>
        <v>0</v>
      </c>
      <c r="J3038" s="360" t="str">
        <f>VLOOKUP(bargiri[[#This Row],[شماره پیش فاکتور]],invoice[],16,0)</f>
        <v>عادی</v>
      </c>
      <c r="K3038" s="252">
        <f>bargiri[[#This Row],[فی]]*bargiri[[#This Row],[میزان بارگیری شده]]</f>
        <v>685800000</v>
      </c>
    </row>
    <row r="3039" spans="1:11" ht="18.600000000000001">
      <c r="A3039" s="360" t="s">
        <v>200</v>
      </c>
      <c r="B3039" s="360" t="s">
        <v>103</v>
      </c>
      <c r="C3039" s="355" t="s">
        <v>31</v>
      </c>
      <c r="D3039">
        <v>7490</v>
      </c>
      <c r="E3039" s="143">
        <v>90000</v>
      </c>
      <c r="F3039" s="117">
        <v>1403</v>
      </c>
      <c r="G3039" s="360" t="s">
        <v>311</v>
      </c>
      <c r="H3039" s="144">
        <f>bargiri[[#This Row],[میزان بارگیری شده]]*bargiri[[#This Row],[فی]]</f>
        <v>674100000</v>
      </c>
      <c r="I3039" s="360">
        <f>IF(year=bargiri[[#This Row],[سال]],1,0)</f>
        <v>0</v>
      </c>
      <c r="J3039" s="360" t="str">
        <f>VLOOKUP(bargiri[[#This Row],[شماره پیش فاکتور]],invoice[],16,0)</f>
        <v>عادی</v>
      </c>
      <c r="K3039" s="252">
        <f>bargiri[[#This Row],[فی]]*bargiri[[#This Row],[میزان بارگیری شده]]</f>
        <v>674100000</v>
      </c>
    </row>
    <row r="3040" spans="1:11" ht="18.600000000000001">
      <c r="A3040" s="360" t="s">
        <v>200</v>
      </c>
      <c r="B3040" s="360" t="s">
        <v>116</v>
      </c>
      <c r="C3040" s="355" t="s">
        <v>77</v>
      </c>
      <c r="D3040">
        <v>19770</v>
      </c>
      <c r="E3040" s="143">
        <v>68500</v>
      </c>
      <c r="F3040" s="117">
        <v>1403</v>
      </c>
      <c r="G3040" s="360" t="s">
        <v>311</v>
      </c>
      <c r="H3040" s="144">
        <f>bargiri[[#This Row],[میزان بارگیری شده]]*bargiri[[#This Row],[فی]]</f>
        <v>1354245000</v>
      </c>
      <c r="I3040" s="360">
        <f>IF(year=bargiri[[#This Row],[سال]],1,0)</f>
        <v>0</v>
      </c>
      <c r="J3040" s="360" t="str">
        <f>VLOOKUP(bargiri[[#This Row],[شماره پیش فاکتور]],invoice[],16,0)</f>
        <v>عادی</v>
      </c>
      <c r="K3040" s="252">
        <f>bargiri[[#This Row],[فی]]*bargiri[[#This Row],[میزان بارگیری شده]]</f>
        <v>1354245000</v>
      </c>
    </row>
    <row r="3041" spans="1:11" ht="18.600000000000001">
      <c r="A3041" s="360" t="s">
        <v>200</v>
      </c>
      <c r="B3041" s="360" t="s">
        <v>102</v>
      </c>
      <c r="C3041" s="355" t="s">
        <v>27</v>
      </c>
      <c r="D3041">
        <v>11220</v>
      </c>
      <c r="E3041" s="143">
        <v>56000</v>
      </c>
      <c r="F3041" s="117">
        <v>1403</v>
      </c>
      <c r="G3041" s="360" t="s">
        <v>311</v>
      </c>
      <c r="H3041" s="144">
        <f>bargiri[[#This Row],[میزان بارگیری شده]]*bargiri[[#This Row],[فی]]</f>
        <v>628320000</v>
      </c>
      <c r="I3041" s="360">
        <f>IF(year=bargiri[[#This Row],[سال]],1,0)</f>
        <v>0</v>
      </c>
      <c r="J3041" s="360" t="str">
        <f>VLOOKUP(bargiri[[#This Row],[شماره پیش فاکتور]],invoice[],16,0)</f>
        <v>عادی</v>
      </c>
      <c r="K3041" s="252">
        <f>bargiri[[#This Row],[فی]]*bargiri[[#This Row],[میزان بارگیری شده]]</f>
        <v>628320000</v>
      </c>
    </row>
    <row r="3042" spans="1:11" ht="18.600000000000001">
      <c r="A3042" s="360" t="s">
        <v>200</v>
      </c>
      <c r="B3042" s="360" t="s">
        <v>106</v>
      </c>
      <c r="C3042" s="355" t="s">
        <v>49</v>
      </c>
      <c r="D3042">
        <v>20920</v>
      </c>
      <c r="E3042" s="143">
        <v>50000</v>
      </c>
      <c r="F3042" s="117">
        <v>1403</v>
      </c>
      <c r="G3042" s="360" t="s">
        <v>311</v>
      </c>
      <c r="H3042" s="144">
        <f>bargiri[[#This Row],[میزان بارگیری شده]]*bargiri[[#This Row],[فی]]</f>
        <v>1046000000</v>
      </c>
      <c r="I3042" s="360">
        <f>IF(year=bargiri[[#This Row],[سال]],1,0)</f>
        <v>0</v>
      </c>
      <c r="J3042" s="360" t="str">
        <f>VLOOKUP(bargiri[[#This Row],[شماره پیش فاکتور]],invoice[],16,0)</f>
        <v>عادی</v>
      </c>
      <c r="K3042" s="252">
        <f>bargiri[[#This Row],[فی]]*bargiri[[#This Row],[میزان بارگیری شده]]</f>
        <v>1046000000</v>
      </c>
    </row>
    <row r="3043" spans="1:11" ht="18.600000000000001">
      <c r="A3043" s="360" t="s">
        <v>179</v>
      </c>
      <c r="B3043" s="360" t="s">
        <v>116</v>
      </c>
      <c r="C3043" s="355" t="s">
        <v>77</v>
      </c>
      <c r="D3043">
        <v>12010</v>
      </c>
      <c r="E3043" s="143">
        <v>68500</v>
      </c>
      <c r="F3043" s="117">
        <v>1403</v>
      </c>
      <c r="G3043" s="360" t="s">
        <v>311</v>
      </c>
      <c r="H3043" s="144">
        <f>bargiri[[#This Row],[میزان بارگیری شده]]*bargiri[[#This Row],[فی]]</f>
        <v>822685000</v>
      </c>
      <c r="I3043" s="360">
        <f>IF(year=bargiri[[#This Row],[سال]],1,0)</f>
        <v>0</v>
      </c>
      <c r="J3043" s="360" t="str">
        <f>VLOOKUP(bargiri[[#This Row],[شماره پیش فاکتور]],invoice[],16,0)</f>
        <v>عادی</v>
      </c>
      <c r="K3043" s="252">
        <f>bargiri[[#This Row],[فی]]*bargiri[[#This Row],[میزان بارگیری شده]]</f>
        <v>822685000</v>
      </c>
    </row>
    <row r="3044" spans="1:11" ht="18.600000000000001">
      <c r="A3044" s="360" t="s">
        <v>208</v>
      </c>
      <c r="B3044" s="360" t="s">
        <v>116</v>
      </c>
      <c r="C3044" s="355" t="s">
        <v>77</v>
      </c>
      <c r="D3044">
        <v>21870</v>
      </c>
      <c r="E3044" s="143">
        <v>68500</v>
      </c>
      <c r="F3044" s="117">
        <v>1403</v>
      </c>
      <c r="G3044" s="360" t="s">
        <v>311</v>
      </c>
      <c r="H3044" s="144">
        <f>bargiri[[#This Row],[میزان بارگیری شده]]*bargiri[[#This Row],[فی]]</f>
        <v>1498095000</v>
      </c>
      <c r="I3044" s="360">
        <f>IF(year=bargiri[[#This Row],[سال]],1,0)</f>
        <v>0</v>
      </c>
      <c r="J3044" s="360" t="str">
        <f>VLOOKUP(bargiri[[#This Row],[شماره پیش فاکتور]],invoice[],16,0)</f>
        <v>عادی</v>
      </c>
      <c r="K3044" s="252">
        <f>bargiri[[#This Row],[فی]]*bargiri[[#This Row],[میزان بارگیری شده]]</f>
        <v>1498095000</v>
      </c>
    </row>
    <row r="3045" spans="1:11" ht="18.600000000000001">
      <c r="A3045" s="360" t="s">
        <v>208</v>
      </c>
      <c r="B3045" s="360" t="s">
        <v>102</v>
      </c>
      <c r="C3045" s="355" t="s">
        <v>27</v>
      </c>
      <c r="D3045">
        <v>12650</v>
      </c>
      <c r="E3045" s="143">
        <v>56000</v>
      </c>
      <c r="F3045" s="117">
        <v>1403</v>
      </c>
      <c r="G3045" s="360" t="s">
        <v>311</v>
      </c>
      <c r="H3045" s="144">
        <f>bargiri[[#This Row],[میزان بارگیری شده]]*bargiri[[#This Row],[فی]]</f>
        <v>708400000</v>
      </c>
      <c r="I3045" s="360">
        <f>IF(year=bargiri[[#This Row],[سال]],1,0)</f>
        <v>0</v>
      </c>
      <c r="J3045" s="360" t="str">
        <f>VLOOKUP(bargiri[[#This Row],[شماره پیش فاکتور]],invoice[],16,0)</f>
        <v>عادی</v>
      </c>
      <c r="K3045" s="252">
        <f>bargiri[[#This Row],[فی]]*bargiri[[#This Row],[میزان بارگیری شده]]</f>
        <v>708400000</v>
      </c>
    </row>
    <row r="3046" spans="1:11" ht="18.600000000000001">
      <c r="A3046" s="360" t="s">
        <v>208</v>
      </c>
      <c r="B3046" s="360" t="s">
        <v>108</v>
      </c>
      <c r="C3046" s="355" t="s">
        <v>53</v>
      </c>
      <c r="D3046">
        <v>20000</v>
      </c>
      <c r="E3046" s="143">
        <v>70000</v>
      </c>
      <c r="F3046" s="117">
        <v>1403</v>
      </c>
      <c r="G3046" s="360" t="s">
        <v>311</v>
      </c>
      <c r="H3046" s="144">
        <f>bargiri[[#This Row],[میزان بارگیری شده]]*bargiri[[#This Row],[فی]]</f>
        <v>1400000000</v>
      </c>
      <c r="I3046" s="360">
        <f>IF(year=bargiri[[#This Row],[سال]],1,0)</f>
        <v>0</v>
      </c>
      <c r="J3046" s="360" t="str">
        <f>VLOOKUP(bargiri[[#This Row],[شماره پیش فاکتور]],invoice[],16,0)</f>
        <v>عادی</v>
      </c>
      <c r="K3046" s="252">
        <f>bargiri[[#This Row],[فی]]*bargiri[[#This Row],[میزان بارگیری شده]]</f>
        <v>1400000000</v>
      </c>
    </row>
    <row r="3047" spans="1:11" ht="18.600000000000001">
      <c r="A3047" s="360" t="s">
        <v>150</v>
      </c>
      <c r="B3047" s="360" t="s">
        <v>108</v>
      </c>
      <c r="C3047" s="355" t="s">
        <v>54</v>
      </c>
      <c r="D3047">
        <v>20070</v>
      </c>
      <c r="E3047" s="143">
        <v>80000</v>
      </c>
      <c r="F3047" s="117">
        <v>1403</v>
      </c>
      <c r="G3047" s="360" t="s">
        <v>305</v>
      </c>
      <c r="H3047" s="144">
        <f>bargiri[[#This Row],[میزان بارگیری شده]]*bargiri[[#This Row],[فی]]</f>
        <v>1605600000</v>
      </c>
      <c r="I3047" s="360">
        <f>IF(year=bargiri[[#This Row],[سال]],1,0)</f>
        <v>0</v>
      </c>
      <c r="J3047" s="360" t="str">
        <f>VLOOKUP(bargiri[[#This Row],[شماره پیش فاکتور]],invoice[],16,0)</f>
        <v>عادی</v>
      </c>
      <c r="K3047" s="252">
        <f>bargiri[[#This Row],[فی]]*bargiri[[#This Row],[میزان بارگیری شده]]</f>
        <v>1605600000</v>
      </c>
    </row>
    <row r="3048" spans="1:11" ht="18.600000000000001">
      <c r="A3048" s="360" t="s">
        <v>209</v>
      </c>
      <c r="B3048" s="360" t="s">
        <v>108</v>
      </c>
      <c r="C3048" s="355" t="s">
        <v>55</v>
      </c>
      <c r="D3048">
        <v>20210</v>
      </c>
      <c r="E3048" s="143">
        <v>80000</v>
      </c>
      <c r="F3048" s="117">
        <v>1403</v>
      </c>
      <c r="G3048" s="360" t="s">
        <v>295</v>
      </c>
      <c r="H3048" s="144">
        <f>bargiri[[#This Row],[میزان بارگیری شده]]*bargiri[[#This Row],[فی]]</f>
        <v>1616800000</v>
      </c>
      <c r="I3048" s="360">
        <f>IF(year=bargiri[[#This Row],[سال]],1,0)</f>
        <v>0</v>
      </c>
      <c r="J3048" s="360" t="str">
        <f>VLOOKUP(bargiri[[#This Row],[شماره پیش فاکتور]],invoice[],16,0)</f>
        <v>عادی</v>
      </c>
      <c r="K3048" s="252">
        <f>bargiri[[#This Row],[فی]]*bargiri[[#This Row],[میزان بارگیری شده]]</f>
        <v>1616800000</v>
      </c>
    </row>
    <row r="3049" spans="1:11" ht="18.600000000000001">
      <c r="A3049" s="360" t="s">
        <v>222</v>
      </c>
      <c r="B3049" s="360" t="s">
        <v>116</v>
      </c>
      <c r="C3049" s="355" t="s">
        <v>77</v>
      </c>
      <c r="D3049">
        <v>11980</v>
      </c>
      <c r="E3049" s="143">
        <v>68500</v>
      </c>
      <c r="F3049" s="117">
        <v>1403</v>
      </c>
      <c r="G3049" s="360" t="s">
        <v>305</v>
      </c>
      <c r="H3049" s="144">
        <f>bargiri[[#This Row],[میزان بارگیری شده]]*bargiri[[#This Row],[فی]]</f>
        <v>820630000</v>
      </c>
      <c r="I3049" s="360">
        <f>IF(year=bargiri[[#This Row],[سال]],1,0)</f>
        <v>0</v>
      </c>
      <c r="J3049" s="360" t="str">
        <f>VLOOKUP(bargiri[[#This Row],[شماره پیش فاکتور]],invoice[],16,0)</f>
        <v>عادی</v>
      </c>
      <c r="K3049" s="252">
        <f>bargiri[[#This Row],[فی]]*bargiri[[#This Row],[میزان بارگیری شده]]</f>
        <v>820630000</v>
      </c>
    </row>
    <row r="3050" spans="1:11" ht="18.600000000000001">
      <c r="A3050" s="360" t="s">
        <v>479</v>
      </c>
      <c r="B3050" s="360" t="s">
        <v>116</v>
      </c>
      <c r="C3050" s="355" t="s">
        <v>77</v>
      </c>
      <c r="D3050">
        <v>20160</v>
      </c>
      <c r="E3050" s="143">
        <v>68500</v>
      </c>
      <c r="F3050" s="117">
        <v>1403</v>
      </c>
      <c r="G3050" s="360" t="s">
        <v>305</v>
      </c>
      <c r="H3050" s="144">
        <f>bargiri[[#This Row],[میزان بارگیری شده]]*bargiri[[#This Row],[فی]]</f>
        <v>1380960000</v>
      </c>
      <c r="I3050" s="360">
        <f>IF(year=bargiri[[#This Row],[سال]],1,0)</f>
        <v>0</v>
      </c>
      <c r="J3050" s="360" t="str">
        <f>VLOOKUP(bargiri[[#This Row],[شماره پیش فاکتور]],invoice[],16,0)</f>
        <v>عادی</v>
      </c>
      <c r="K3050" s="252">
        <f>bargiri[[#This Row],[فی]]*bargiri[[#This Row],[میزان بارگیری شده]]</f>
        <v>1380960000</v>
      </c>
    </row>
    <row r="3051" spans="1:11" ht="18.600000000000001">
      <c r="A3051" s="360" t="s">
        <v>222</v>
      </c>
      <c r="B3051" s="360" t="s">
        <v>116</v>
      </c>
      <c r="C3051" s="355" t="s">
        <v>77</v>
      </c>
      <c r="D3051">
        <v>20160</v>
      </c>
      <c r="E3051" s="143">
        <v>68500</v>
      </c>
      <c r="F3051" s="117">
        <v>1403</v>
      </c>
      <c r="G3051" s="360" t="s">
        <v>305</v>
      </c>
      <c r="H3051" s="144">
        <f>bargiri[[#This Row],[میزان بارگیری شده]]*bargiri[[#This Row],[فی]]</f>
        <v>1380960000</v>
      </c>
      <c r="I3051" s="360">
        <f>IF(year=bargiri[[#This Row],[سال]],1,0)</f>
        <v>0</v>
      </c>
      <c r="J3051" s="360" t="str">
        <f>VLOOKUP(bargiri[[#This Row],[شماره پیش فاکتور]],invoice[],16,0)</f>
        <v>عادی</v>
      </c>
      <c r="K3051" s="252">
        <f>bargiri[[#This Row],[فی]]*bargiri[[#This Row],[میزان بارگیری شده]]</f>
        <v>1380960000</v>
      </c>
    </row>
    <row r="3052" spans="1:11" ht="18.600000000000001">
      <c r="A3052" s="360" t="s">
        <v>479</v>
      </c>
      <c r="B3052" s="360" t="s">
        <v>118</v>
      </c>
      <c r="C3052" s="355" t="s">
        <v>85</v>
      </c>
      <c r="D3052">
        <v>20420</v>
      </c>
      <c r="E3052" s="143">
        <v>56881</v>
      </c>
      <c r="F3052" s="117">
        <v>1403</v>
      </c>
      <c r="G3052" s="360" t="s">
        <v>305</v>
      </c>
      <c r="H3052" s="144">
        <f>bargiri[[#This Row],[میزان بارگیری شده]]*bargiri[[#This Row],[فی]]</f>
        <v>1161510020</v>
      </c>
      <c r="I3052" s="360">
        <f>IF(year=bargiri[[#This Row],[سال]],1,0)</f>
        <v>0</v>
      </c>
      <c r="J3052" s="360" t="str">
        <f>VLOOKUP(bargiri[[#This Row],[شماره پیش فاکتور]],invoice[],16,0)</f>
        <v>عادی</v>
      </c>
      <c r="K3052" s="252">
        <f>bargiri[[#This Row],[فی]]*bargiri[[#This Row],[میزان بارگیری شده]]</f>
        <v>1161510020</v>
      </c>
    </row>
    <row r="3053" spans="1:11" ht="18.600000000000001">
      <c r="A3053" s="360" t="s">
        <v>479</v>
      </c>
      <c r="B3053" s="360" t="s">
        <v>118</v>
      </c>
      <c r="C3053" s="355" t="s">
        <v>85</v>
      </c>
      <c r="D3053">
        <v>20370</v>
      </c>
      <c r="E3053" s="143">
        <v>56881</v>
      </c>
      <c r="F3053" s="117">
        <v>1403</v>
      </c>
      <c r="G3053" s="360" t="s">
        <v>305</v>
      </c>
      <c r="H3053" s="144">
        <f>bargiri[[#This Row],[میزان بارگیری شده]]*bargiri[[#This Row],[فی]]</f>
        <v>1158665970</v>
      </c>
      <c r="I3053" s="360">
        <f>IF(year=bargiri[[#This Row],[سال]],1,0)</f>
        <v>0</v>
      </c>
      <c r="J3053" s="360" t="str">
        <f>VLOOKUP(bargiri[[#This Row],[شماره پیش فاکتور]],invoice[],16,0)</f>
        <v>عادی</v>
      </c>
      <c r="K3053" s="252">
        <f>bargiri[[#This Row],[فی]]*bargiri[[#This Row],[میزان بارگیری شده]]</f>
        <v>1158665970</v>
      </c>
    </row>
    <row r="3054" spans="1:11" ht="18.600000000000001">
      <c r="A3054" s="360" t="s">
        <v>479</v>
      </c>
      <c r="B3054" s="360" t="s">
        <v>99</v>
      </c>
      <c r="C3054" s="355" t="s">
        <v>14</v>
      </c>
      <c r="D3054">
        <v>17920</v>
      </c>
      <c r="E3054" s="143">
        <v>50000</v>
      </c>
      <c r="F3054" s="117">
        <v>1403</v>
      </c>
      <c r="G3054" s="360" t="s">
        <v>305</v>
      </c>
      <c r="H3054" s="144">
        <f>bargiri[[#This Row],[میزان بارگیری شده]]*bargiri[[#This Row],[فی]]</f>
        <v>896000000</v>
      </c>
      <c r="I3054" s="360">
        <f>IF(year=bargiri[[#This Row],[سال]],1,0)</f>
        <v>0</v>
      </c>
      <c r="J3054" s="360" t="str">
        <f>VLOOKUP(bargiri[[#This Row],[شماره پیش فاکتور]],invoice[],16,0)</f>
        <v>عادی</v>
      </c>
      <c r="K3054" s="252">
        <f>bargiri[[#This Row],[فی]]*bargiri[[#This Row],[میزان بارگیری شده]]</f>
        <v>896000000</v>
      </c>
    </row>
    <row r="3055" spans="1:11" ht="18.600000000000001">
      <c r="A3055" s="360" t="s">
        <v>222</v>
      </c>
      <c r="B3055" s="360" t="s">
        <v>99</v>
      </c>
      <c r="C3055" s="355" t="s">
        <v>14</v>
      </c>
      <c r="D3055">
        <v>9920</v>
      </c>
      <c r="E3055" s="143">
        <v>50000</v>
      </c>
      <c r="F3055" s="117">
        <v>1403</v>
      </c>
      <c r="G3055" s="360" t="s">
        <v>305</v>
      </c>
      <c r="H3055" s="144">
        <f>bargiri[[#This Row],[میزان بارگیری شده]]*bargiri[[#This Row],[فی]]</f>
        <v>496000000</v>
      </c>
      <c r="I3055" s="360">
        <f>IF(year=bargiri[[#This Row],[سال]],1,0)</f>
        <v>0</v>
      </c>
      <c r="J3055" s="360" t="str">
        <f>VLOOKUP(bargiri[[#This Row],[شماره پیش فاکتور]],invoice[],16,0)</f>
        <v>عادی</v>
      </c>
      <c r="K3055" s="252">
        <f>bargiri[[#This Row],[فی]]*bargiri[[#This Row],[میزان بارگیری شده]]</f>
        <v>496000000</v>
      </c>
    </row>
    <row r="3056" spans="1:11" ht="18.600000000000001">
      <c r="A3056" s="360" t="s">
        <v>222</v>
      </c>
      <c r="B3056" s="360" t="s">
        <v>103</v>
      </c>
      <c r="C3056" s="355" t="s">
        <v>31</v>
      </c>
      <c r="D3056">
        <v>7770</v>
      </c>
      <c r="E3056" s="143">
        <v>90000</v>
      </c>
      <c r="F3056" s="117">
        <v>1403</v>
      </c>
      <c r="G3056" s="360" t="s">
        <v>305</v>
      </c>
      <c r="H3056" s="144">
        <f>bargiri[[#This Row],[میزان بارگیری شده]]*bargiri[[#This Row],[فی]]</f>
        <v>699300000</v>
      </c>
      <c r="I3056" s="360">
        <f>IF(year=bargiri[[#This Row],[سال]],1,0)</f>
        <v>0</v>
      </c>
      <c r="J3056" s="360" t="str">
        <f>VLOOKUP(bargiri[[#This Row],[شماره پیش فاکتور]],invoice[],16,0)</f>
        <v>عادی</v>
      </c>
      <c r="K3056" s="252">
        <f>bargiri[[#This Row],[فی]]*bargiri[[#This Row],[میزان بارگیری شده]]</f>
        <v>699300000</v>
      </c>
    </row>
    <row r="3057" spans="1:11" ht="18.600000000000001">
      <c r="A3057" s="360" t="s">
        <v>222</v>
      </c>
      <c r="B3057" s="360" t="s">
        <v>117</v>
      </c>
      <c r="C3057" s="355" t="s">
        <v>83</v>
      </c>
      <c r="D3057">
        <v>6550</v>
      </c>
      <c r="E3057" s="143">
        <v>55000</v>
      </c>
      <c r="F3057" s="117">
        <v>1403</v>
      </c>
      <c r="G3057" s="360" t="s">
        <v>305</v>
      </c>
      <c r="H3057" s="144">
        <f>bargiri[[#This Row],[میزان بارگیری شده]]*bargiri[[#This Row],[فی]]</f>
        <v>360250000</v>
      </c>
      <c r="I3057" s="360">
        <f>IF(year=bargiri[[#This Row],[سال]],1,0)</f>
        <v>0</v>
      </c>
      <c r="J3057" s="360" t="str">
        <f>VLOOKUP(bargiri[[#This Row],[شماره پیش فاکتور]],invoice[],16,0)</f>
        <v>عادی</v>
      </c>
      <c r="K3057" s="252">
        <f>bargiri[[#This Row],[فی]]*bargiri[[#This Row],[میزان بارگیری شده]]</f>
        <v>360250000</v>
      </c>
    </row>
    <row r="3058" spans="1:11" ht="18.600000000000001">
      <c r="A3058" s="360" t="s">
        <v>222</v>
      </c>
      <c r="B3058" s="360" t="s">
        <v>118</v>
      </c>
      <c r="C3058" s="355" t="s">
        <v>85</v>
      </c>
      <c r="D3058">
        <v>20930</v>
      </c>
      <c r="E3058" s="143">
        <v>56881</v>
      </c>
      <c r="F3058" s="117">
        <v>1403</v>
      </c>
      <c r="G3058" s="360" t="s">
        <v>305</v>
      </c>
      <c r="H3058" s="144">
        <f>bargiri[[#This Row],[میزان بارگیری شده]]*bargiri[[#This Row],[فی]]</f>
        <v>1190519330</v>
      </c>
      <c r="I3058" s="360">
        <f>IF(year=bargiri[[#This Row],[سال]],1,0)</f>
        <v>0</v>
      </c>
      <c r="J3058" s="360" t="str">
        <f>VLOOKUP(bargiri[[#This Row],[شماره پیش فاکتور]],invoice[],16,0)</f>
        <v>عادی</v>
      </c>
      <c r="K3058" s="252">
        <f>bargiri[[#This Row],[فی]]*bargiri[[#This Row],[میزان بارگیری شده]]</f>
        <v>1190519330</v>
      </c>
    </row>
    <row r="3059" spans="1:11" ht="18.600000000000001">
      <c r="A3059" s="360" t="s">
        <v>222</v>
      </c>
      <c r="B3059" s="360" t="s">
        <v>118</v>
      </c>
      <c r="C3059" s="355" t="s">
        <v>85</v>
      </c>
      <c r="D3059">
        <v>21260</v>
      </c>
      <c r="E3059" s="143">
        <v>56881</v>
      </c>
      <c r="F3059" s="117">
        <v>1403</v>
      </c>
      <c r="G3059" s="360" t="s">
        <v>305</v>
      </c>
      <c r="H3059" s="144">
        <f>bargiri[[#This Row],[میزان بارگیری شده]]*bargiri[[#This Row],[فی]]</f>
        <v>1209290060</v>
      </c>
      <c r="I3059" s="360">
        <f>IF(year=bargiri[[#This Row],[سال]],1,0)</f>
        <v>0</v>
      </c>
      <c r="J3059" s="360" t="str">
        <f>VLOOKUP(bargiri[[#This Row],[شماره پیش فاکتور]],invoice[],16,0)</f>
        <v>عادی</v>
      </c>
      <c r="K3059" s="252">
        <f>bargiri[[#This Row],[فی]]*bargiri[[#This Row],[میزان بارگیری شده]]</f>
        <v>1209290060</v>
      </c>
    </row>
    <row r="3060" spans="1:11" ht="18.600000000000001">
      <c r="A3060" s="360" t="s">
        <v>222</v>
      </c>
      <c r="B3060" s="360" t="s">
        <v>118</v>
      </c>
      <c r="C3060" s="355" t="s">
        <v>85</v>
      </c>
      <c r="D3060">
        <v>21280</v>
      </c>
      <c r="E3060" s="143">
        <v>56881</v>
      </c>
      <c r="F3060" s="117">
        <v>1403</v>
      </c>
      <c r="G3060" s="360" t="s">
        <v>305</v>
      </c>
      <c r="H3060" s="144">
        <f>bargiri[[#This Row],[میزان بارگیری شده]]*bargiri[[#This Row],[فی]]</f>
        <v>1210427680</v>
      </c>
      <c r="I3060" s="360">
        <f>IF(year=bargiri[[#This Row],[سال]],1,0)</f>
        <v>0</v>
      </c>
      <c r="J3060" s="360" t="str">
        <f>VLOOKUP(bargiri[[#This Row],[شماره پیش فاکتور]],invoice[],16,0)</f>
        <v>عادی</v>
      </c>
      <c r="K3060" s="252">
        <f>bargiri[[#This Row],[فی]]*bargiri[[#This Row],[میزان بارگیری شده]]</f>
        <v>1210427680</v>
      </c>
    </row>
    <row r="3061" spans="1:11" ht="18.600000000000001">
      <c r="A3061" s="360" t="s">
        <v>222</v>
      </c>
      <c r="B3061" s="360" t="s">
        <v>103</v>
      </c>
      <c r="C3061" s="355" t="s">
        <v>31</v>
      </c>
      <c r="D3061">
        <v>6000</v>
      </c>
      <c r="E3061" s="143">
        <v>90000</v>
      </c>
      <c r="F3061" s="117">
        <v>1403</v>
      </c>
      <c r="G3061" s="360" t="s">
        <v>305</v>
      </c>
      <c r="H3061" s="144">
        <f>bargiri[[#This Row],[میزان بارگیری شده]]*bargiri[[#This Row],[فی]]</f>
        <v>540000000</v>
      </c>
      <c r="I3061" s="360">
        <f>IF(year=bargiri[[#This Row],[سال]],1,0)</f>
        <v>0</v>
      </c>
      <c r="J3061" s="360" t="str">
        <f>VLOOKUP(bargiri[[#This Row],[شماره پیش فاکتور]],invoice[],16,0)</f>
        <v>عادی</v>
      </c>
      <c r="K3061" s="252">
        <f>bargiri[[#This Row],[فی]]*bargiri[[#This Row],[میزان بارگیری شده]]</f>
        <v>540000000</v>
      </c>
    </row>
    <row r="3062" spans="1:11" ht="18.600000000000001">
      <c r="A3062" s="360" t="s">
        <v>474</v>
      </c>
      <c r="B3062" s="360" t="s">
        <v>117</v>
      </c>
      <c r="C3062" s="355" t="s">
        <v>83</v>
      </c>
      <c r="D3062">
        <v>5810</v>
      </c>
      <c r="E3062" s="143">
        <v>55000</v>
      </c>
      <c r="F3062" s="117">
        <v>1403</v>
      </c>
      <c r="G3062" s="360" t="s">
        <v>305</v>
      </c>
      <c r="H3062" s="144">
        <f>bargiri[[#This Row],[میزان بارگیری شده]]*bargiri[[#This Row],[فی]]</f>
        <v>319550000</v>
      </c>
      <c r="I3062" s="360">
        <f>IF(year=bargiri[[#This Row],[سال]],1,0)</f>
        <v>0</v>
      </c>
      <c r="J3062" s="360" t="str">
        <f>VLOOKUP(bargiri[[#This Row],[شماره پیش فاکتور]],invoice[],16,0)</f>
        <v>عادی</v>
      </c>
      <c r="K3062" s="252">
        <f>bargiri[[#This Row],[فی]]*bargiri[[#This Row],[میزان بارگیری شده]]</f>
        <v>319550000</v>
      </c>
    </row>
    <row r="3063" spans="1:11" ht="18.600000000000001">
      <c r="A3063" s="360" t="s">
        <v>474</v>
      </c>
      <c r="B3063" s="360" t="s">
        <v>117</v>
      </c>
      <c r="C3063" s="355" t="s">
        <v>83</v>
      </c>
      <c r="D3063">
        <v>4900</v>
      </c>
      <c r="E3063" s="143">
        <v>55000</v>
      </c>
      <c r="F3063" s="117">
        <v>1403</v>
      </c>
      <c r="G3063" s="360" t="s">
        <v>305</v>
      </c>
      <c r="H3063" s="144">
        <f>bargiri[[#This Row],[میزان بارگیری شده]]*bargiri[[#This Row],[فی]]</f>
        <v>269500000</v>
      </c>
      <c r="I3063" s="360">
        <f>IF(year=bargiri[[#This Row],[سال]],1,0)</f>
        <v>0</v>
      </c>
      <c r="J3063" s="360" t="str">
        <f>VLOOKUP(bargiri[[#This Row],[شماره پیش فاکتور]],invoice[],16,0)</f>
        <v>عادی</v>
      </c>
      <c r="K3063" s="252">
        <f>bargiri[[#This Row],[فی]]*bargiri[[#This Row],[میزان بارگیری شده]]</f>
        <v>269500000</v>
      </c>
    </row>
    <row r="3064" spans="1:11" ht="18.600000000000001">
      <c r="A3064" s="360" t="s">
        <v>480</v>
      </c>
      <c r="B3064" s="360" t="s">
        <v>98</v>
      </c>
      <c r="C3064" s="355" t="s">
        <v>11</v>
      </c>
      <c r="D3064">
        <v>22880</v>
      </c>
      <c r="E3064" s="143">
        <v>77000</v>
      </c>
      <c r="F3064" s="117">
        <v>1403</v>
      </c>
      <c r="G3064" s="360" t="s">
        <v>305</v>
      </c>
      <c r="H3064" s="144">
        <f>bargiri[[#This Row],[میزان بارگیری شده]]*bargiri[[#This Row],[فی]]</f>
        <v>1761760000</v>
      </c>
      <c r="I3064" s="360">
        <f>IF(year=bargiri[[#This Row],[سال]],1,0)</f>
        <v>0</v>
      </c>
      <c r="J3064" s="360" t="str">
        <f>VLOOKUP(bargiri[[#This Row],[شماره پیش فاکتور]],invoice[],16,0)</f>
        <v>عادی</v>
      </c>
      <c r="K3064" s="252">
        <f>bargiri[[#This Row],[فی]]*bargiri[[#This Row],[میزان بارگیری شده]]</f>
        <v>1761760000</v>
      </c>
    </row>
    <row r="3065" spans="1:11" ht="18.600000000000001">
      <c r="A3065" s="360" t="s">
        <v>480</v>
      </c>
      <c r="B3065" s="360" t="s">
        <v>98</v>
      </c>
      <c r="C3065" s="355" t="s">
        <v>11</v>
      </c>
      <c r="D3065">
        <v>23210</v>
      </c>
      <c r="E3065" s="143">
        <v>77000</v>
      </c>
      <c r="F3065" s="117">
        <v>1403</v>
      </c>
      <c r="G3065" s="360" t="s">
        <v>305</v>
      </c>
      <c r="H3065" s="144">
        <f>bargiri[[#This Row],[میزان بارگیری شده]]*bargiri[[#This Row],[فی]]</f>
        <v>1787170000</v>
      </c>
      <c r="I3065" s="360">
        <f>IF(year=bargiri[[#This Row],[سال]],1,0)</f>
        <v>0</v>
      </c>
      <c r="J3065" s="360" t="str">
        <f>VLOOKUP(bargiri[[#This Row],[شماره پیش فاکتور]],invoice[],16,0)</f>
        <v>عادی</v>
      </c>
      <c r="K3065" s="252">
        <f>bargiri[[#This Row],[فی]]*bargiri[[#This Row],[میزان بارگیری شده]]</f>
        <v>1787170000</v>
      </c>
    </row>
    <row r="3066" spans="1:11" ht="18.600000000000001">
      <c r="A3066" s="360" t="s">
        <v>480</v>
      </c>
      <c r="B3066" s="360" t="s">
        <v>99</v>
      </c>
      <c r="C3066" s="355" t="s">
        <v>14</v>
      </c>
      <c r="D3066">
        <v>18510</v>
      </c>
      <c r="E3066" s="143">
        <v>50000</v>
      </c>
      <c r="F3066" s="117">
        <v>1403</v>
      </c>
      <c r="G3066" s="360" t="s">
        <v>305</v>
      </c>
      <c r="H3066" s="144">
        <f>bargiri[[#This Row],[میزان بارگیری شده]]*bargiri[[#This Row],[فی]]</f>
        <v>925500000</v>
      </c>
      <c r="I3066" s="360">
        <f>IF(year=bargiri[[#This Row],[سال]],1,0)</f>
        <v>0</v>
      </c>
      <c r="J3066" s="360" t="str">
        <f>VLOOKUP(bargiri[[#This Row],[شماره پیش فاکتور]],invoice[],16,0)</f>
        <v>عادی</v>
      </c>
      <c r="K3066" s="252">
        <f>bargiri[[#This Row],[فی]]*bargiri[[#This Row],[میزان بارگیری شده]]</f>
        <v>925500000</v>
      </c>
    </row>
    <row r="3067" spans="1:11" ht="18.600000000000001">
      <c r="A3067" s="360" t="s">
        <v>475</v>
      </c>
      <c r="B3067" s="360" t="s">
        <v>103</v>
      </c>
      <c r="C3067" s="355" t="s">
        <v>31</v>
      </c>
      <c r="D3067">
        <v>7410</v>
      </c>
      <c r="E3067" s="143">
        <v>90000</v>
      </c>
      <c r="F3067" s="117">
        <v>1403</v>
      </c>
      <c r="G3067" s="360" t="s">
        <v>305</v>
      </c>
      <c r="H3067" s="144">
        <f>bargiri[[#This Row],[میزان بارگیری شده]]*bargiri[[#This Row],[فی]]</f>
        <v>666900000</v>
      </c>
      <c r="I3067" s="360">
        <f>IF(year=bargiri[[#This Row],[سال]],1,0)</f>
        <v>0</v>
      </c>
      <c r="J3067" s="360" t="str">
        <f>VLOOKUP(bargiri[[#This Row],[شماره پیش فاکتور]],invoice[],16,0)</f>
        <v>عادی</v>
      </c>
      <c r="K3067" s="252">
        <f>bargiri[[#This Row],[فی]]*bargiri[[#This Row],[میزان بارگیری شده]]</f>
        <v>666900000</v>
      </c>
    </row>
    <row r="3068" spans="1:11" ht="18.600000000000001">
      <c r="A3068" s="360" t="s">
        <v>481</v>
      </c>
      <c r="B3068" s="360" t="s">
        <v>118</v>
      </c>
      <c r="C3068" s="355" t="s">
        <v>85</v>
      </c>
      <c r="D3068">
        <v>20600</v>
      </c>
      <c r="E3068" s="143">
        <v>56881</v>
      </c>
      <c r="F3068" s="117">
        <v>1403</v>
      </c>
      <c r="G3068" s="360" t="s">
        <v>305</v>
      </c>
      <c r="H3068" s="144">
        <f>bargiri[[#This Row],[میزان بارگیری شده]]*bargiri[[#This Row],[فی]]</f>
        <v>1171748600</v>
      </c>
      <c r="I3068" s="360">
        <f>IF(year=bargiri[[#This Row],[سال]],1,0)</f>
        <v>0</v>
      </c>
      <c r="J3068" s="360" t="str">
        <f>VLOOKUP(bargiri[[#This Row],[شماره پیش فاکتور]],invoice[],16,0)</f>
        <v>عادی</v>
      </c>
      <c r="K3068" s="252">
        <f>bargiri[[#This Row],[فی]]*bargiri[[#This Row],[میزان بارگیری شده]]</f>
        <v>1171748600</v>
      </c>
    </row>
    <row r="3069" spans="1:11" ht="18.600000000000001">
      <c r="A3069" s="360" t="s">
        <v>481</v>
      </c>
      <c r="B3069" s="360" t="s">
        <v>118</v>
      </c>
      <c r="C3069" s="355" t="s">
        <v>85</v>
      </c>
      <c r="D3069">
        <v>20990</v>
      </c>
      <c r="E3069" s="143">
        <v>56881</v>
      </c>
      <c r="F3069" s="117">
        <v>1403</v>
      </c>
      <c r="G3069" s="360" t="s">
        <v>305</v>
      </c>
      <c r="H3069" s="144">
        <f>bargiri[[#This Row],[میزان بارگیری شده]]*bargiri[[#This Row],[فی]]</f>
        <v>1193932190</v>
      </c>
      <c r="I3069" s="360">
        <f>IF(year=bargiri[[#This Row],[سال]],1,0)</f>
        <v>0</v>
      </c>
      <c r="J3069" s="360" t="str">
        <f>VLOOKUP(bargiri[[#This Row],[شماره پیش فاکتور]],invoice[],16,0)</f>
        <v>عادی</v>
      </c>
      <c r="K3069" s="252">
        <f>bargiri[[#This Row],[فی]]*bargiri[[#This Row],[میزان بارگیری شده]]</f>
        <v>1193932190</v>
      </c>
    </row>
    <row r="3070" spans="1:11" ht="18.600000000000001">
      <c r="A3070" s="360" t="s">
        <v>481</v>
      </c>
      <c r="B3070" s="360" t="s">
        <v>118</v>
      </c>
      <c r="C3070" s="355" t="s">
        <v>85</v>
      </c>
      <c r="D3070">
        <v>20410</v>
      </c>
      <c r="E3070" s="143">
        <v>56881</v>
      </c>
      <c r="F3070" s="117">
        <v>1403</v>
      </c>
      <c r="G3070" s="360" t="s">
        <v>305</v>
      </c>
      <c r="H3070" s="144">
        <f>bargiri[[#This Row],[میزان بارگیری شده]]*bargiri[[#This Row],[فی]]</f>
        <v>1160941210</v>
      </c>
      <c r="I3070" s="360">
        <f>IF(year=bargiri[[#This Row],[سال]],1,0)</f>
        <v>0</v>
      </c>
      <c r="J3070" s="360" t="str">
        <f>VLOOKUP(bargiri[[#This Row],[شماره پیش فاکتور]],invoice[],16,0)</f>
        <v>عادی</v>
      </c>
      <c r="K3070" s="252">
        <f>bargiri[[#This Row],[فی]]*bargiri[[#This Row],[میزان بارگیری شده]]</f>
        <v>1160941210</v>
      </c>
    </row>
    <row r="3071" spans="1:11" ht="18.600000000000001">
      <c r="A3071" s="360" t="s">
        <v>481</v>
      </c>
      <c r="B3071" s="360" t="s">
        <v>118</v>
      </c>
      <c r="C3071" s="355" t="s">
        <v>85</v>
      </c>
      <c r="D3071">
        <v>20650</v>
      </c>
      <c r="E3071" s="143">
        <v>56881</v>
      </c>
      <c r="F3071" s="117">
        <v>1403</v>
      </c>
      <c r="G3071" s="360" t="s">
        <v>305</v>
      </c>
      <c r="H3071" s="144">
        <f>bargiri[[#This Row],[میزان بارگیری شده]]*bargiri[[#This Row],[فی]]</f>
        <v>1174592650</v>
      </c>
      <c r="I3071" s="360">
        <f>IF(year=bargiri[[#This Row],[سال]],1,0)</f>
        <v>0</v>
      </c>
      <c r="J3071" s="360" t="str">
        <f>VLOOKUP(bargiri[[#This Row],[شماره پیش فاکتور]],invoice[],16,0)</f>
        <v>عادی</v>
      </c>
      <c r="K3071" s="252">
        <f>bargiri[[#This Row],[فی]]*bargiri[[#This Row],[میزان بارگیری شده]]</f>
        <v>1174592650</v>
      </c>
    </row>
    <row r="3072" spans="1:11" ht="18.600000000000001">
      <c r="A3072" s="360" t="s">
        <v>482</v>
      </c>
      <c r="B3072" s="360" t="s">
        <v>103</v>
      </c>
      <c r="C3072" s="355" t="s">
        <v>31</v>
      </c>
      <c r="D3072">
        <v>7620</v>
      </c>
      <c r="E3072" s="143">
        <v>90000</v>
      </c>
      <c r="F3072" s="117">
        <v>1403</v>
      </c>
      <c r="G3072" s="360" t="s">
        <v>305</v>
      </c>
      <c r="H3072" s="144">
        <f>bargiri[[#This Row],[میزان بارگیری شده]]*bargiri[[#This Row],[فی]]</f>
        <v>685800000</v>
      </c>
      <c r="I3072" s="360">
        <f>IF(year=bargiri[[#This Row],[سال]],1,0)</f>
        <v>0</v>
      </c>
      <c r="J3072" s="360" t="str">
        <f>VLOOKUP(bargiri[[#This Row],[شماره پیش فاکتور]],invoice[],16,0)</f>
        <v>عادی</v>
      </c>
      <c r="K3072" s="252">
        <f>bargiri[[#This Row],[فی]]*bargiri[[#This Row],[میزان بارگیری شده]]</f>
        <v>685800000</v>
      </c>
    </row>
    <row r="3073" spans="1:11" ht="18.600000000000001">
      <c r="A3073" s="360" t="s">
        <v>482</v>
      </c>
      <c r="B3073" s="360" t="s">
        <v>102</v>
      </c>
      <c r="C3073" s="355" t="s">
        <v>27</v>
      </c>
      <c r="D3073">
        <v>11990</v>
      </c>
      <c r="E3073" s="143">
        <v>56000</v>
      </c>
      <c r="F3073" s="117">
        <v>1403</v>
      </c>
      <c r="G3073" s="360" t="s">
        <v>305</v>
      </c>
      <c r="H3073" s="144">
        <f>bargiri[[#This Row],[میزان بارگیری شده]]*bargiri[[#This Row],[فی]]</f>
        <v>671440000</v>
      </c>
      <c r="I3073" s="360">
        <f>IF(year=bargiri[[#This Row],[سال]],1,0)</f>
        <v>0</v>
      </c>
      <c r="J3073" s="360" t="str">
        <f>VLOOKUP(bargiri[[#This Row],[شماره پیش فاکتور]],invoice[],16,0)</f>
        <v>عادی</v>
      </c>
      <c r="K3073" s="252">
        <f>bargiri[[#This Row],[فی]]*bargiri[[#This Row],[میزان بارگیری شده]]</f>
        <v>671440000</v>
      </c>
    </row>
    <row r="3074" spans="1:11" ht="18.600000000000001">
      <c r="A3074" s="360" t="s">
        <v>483</v>
      </c>
      <c r="B3074" s="360" t="s">
        <v>116</v>
      </c>
      <c r="C3074" s="355" t="s">
        <v>77</v>
      </c>
      <c r="D3074">
        <v>20620</v>
      </c>
      <c r="E3074" s="143">
        <v>68500</v>
      </c>
      <c r="F3074" s="117">
        <v>1403</v>
      </c>
      <c r="G3074" s="360" t="s">
        <v>305</v>
      </c>
      <c r="H3074" s="144">
        <f>bargiri[[#This Row],[میزان بارگیری شده]]*bargiri[[#This Row],[فی]]</f>
        <v>1412470000</v>
      </c>
      <c r="I3074" s="360">
        <f>IF(year=bargiri[[#This Row],[سال]],1,0)</f>
        <v>0</v>
      </c>
      <c r="J3074" s="360" t="str">
        <f>VLOOKUP(bargiri[[#This Row],[شماره پیش فاکتور]],invoice[],16,0)</f>
        <v>عادی</v>
      </c>
      <c r="K3074" s="252">
        <f>bargiri[[#This Row],[فی]]*bargiri[[#This Row],[میزان بارگیری شده]]</f>
        <v>1412470000</v>
      </c>
    </row>
    <row r="3075" spans="1:11" ht="18.600000000000001">
      <c r="A3075" s="360" t="s">
        <v>483</v>
      </c>
      <c r="B3075" s="360" t="s">
        <v>118</v>
      </c>
      <c r="C3075" s="355" t="s">
        <v>85</v>
      </c>
      <c r="D3075">
        <v>21080</v>
      </c>
      <c r="E3075" s="143">
        <v>56881</v>
      </c>
      <c r="F3075" s="117">
        <v>1403</v>
      </c>
      <c r="G3075" s="360" t="s">
        <v>305</v>
      </c>
      <c r="H3075" s="144">
        <f>bargiri[[#This Row],[میزان بارگیری شده]]*bargiri[[#This Row],[فی]]</f>
        <v>1199051480</v>
      </c>
      <c r="I3075" s="360">
        <f>IF(year=bargiri[[#This Row],[سال]],1,0)</f>
        <v>0</v>
      </c>
      <c r="J3075" s="360" t="str">
        <f>VLOOKUP(bargiri[[#This Row],[شماره پیش فاکتور]],invoice[],16,0)</f>
        <v>عادی</v>
      </c>
      <c r="K3075" s="252">
        <f>bargiri[[#This Row],[فی]]*bargiri[[#This Row],[میزان بارگیری شده]]</f>
        <v>1199051480</v>
      </c>
    </row>
    <row r="3076" spans="1:11" ht="18.600000000000001">
      <c r="A3076" s="360" t="s">
        <v>483</v>
      </c>
      <c r="B3076" s="360" t="s">
        <v>118</v>
      </c>
      <c r="C3076" s="355" t="s">
        <v>85</v>
      </c>
      <c r="D3076">
        <v>20170</v>
      </c>
      <c r="E3076" s="143">
        <v>56881</v>
      </c>
      <c r="F3076" s="117">
        <v>1403</v>
      </c>
      <c r="G3076" s="360" t="s">
        <v>305</v>
      </c>
      <c r="H3076" s="144">
        <f>bargiri[[#This Row],[میزان بارگیری شده]]*bargiri[[#This Row],[فی]]</f>
        <v>1147289770</v>
      </c>
      <c r="I3076" s="360">
        <f>IF(year=bargiri[[#This Row],[سال]],1,0)</f>
        <v>0</v>
      </c>
      <c r="J3076" s="360" t="str">
        <f>VLOOKUP(bargiri[[#This Row],[شماره پیش فاکتور]],invoice[],16,0)</f>
        <v>عادی</v>
      </c>
      <c r="K3076" s="252">
        <f>bargiri[[#This Row],[فی]]*bargiri[[#This Row],[میزان بارگیری شده]]</f>
        <v>1147289770</v>
      </c>
    </row>
    <row r="3077" spans="1:11" ht="18.600000000000001">
      <c r="A3077" s="360" t="s">
        <v>483</v>
      </c>
      <c r="B3077" s="360" t="s">
        <v>116</v>
      </c>
      <c r="C3077" s="355" t="s">
        <v>77</v>
      </c>
      <c r="D3077">
        <v>20220</v>
      </c>
      <c r="E3077" s="143">
        <v>68500</v>
      </c>
      <c r="F3077" s="117">
        <v>1403</v>
      </c>
      <c r="G3077" s="360" t="s">
        <v>305</v>
      </c>
      <c r="H3077" s="144">
        <f>bargiri[[#This Row],[میزان بارگیری شده]]*bargiri[[#This Row],[فی]]</f>
        <v>1385070000</v>
      </c>
      <c r="I3077" s="360">
        <f>IF(year=bargiri[[#This Row],[سال]],1,0)</f>
        <v>0</v>
      </c>
      <c r="J3077" s="360" t="str">
        <f>VLOOKUP(bargiri[[#This Row],[شماره پیش فاکتور]],invoice[],16,0)</f>
        <v>عادی</v>
      </c>
      <c r="K3077" s="252">
        <f>bargiri[[#This Row],[فی]]*bargiri[[#This Row],[میزان بارگیری شده]]</f>
        <v>1385070000</v>
      </c>
    </row>
    <row r="3078" spans="1:11" ht="18.600000000000001">
      <c r="A3078" s="360" t="s">
        <v>483</v>
      </c>
      <c r="B3078" s="360" t="s">
        <v>98</v>
      </c>
      <c r="C3078" s="355" t="s">
        <v>11</v>
      </c>
      <c r="D3078">
        <v>23110</v>
      </c>
      <c r="E3078" s="143">
        <v>77000</v>
      </c>
      <c r="F3078" s="117">
        <v>1403</v>
      </c>
      <c r="G3078" s="360" t="s">
        <v>305</v>
      </c>
      <c r="H3078" s="144">
        <f>bargiri[[#This Row],[میزان بارگیری شده]]*bargiri[[#This Row],[فی]]</f>
        <v>1779470000</v>
      </c>
      <c r="I3078" s="360">
        <f>IF(year=bargiri[[#This Row],[سال]],1,0)</f>
        <v>0</v>
      </c>
      <c r="J3078" s="360" t="str">
        <f>VLOOKUP(bargiri[[#This Row],[شماره پیش فاکتور]],invoice[],16,0)</f>
        <v>عادی</v>
      </c>
      <c r="K3078" s="252">
        <f>bargiri[[#This Row],[فی]]*bargiri[[#This Row],[میزان بارگیری شده]]</f>
        <v>1779470000</v>
      </c>
    </row>
    <row r="3079" spans="1:11" ht="18.600000000000001">
      <c r="A3079" s="360" t="s">
        <v>483</v>
      </c>
      <c r="B3079" s="360" t="s">
        <v>103</v>
      </c>
      <c r="C3079" s="355" t="s">
        <v>31</v>
      </c>
      <c r="D3079">
        <v>7540</v>
      </c>
      <c r="E3079" s="143">
        <v>90000</v>
      </c>
      <c r="F3079" s="117">
        <v>1403</v>
      </c>
      <c r="G3079" s="360" t="s">
        <v>305</v>
      </c>
      <c r="H3079" s="144">
        <f>bargiri[[#This Row],[میزان بارگیری شده]]*bargiri[[#This Row],[فی]]</f>
        <v>678600000</v>
      </c>
      <c r="I3079" s="360">
        <f>IF(year=bargiri[[#This Row],[سال]],1,0)</f>
        <v>0</v>
      </c>
      <c r="J3079" s="360" t="str">
        <f>VLOOKUP(bargiri[[#This Row],[شماره پیش فاکتور]],invoice[],16,0)</f>
        <v>عادی</v>
      </c>
      <c r="K3079" s="252">
        <f>bargiri[[#This Row],[فی]]*bargiri[[#This Row],[میزان بارگیری شده]]</f>
        <v>678600000</v>
      </c>
    </row>
    <row r="3080" spans="1:11" ht="18.600000000000001">
      <c r="A3080" s="360" t="s">
        <v>190</v>
      </c>
      <c r="B3080" s="360" t="s">
        <v>103</v>
      </c>
      <c r="C3080" s="355" t="s">
        <v>31</v>
      </c>
      <c r="D3080">
        <v>7290</v>
      </c>
      <c r="E3080" s="143">
        <v>90000</v>
      </c>
      <c r="F3080" s="117">
        <v>1403</v>
      </c>
      <c r="G3080" s="360" t="s">
        <v>305</v>
      </c>
      <c r="H3080" s="144">
        <f>bargiri[[#This Row],[میزان بارگیری شده]]*bargiri[[#This Row],[فی]]</f>
        <v>656100000</v>
      </c>
      <c r="I3080" s="360">
        <f>IF(year=bargiri[[#This Row],[سال]],1,0)</f>
        <v>0</v>
      </c>
      <c r="J3080" s="360" t="str">
        <f>VLOOKUP(bargiri[[#This Row],[شماره پیش فاکتور]],invoice[],16,0)</f>
        <v>عادی</v>
      </c>
      <c r="K3080" s="252">
        <f>bargiri[[#This Row],[فی]]*bargiri[[#This Row],[میزان بارگیری شده]]</f>
        <v>656100000</v>
      </c>
    </row>
    <row r="3081" spans="1:11" ht="18.600000000000001">
      <c r="A3081" s="360" t="s">
        <v>190</v>
      </c>
      <c r="B3081" s="360" t="s">
        <v>99</v>
      </c>
      <c r="C3081" s="355" t="s">
        <v>14</v>
      </c>
      <c r="D3081">
        <v>18280</v>
      </c>
      <c r="E3081" s="143">
        <v>50000</v>
      </c>
      <c r="F3081" s="117">
        <v>1403</v>
      </c>
      <c r="G3081" s="360" t="s">
        <v>305</v>
      </c>
      <c r="H3081" s="144">
        <f>bargiri[[#This Row],[میزان بارگیری شده]]*bargiri[[#This Row],[فی]]</f>
        <v>914000000</v>
      </c>
      <c r="I3081" s="360">
        <f>IF(year=bargiri[[#This Row],[سال]],1,0)</f>
        <v>0</v>
      </c>
      <c r="J3081" s="360" t="str">
        <f>VLOOKUP(bargiri[[#This Row],[شماره پیش فاکتور]],invoice[],16,0)</f>
        <v>عادی</v>
      </c>
      <c r="K3081" s="252">
        <f>bargiri[[#This Row],[فی]]*bargiri[[#This Row],[میزان بارگیری شده]]</f>
        <v>914000000</v>
      </c>
    </row>
    <row r="3082" spans="1:11" ht="18.600000000000001">
      <c r="A3082" s="360" t="s">
        <v>150</v>
      </c>
      <c r="B3082" s="360" t="s">
        <v>103</v>
      </c>
      <c r="C3082" s="355" t="s">
        <v>31</v>
      </c>
      <c r="D3082">
        <v>7510</v>
      </c>
      <c r="E3082" s="143">
        <v>90000</v>
      </c>
      <c r="F3082" s="117">
        <v>1403</v>
      </c>
      <c r="G3082" s="360" t="s">
        <v>305</v>
      </c>
      <c r="H3082" s="144">
        <f>bargiri[[#This Row],[میزان بارگیری شده]]*bargiri[[#This Row],[فی]]</f>
        <v>675900000</v>
      </c>
      <c r="I3082" s="360">
        <f>IF(year=bargiri[[#This Row],[سال]],1,0)</f>
        <v>0</v>
      </c>
      <c r="J3082" s="360" t="str">
        <f>VLOOKUP(bargiri[[#This Row],[شماره پیش فاکتور]],invoice[],16,0)</f>
        <v>عادی</v>
      </c>
      <c r="K3082" s="252">
        <f>bargiri[[#This Row],[فی]]*bargiri[[#This Row],[میزان بارگیری شده]]</f>
        <v>675900000</v>
      </c>
    </row>
    <row r="3083" spans="1:11" ht="18.600000000000001">
      <c r="A3083" s="360" t="s">
        <v>150</v>
      </c>
      <c r="B3083" s="360" t="s">
        <v>103</v>
      </c>
      <c r="C3083" s="355" t="s">
        <v>31</v>
      </c>
      <c r="D3083">
        <v>7530</v>
      </c>
      <c r="E3083" s="143">
        <v>90000</v>
      </c>
      <c r="F3083" s="117">
        <v>1403</v>
      </c>
      <c r="G3083" s="360" t="s">
        <v>305</v>
      </c>
      <c r="H3083" s="144">
        <f>bargiri[[#This Row],[میزان بارگیری شده]]*bargiri[[#This Row],[فی]]</f>
        <v>677700000</v>
      </c>
      <c r="I3083" s="360">
        <f>IF(year=bargiri[[#This Row],[سال]],1,0)</f>
        <v>0</v>
      </c>
      <c r="J3083" s="360" t="str">
        <f>VLOOKUP(bargiri[[#This Row],[شماره پیش فاکتور]],invoice[],16,0)</f>
        <v>عادی</v>
      </c>
      <c r="K3083" s="252">
        <f>bargiri[[#This Row],[فی]]*bargiri[[#This Row],[میزان بارگیری شده]]</f>
        <v>677700000</v>
      </c>
    </row>
    <row r="3084" spans="1:11" ht="18.600000000000001">
      <c r="A3084" s="360" t="s">
        <v>150</v>
      </c>
      <c r="B3084" s="360" t="s">
        <v>103</v>
      </c>
      <c r="C3084" s="355" t="s">
        <v>31</v>
      </c>
      <c r="D3084">
        <v>7430</v>
      </c>
      <c r="E3084" s="143">
        <v>90000</v>
      </c>
      <c r="F3084" s="117">
        <v>1403</v>
      </c>
      <c r="G3084" s="360" t="s">
        <v>305</v>
      </c>
      <c r="H3084" s="144">
        <f>bargiri[[#This Row],[میزان بارگیری شده]]*bargiri[[#This Row],[فی]]</f>
        <v>668700000</v>
      </c>
      <c r="I3084" s="360">
        <f>IF(year=bargiri[[#This Row],[سال]],1,0)</f>
        <v>0</v>
      </c>
      <c r="J3084" s="360" t="str">
        <f>VLOOKUP(bargiri[[#This Row],[شماره پیش فاکتور]],invoice[],16,0)</f>
        <v>عادی</v>
      </c>
      <c r="K3084" s="252">
        <f>bargiri[[#This Row],[فی]]*bargiri[[#This Row],[میزان بارگیری شده]]</f>
        <v>668700000</v>
      </c>
    </row>
    <row r="3085" spans="1:11" ht="18.600000000000001">
      <c r="A3085" s="360" t="s">
        <v>150</v>
      </c>
      <c r="B3085" s="360" t="s">
        <v>103</v>
      </c>
      <c r="C3085" s="355" t="s">
        <v>32</v>
      </c>
      <c r="D3085">
        <v>180</v>
      </c>
      <c r="E3085" s="143">
        <v>80000</v>
      </c>
      <c r="F3085" s="117">
        <v>1403</v>
      </c>
      <c r="G3085" s="360" t="s">
        <v>305</v>
      </c>
      <c r="H3085" s="144">
        <f>bargiri[[#This Row],[میزان بارگیری شده]]*bargiri[[#This Row],[فی]]</f>
        <v>14400000</v>
      </c>
      <c r="I3085" s="360">
        <f>IF(year=bargiri[[#This Row],[سال]],1,0)</f>
        <v>0</v>
      </c>
      <c r="J3085" s="360" t="str">
        <f>VLOOKUP(bargiri[[#This Row],[شماره پیش فاکتور]],invoice[],16,0)</f>
        <v>عادی</v>
      </c>
      <c r="K3085" s="252">
        <f>bargiri[[#This Row],[فی]]*bargiri[[#This Row],[میزان بارگیری شده]]</f>
        <v>14400000</v>
      </c>
    </row>
    <row r="3086" spans="1:11" ht="18.600000000000001">
      <c r="A3086" s="360" t="s">
        <v>150</v>
      </c>
      <c r="B3086" s="360" t="s">
        <v>102</v>
      </c>
      <c r="C3086" s="355" t="s">
        <v>27</v>
      </c>
      <c r="D3086">
        <v>12160</v>
      </c>
      <c r="E3086" s="143">
        <v>56000</v>
      </c>
      <c r="F3086" s="117">
        <v>1403</v>
      </c>
      <c r="G3086" s="360" t="s">
        <v>305</v>
      </c>
      <c r="H3086" s="144">
        <f>bargiri[[#This Row],[میزان بارگیری شده]]*bargiri[[#This Row],[فی]]</f>
        <v>680960000</v>
      </c>
      <c r="I3086" s="360">
        <f>IF(year=bargiri[[#This Row],[سال]],1,0)</f>
        <v>0</v>
      </c>
      <c r="J3086" s="360" t="str">
        <f>VLOOKUP(bargiri[[#This Row],[شماره پیش فاکتور]],invoice[],16,0)</f>
        <v>عادی</v>
      </c>
      <c r="K3086" s="252">
        <f>bargiri[[#This Row],[فی]]*bargiri[[#This Row],[میزان بارگیری شده]]</f>
        <v>680960000</v>
      </c>
    </row>
    <row r="3087" spans="1:11" ht="18.600000000000001">
      <c r="A3087" s="360" t="s">
        <v>150</v>
      </c>
      <c r="B3087" s="360" t="s">
        <v>98</v>
      </c>
      <c r="C3087" s="355" t="s">
        <v>11</v>
      </c>
      <c r="D3087">
        <v>22060</v>
      </c>
      <c r="E3087" s="143">
        <v>77000</v>
      </c>
      <c r="F3087" s="117">
        <v>1403</v>
      </c>
      <c r="G3087" s="360" t="s">
        <v>305</v>
      </c>
      <c r="H3087" s="144">
        <f>bargiri[[#This Row],[میزان بارگیری شده]]*bargiri[[#This Row],[فی]]</f>
        <v>1698620000</v>
      </c>
      <c r="I3087" s="360">
        <f>IF(year=bargiri[[#This Row],[سال]],1,0)</f>
        <v>0</v>
      </c>
      <c r="J3087" s="360" t="str">
        <f>VLOOKUP(bargiri[[#This Row],[شماره پیش فاکتور]],invoice[],16,0)</f>
        <v>عادی</v>
      </c>
      <c r="K3087" s="252">
        <f>bargiri[[#This Row],[فی]]*bargiri[[#This Row],[میزان بارگیری شده]]</f>
        <v>1698620000</v>
      </c>
    </row>
    <row r="3088" spans="1:11" ht="18.600000000000001">
      <c r="A3088" s="360" t="s">
        <v>484</v>
      </c>
      <c r="B3088" s="360" t="s">
        <v>103</v>
      </c>
      <c r="C3088" s="355" t="s">
        <v>32</v>
      </c>
      <c r="D3088">
        <v>7900</v>
      </c>
      <c r="E3088" s="143">
        <v>80000</v>
      </c>
      <c r="F3088" s="117">
        <v>1403</v>
      </c>
      <c r="G3088" s="360" t="s">
        <v>295</v>
      </c>
      <c r="H3088" s="144">
        <f>bargiri[[#This Row],[میزان بارگیری شده]]*bargiri[[#This Row],[فی]]</f>
        <v>632000000</v>
      </c>
      <c r="I3088" s="360">
        <f>IF(year=bargiri[[#This Row],[سال]],1,0)</f>
        <v>0</v>
      </c>
      <c r="J3088" s="360" t="str">
        <f>VLOOKUP(bargiri[[#This Row],[شماره پیش فاکتور]],invoice[],16,0)</f>
        <v>عادی</v>
      </c>
      <c r="K3088" s="252">
        <f>bargiri[[#This Row],[فی]]*bargiri[[#This Row],[میزان بارگیری شده]]</f>
        <v>632000000</v>
      </c>
    </row>
    <row r="3089" spans="1:11" ht="18.600000000000001">
      <c r="A3089" s="360" t="s">
        <v>484</v>
      </c>
      <c r="B3089" s="360" t="s">
        <v>103</v>
      </c>
      <c r="C3089" s="355" t="s">
        <v>32</v>
      </c>
      <c r="D3089">
        <v>7520</v>
      </c>
      <c r="E3089" s="143">
        <v>80000</v>
      </c>
      <c r="F3089" s="117">
        <v>1403</v>
      </c>
      <c r="G3089" s="360" t="s">
        <v>295</v>
      </c>
      <c r="H3089" s="144">
        <f>bargiri[[#This Row],[میزان بارگیری شده]]*bargiri[[#This Row],[فی]]</f>
        <v>601600000</v>
      </c>
      <c r="I3089" s="360">
        <f>IF(year=bargiri[[#This Row],[سال]],1,0)</f>
        <v>0</v>
      </c>
      <c r="J3089" s="360" t="str">
        <f>VLOOKUP(bargiri[[#This Row],[شماره پیش فاکتور]],invoice[],16,0)</f>
        <v>عادی</v>
      </c>
      <c r="K3089" s="252">
        <f>bargiri[[#This Row],[فی]]*bargiri[[#This Row],[میزان بارگیری شده]]</f>
        <v>601600000</v>
      </c>
    </row>
    <row r="3090" spans="1:11" ht="18.600000000000001">
      <c r="A3090" s="360" t="s">
        <v>484</v>
      </c>
      <c r="B3090" s="360" t="s">
        <v>103</v>
      </c>
      <c r="C3090" s="355" t="s">
        <v>32</v>
      </c>
      <c r="D3090">
        <v>7550</v>
      </c>
      <c r="E3090" s="143">
        <v>80000</v>
      </c>
      <c r="F3090" s="117">
        <v>1403</v>
      </c>
      <c r="G3090" s="360" t="s">
        <v>295</v>
      </c>
      <c r="H3090" s="144">
        <f>bargiri[[#This Row],[میزان بارگیری شده]]*bargiri[[#This Row],[فی]]</f>
        <v>604000000</v>
      </c>
      <c r="I3090" s="360">
        <f>IF(year=bargiri[[#This Row],[سال]],1,0)</f>
        <v>0</v>
      </c>
      <c r="J3090" s="360" t="str">
        <f>VLOOKUP(bargiri[[#This Row],[شماره پیش فاکتور]],invoice[],16,0)</f>
        <v>عادی</v>
      </c>
      <c r="K3090" s="252">
        <f>bargiri[[#This Row],[فی]]*bargiri[[#This Row],[میزان بارگیری شده]]</f>
        <v>604000000</v>
      </c>
    </row>
    <row r="3091" spans="1:11" ht="18.600000000000001">
      <c r="A3091" s="360" t="s">
        <v>485</v>
      </c>
      <c r="B3091" s="360" t="s">
        <v>117</v>
      </c>
      <c r="C3091" s="355" t="s">
        <v>83</v>
      </c>
      <c r="D3091">
        <v>6310</v>
      </c>
      <c r="E3091" s="143">
        <v>55000</v>
      </c>
      <c r="F3091" s="117">
        <v>1403</v>
      </c>
      <c r="G3091" s="360" t="s">
        <v>295</v>
      </c>
      <c r="H3091" s="144">
        <f>bargiri[[#This Row],[میزان بارگیری شده]]*bargiri[[#This Row],[فی]]</f>
        <v>347050000</v>
      </c>
      <c r="I3091" s="360">
        <f>IF(year=bargiri[[#This Row],[سال]],1,0)</f>
        <v>0</v>
      </c>
      <c r="J3091" s="360" t="str">
        <f>VLOOKUP(bargiri[[#This Row],[شماره پیش فاکتور]],invoice[],16,0)</f>
        <v>عادی</v>
      </c>
      <c r="K3091" s="252">
        <f>bargiri[[#This Row],[فی]]*bargiri[[#This Row],[میزان بارگیری شده]]</f>
        <v>347050000</v>
      </c>
    </row>
    <row r="3092" spans="1:11" ht="18.600000000000001">
      <c r="A3092" s="360" t="s">
        <v>485</v>
      </c>
      <c r="B3092" s="360" t="s">
        <v>116</v>
      </c>
      <c r="C3092" s="355" t="s">
        <v>77</v>
      </c>
      <c r="D3092">
        <v>22000</v>
      </c>
      <c r="E3092" s="143">
        <v>68500</v>
      </c>
      <c r="F3092" s="117">
        <v>1403</v>
      </c>
      <c r="G3092" s="360" t="s">
        <v>295</v>
      </c>
      <c r="H3092" s="144">
        <f>bargiri[[#This Row],[میزان بارگیری شده]]*bargiri[[#This Row],[فی]]</f>
        <v>1507000000</v>
      </c>
      <c r="I3092" s="360">
        <f>IF(year=bargiri[[#This Row],[سال]],1,0)</f>
        <v>0</v>
      </c>
      <c r="J3092" s="360" t="str">
        <f>VLOOKUP(bargiri[[#This Row],[شماره پیش فاکتور]],invoice[],16,0)</f>
        <v>عادی</v>
      </c>
      <c r="K3092" s="252">
        <f>bargiri[[#This Row],[فی]]*bargiri[[#This Row],[میزان بارگیری شده]]</f>
        <v>1507000000</v>
      </c>
    </row>
    <row r="3093" spans="1:11" ht="18.600000000000001">
      <c r="A3093" s="360" t="s">
        <v>485</v>
      </c>
      <c r="B3093" s="360" t="s">
        <v>116</v>
      </c>
      <c r="C3093" s="355" t="s">
        <v>77</v>
      </c>
      <c r="D3093">
        <v>19980</v>
      </c>
      <c r="E3093" s="143">
        <v>68500</v>
      </c>
      <c r="F3093" s="117">
        <v>1403</v>
      </c>
      <c r="G3093" s="360" t="s">
        <v>295</v>
      </c>
      <c r="H3093" s="144">
        <f>bargiri[[#This Row],[میزان بارگیری شده]]*bargiri[[#This Row],[فی]]</f>
        <v>1368630000</v>
      </c>
      <c r="I3093" s="360">
        <f>IF(year=bargiri[[#This Row],[سال]],1,0)</f>
        <v>0</v>
      </c>
      <c r="J3093" s="360" t="str">
        <f>VLOOKUP(bargiri[[#This Row],[شماره پیش فاکتور]],invoice[],16,0)</f>
        <v>عادی</v>
      </c>
      <c r="K3093" s="252">
        <f>bargiri[[#This Row],[فی]]*bargiri[[#This Row],[میزان بارگیری شده]]</f>
        <v>1368630000</v>
      </c>
    </row>
    <row r="3094" spans="1:11" ht="18.600000000000001">
      <c r="A3094" s="360" t="s">
        <v>147</v>
      </c>
      <c r="B3094" s="360" t="s">
        <v>116</v>
      </c>
      <c r="C3094" s="355" t="s">
        <v>77</v>
      </c>
      <c r="D3094">
        <v>14930</v>
      </c>
      <c r="E3094" s="143">
        <v>68500</v>
      </c>
      <c r="F3094" s="117">
        <v>1403</v>
      </c>
      <c r="G3094" s="360" t="s">
        <v>295</v>
      </c>
      <c r="H3094" s="144">
        <f>bargiri[[#This Row],[میزان بارگیری شده]]*bargiri[[#This Row],[فی]]</f>
        <v>1022705000</v>
      </c>
      <c r="I3094" s="360">
        <f>IF(year=bargiri[[#This Row],[سال]],1,0)</f>
        <v>0</v>
      </c>
      <c r="J3094" s="360" t="str">
        <f>VLOOKUP(bargiri[[#This Row],[شماره پیش فاکتور]],invoice[],16,0)</f>
        <v>عادی</v>
      </c>
      <c r="K3094" s="252">
        <f>bargiri[[#This Row],[فی]]*bargiri[[#This Row],[میزان بارگیری شده]]</f>
        <v>1022705000</v>
      </c>
    </row>
    <row r="3095" spans="1:11" ht="18.600000000000001">
      <c r="A3095" s="360" t="s">
        <v>147</v>
      </c>
      <c r="B3095" s="360" t="s">
        <v>116</v>
      </c>
      <c r="C3095" s="355" t="s">
        <v>77</v>
      </c>
      <c r="D3095">
        <v>12110</v>
      </c>
      <c r="E3095" s="143">
        <v>68500</v>
      </c>
      <c r="F3095" s="117">
        <v>1403</v>
      </c>
      <c r="G3095" s="360" t="s">
        <v>295</v>
      </c>
      <c r="H3095" s="144">
        <f>bargiri[[#This Row],[میزان بارگیری شده]]*bargiri[[#This Row],[فی]]</f>
        <v>829535000</v>
      </c>
      <c r="I3095" s="360">
        <f>IF(year=bargiri[[#This Row],[سال]],1,0)</f>
        <v>0</v>
      </c>
      <c r="J3095" s="360" t="str">
        <f>VLOOKUP(bargiri[[#This Row],[شماره پیش فاکتور]],invoice[],16,0)</f>
        <v>عادی</v>
      </c>
      <c r="K3095" s="252">
        <f>bargiri[[#This Row],[فی]]*bargiri[[#This Row],[میزان بارگیری شده]]</f>
        <v>829535000</v>
      </c>
    </row>
    <row r="3096" spans="1:11" ht="18.600000000000001">
      <c r="A3096" s="360" t="s">
        <v>147</v>
      </c>
      <c r="B3096" s="360" t="s">
        <v>103</v>
      </c>
      <c r="C3096" s="355" t="s">
        <v>32</v>
      </c>
      <c r="D3096">
        <v>7410</v>
      </c>
      <c r="E3096" s="143">
        <v>80000</v>
      </c>
      <c r="F3096" s="117">
        <v>1403</v>
      </c>
      <c r="G3096" s="360" t="s">
        <v>295</v>
      </c>
      <c r="H3096" s="144">
        <f>bargiri[[#This Row],[میزان بارگیری شده]]*bargiri[[#This Row],[فی]]</f>
        <v>592800000</v>
      </c>
      <c r="I3096" s="360">
        <f>IF(year=bargiri[[#This Row],[سال]],1,0)</f>
        <v>0</v>
      </c>
      <c r="J3096" s="360" t="str">
        <f>VLOOKUP(bargiri[[#This Row],[شماره پیش فاکتور]],invoice[],16,0)</f>
        <v>عادی</v>
      </c>
      <c r="K3096" s="252">
        <f>bargiri[[#This Row],[فی]]*bargiri[[#This Row],[میزان بارگیری شده]]</f>
        <v>592800000</v>
      </c>
    </row>
    <row r="3097" spans="1:11" ht="18.600000000000001">
      <c r="A3097" s="360" t="s">
        <v>147</v>
      </c>
      <c r="B3097" s="360" t="s">
        <v>118</v>
      </c>
      <c r="C3097" s="355" t="s">
        <v>85</v>
      </c>
      <c r="D3097">
        <v>20980</v>
      </c>
      <c r="E3097" s="143">
        <v>56881</v>
      </c>
      <c r="F3097" s="117">
        <v>1403</v>
      </c>
      <c r="G3097" s="360" t="s">
        <v>295</v>
      </c>
      <c r="H3097" s="144">
        <f>bargiri[[#This Row],[میزان بارگیری شده]]*bargiri[[#This Row],[فی]]</f>
        <v>1193363380</v>
      </c>
      <c r="I3097" s="360">
        <f>IF(year=bargiri[[#This Row],[سال]],1,0)</f>
        <v>0</v>
      </c>
      <c r="J3097" s="360" t="str">
        <f>VLOOKUP(bargiri[[#This Row],[شماره پیش فاکتور]],invoice[],16,0)</f>
        <v>عادی</v>
      </c>
      <c r="K3097" s="252">
        <f>bargiri[[#This Row],[فی]]*bargiri[[#This Row],[میزان بارگیری شده]]</f>
        <v>1193363380</v>
      </c>
    </row>
    <row r="3098" spans="1:11" ht="18.600000000000001">
      <c r="A3098" s="360" t="s">
        <v>147</v>
      </c>
      <c r="B3098" s="360" t="s">
        <v>118</v>
      </c>
      <c r="C3098" s="355" t="s">
        <v>85</v>
      </c>
      <c r="D3098">
        <v>20910</v>
      </c>
      <c r="E3098" s="143">
        <v>56881</v>
      </c>
      <c r="F3098" s="117">
        <v>1403</v>
      </c>
      <c r="G3098" s="360" t="s">
        <v>295</v>
      </c>
      <c r="H3098" s="144">
        <f>bargiri[[#This Row],[میزان بارگیری شده]]*bargiri[[#This Row],[فی]]</f>
        <v>1189381710</v>
      </c>
      <c r="I3098" s="360">
        <f>IF(year=bargiri[[#This Row],[سال]],1,0)</f>
        <v>0</v>
      </c>
      <c r="J3098" s="360" t="str">
        <f>VLOOKUP(bargiri[[#This Row],[شماره پیش فاکتور]],invoice[],16,0)</f>
        <v>عادی</v>
      </c>
      <c r="K3098" s="252">
        <f>bargiri[[#This Row],[فی]]*bargiri[[#This Row],[میزان بارگیری شده]]</f>
        <v>1189381710</v>
      </c>
    </row>
    <row r="3099" spans="1:11" ht="18.600000000000001">
      <c r="A3099" s="360" t="s">
        <v>147</v>
      </c>
      <c r="B3099" s="360" t="s">
        <v>118</v>
      </c>
      <c r="C3099" s="355" t="s">
        <v>85</v>
      </c>
      <c r="D3099">
        <v>21310</v>
      </c>
      <c r="E3099" s="143">
        <v>56881</v>
      </c>
      <c r="F3099" s="117">
        <v>1403</v>
      </c>
      <c r="G3099" s="360" t="s">
        <v>295</v>
      </c>
      <c r="H3099" s="144">
        <f>bargiri[[#This Row],[میزان بارگیری شده]]*bargiri[[#This Row],[فی]]</f>
        <v>1212134110</v>
      </c>
      <c r="I3099" s="360">
        <f>IF(year=bargiri[[#This Row],[سال]],1,0)</f>
        <v>0</v>
      </c>
      <c r="J3099" s="360" t="str">
        <f>VLOOKUP(bargiri[[#This Row],[شماره پیش فاکتور]],invoice[],16,0)</f>
        <v>عادی</v>
      </c>
      <c r="K3099" s="252">
        <f>bargiri[[#This Row],[فی]]*bargiri[[#This Row],[میزان بارگیری شده]]</f>
        <v>1212134110</v>
      </c>
    </row>
    <row r="3100" spans="1:11" ht="18.600000000000001">
      <c r="A3100" s="360" t="s">
        <v>147</v>
      </c>
      <c r="B3100" s="360" t="s">
        <v>103</v>
      </c>
      <c r="C3100" s="355" t="s">
        <v>32</v>
      </c>
      <c r="D3100">
        <v>7420</v>
      </c>
      <c r="E3100" s="143">
        <v>80000</v>
      </c>
      <c r="F3100" s="117">
        <v>1403</v>
      </c>
      <c r="G3100" s="360" t="s">
        <v>295</v>
      </c>
      <c r="H3100" s="144">
        <f>bargiri[[#This Row],[میزان بارگیری شده]]*bargiri[[#This Row],[فی]]</f>
        <v>593600000</v>
      </c>
      <c r="I3100" s="360">
        <f>IF(year=bargiri[[#This Row],[سال]],1,0)</f>
        <v>0</v>
      </c>
      <c r="J3100" s="360" t="str">
        <f>VLOOKUP(bargiri[[#This Row],[شماره پیش فاکتور]],invoice[],16,0)</f>
        <v>عادی</v>
      </c>
      <c r="K3100" s="252">
        <f>bargiri[[#This Row],[فی]]*bargiri[[#This Row],[میزان بارگیری شده]]</f>
        <v>593600000</v>
      </c>
    </row>
    <row r="3101" spans="1:11" ht="18.600000000000001">
      <c r="A3101" s="360" t="s">
        <v>147</v>
      </c>
      <c r="B3101" s="360" t="s">
        <v>98</v>
      </c>
      <c r="C3101" s="355" t="s">
        <v>11</v>
      </c>
      <c r="D3101">
        <v>22150</v>
      </c>
      <c r="E3101" s="143">
        <v>77000</v>
      </c>
      <c r="F3101" s="117">
        <v>1403</v>
      </c>
      <c r="G3101" s="360" t="s">
        <v>295</v>
      </c>
      <c r="H3101" s="144">
        <f>bargiri[[#This Row],[میزان بارگیری شده]]*bargiri[[#This Row],[فی]]</f>
        <v>1705550000</v>
      </c>
      <c r="I3101" s="360">
        <f>IF(year=bargiri[[#This Row],[سال]],1,0)</f>
        <v>0</v>
      </c>
      <c r="J3101" s="360" t="str">
        <f>VLOOKUP(bargiri[[#This Row],[شماره پیش فاکتور]],invoice[],16,0)</f>
        <v>عادی</v>
      </c>
      <c r="K3101" s="252">
        <f>bargiri[[#This Row],[فی]]*bargiri[[#This Row],[میزان بارگیری شده]]</f>
        <v>1705550000</v>
      </c>
    </row>
    <row r="3102" spans="1:11" ht="18.600000000000001">
      <c r="A3102" s="360" t="s">
        <v>486</v>
      </c>
      <c r="B3102" s="360" t="s">
        <v>102</v>
      </c>
      <c r="C3102" s="355" t="s">
        <v>27</v>
      </c>
      <c r="D3102">
        <v>7350</v>
      </c>
      <c r="E3102" s="143">
        <v>56000</v>
      </c>
      <c r="F3102" s="117">
        <v>1403</v>
      </c>
      <c r="G3102" s="360" t="s">
        <v>295</v>
      </c>
      <c r="H3102" s="144">
        <f>bargiri[[#This Row],[میزان بارگیری شده]]*bargiri[[#This Row],[فی]]</f>
        <v>411600000</v>
      </c>
      <c r="I3102" s="360">
        <f>IF(year=bargiri[[#This Row],[سال]],1,0)</f>
        <v>0</v>
      </c>
      <c r="J3102" s="360" t="str">
        <f>VLOOKUP(bargiri[[#This Row],[شماره پیش فاکتور]],invoice[],16,0)</f>
        <v>عادی</v>
      </c>
      <c r="K3102" s="252">
        <f>bargiri[[#This Row],[فی]]*bargiri[[#This Row],[میزان بارگیری شده]]</f>
        <v>411600000</v>
      </c>
    </row>
    <row r="3103" spans="1:11" ht="18.600000000000001">
      <c r="A3103" s="360" t="s">
        <v>486</v>
      </c>
      <c r="B3103" s="360" t="s">
        <v>103</v>
      </c>
      <c r="C3103" s="355" t="s">
        <v>32</v>
      </c>
      <c r="D3103">
        <v>7410</v>
      </c>
      <c r="E3103" s="143">
        <v>80000</v>
      </c>
      <c r="F3103" s="117">
        <v>1403</v>
      </c>
      <c r="G3103" s="360" t="s">
        <v>295</v>
      </c>
      <c r="H3103" s="144">
        <f>bargiri[[#This Row],[میزان بارگیری شده]]*bargiri[[#This Row],[فی]]</f>
        <v>592800000</v>
      </c>
      <c r="I3103" s="360">
        <f>IF(year=bargiri[[#This Row],[سال]],1,0)</f>
        <v>0</v>
      </c>
      <c r="J3103" s="360" t="str">
        <f>VLOOKUP(bargiri[[#This Row],[شماره پیش فاکتور]],invoice[],16,0)</f>
        <v>عادی</v>
      </c>
      <c r="K3103" s="252">
        <f>bargiri[[#This Row],[فی]]*bargiri[[#This Row],[میزان بارگیری شده]]</f>
        <v>592800000</v>
      </c>
    </row>
    <row r="3104" spans="1:11" ht="18.600000000000001">
      <c r="A3104" s="360" t="s">
        <v>486</v>
      </c>
      <c r="B3104" s="360" t="s">
        <v>102</v>
      </c>
      <c r="C3104" s="355" t="s">
        <v>27</v>
      </c>
      <c r="D3104">
        <v>8080</v>
      </c>
      <c r="E3104" s="143">
        <v>56000</v>
      </c>
      <c r="F3104" s="117">
        <v>1403</v>
      </c>
      <c r="G3104" s="360" t="s">
        <v>295</v>
      </c>
      <c r="H3104" s="144">
        <f>bargiri[[#This Row],[میزان بارگیری شده]]*bargiri[[#This Row],[فی]]</f>
        <v>452480000</v>
      </c>
      <c r="I3104" s="360">
        <f>IF(year=bargiri[[#This Row],[سال]],1,0)</f>
        <v>0</v>
      </c>
      <c r="J3104" s="360" t="str">
        <f>VLOOKUP(bargiri[[#This Row],[شماره پیش فاکتور]],invoice[],16,0)</f>
        <v>عادی</v>
      </c>
      <c r="K3104" s="252">
        <f>bargiri[[#This Row],[فی]]*bargiri[[#This Row],[میزان بارگیری شده]]</f>
        <v>452480000</v>
      </c>
    </row>
    <row r="3105" spans="1:11" ht="18.600000000000001">
      <c r="A3105" s="360" t="s">
        <v>486</v>
      </c>
      <c r="B3105" s="360" t="s">
        <v>117</v>
      </c>
      <c r="C3105" s="355" t="s">
        <v>83</v>
      </c>
      <c r="D3105">
        <v>6430</v>
      </c>
      <c r="E3105" s="143">
        <v>55000</v>
      </c>
      <c r="F3105" s="117">
        <v>1403</v>
      </c>
      <c r="G3105" s="360" t="s">
        <v>295</v>
      </c>
      <c r="H3105" s="144">
        <f>bargiri[[#This Row],[میزان بارگیری شده]]*bargiri[[#This Row],[فی]]</f>
        <v>353650000</v>
      </c>
      <c r="I3105" s="360">
        <f>IF(year=bargiri[[#This Row],[سال]],1,0)</f>
        <v>0</v>
      </c>
      <c r="J3105" s="360" t="str">
        <f>VLOOKUP(bargiri[[#This Row],[شماره پیش فاکتور]],invoice[],16,0)</f>
        <v>عادی</v>
      </c>
      <c r="K3105" s="252">
        <f>bargiri[[#This Row],[فی]]*bargiri[[#This Row],[میزان بارگیری شده]]</f>
        <v>353650000</v>
      </c>
    </row>
    <row r="3106" spans="1:11" ht="18.600000000000001">
      <c r="A3106" s="360" t="s">
        <v>486</v>
      </c>
      <c r="B3106" s="360" t="s">
        <v>103</v>
      </c>
      <c r="C3106" s="355" t="s">
        <v>32</v>
      </c>
      <c r="D3106">
        <v>4610</v>
      </c>
      <c r="E3106" s="143">
        <v>80000</v>
      </c>
      <c r="F3106" s="117">
        <v>1403</v>
      </c>
      <c r="G3106" s="360" t="s">
        <v>295</v>
      </c>
      <c r="H3106" s="144">
        <f>bargiri[[#This Row],[میزان بارگیری شده]]*bargiri[[#This Row],[فی]]</f>
        <v>368800000</v>
      </c>
      <c r="I3106" s="360">
        <f>IF(year=bargiri[[#This Row],[سال]],1,0)</f>
        <v>0</v>
      </c>
      <c r="J3106" s="360" t="str">
        <f>VLOOKUP(bargiri[[#This Row],[شماره پیش فاکتور]],invoice[],16,0)</f>
        <v>عادی</v>
      </c>
      <c r="K3106" s="252">
        <f>bargiri[[#This Row],[فی]]*bargiri[[#This Row],[میزان بارگیری شده]]</f>
        <v>368800000</v>
      </c>
    </row>
    <row r="3107" spans="1:11" ht="18.600000000000001">
      <c r="A3107" s="360" t="s">
        <v>486</v>
      </c>
      <c r="B3107" s="360" t="s">
        <v>103</v>
      </c>
      <c r="C3107" s="355" t="s">
        <v>33</v>
      </c>
      <c r="D3107">
        <v>2100</v>
      </c>
      <c r="E3107" s="143">
        <v>75000</v>
      </c>
      <c r="F3107" s="117">
        <v>1403</v>
      </c>
      <c r="G3107" s="360" t="s">
        <v>295</v>
      </c>
      <c r="H3107" s="144">
        <f>bargiri[[#This Row],[میزان بارگیری شده]]*bargiri[[#This Row],[فی]]</f>
        <v>157500000</v>
      </c>
      <c r="I3107" s="360">
        <f>IF(year=bargiri[[#This Row],[سال]],1,0)</f>
        <v>0</v>
      </c>
      <c r="J3107" s="360" t="str">
        <f>VLOOKUP(bargiri[[#This Row],[شماره پیش فاکتور]],invoice[],16,0)</f>
        <v>عادی</v>
      </c>
      <c r="K3107" s="252">
        <f>bargiri[[#This Row],[فی]]*bargiri[[#This Row],[میزان بارگیری شده]]</f>
        <v>157500000</v>
      </c>
    </row>
    <row r="3108" spans="1:11" ht="18.600000000000001">
      <c r="A3108" s="360" t="s">
        <v>151</v>
      </c>
      <c r="B3108" s="360" t="s">
        <v>99</v>
      </c>
      <c r="C3108" s="355" t="s">
        <v>14</v>
      </c>
      <c r="D3108">
        <v>18470</v>
      </c>
      <c r="E3108" s="143">
        <v>50000</v>
      </c>
      <c r="F3108" s="117">
        <v>1403</v>
      </c>
      <c r="G3108" s="360" t="s">
        <v>295</v>
      </c>
      <c r="H3108" s="144">
        <f>bargiri[[#This Row],[میزان بارگیری شده]]*bargiri[[#This Row],[فی]]</f>
        <v>923500000</v>
      </c>
      <c r="I3108" s="360">
        <f>IF(year=bargiri[[#This Row],[سال]],1,0)</f>
        <v>0</v>
      </c>
      <c r="J3108" s="360" t="str">
        <f>VLOOKUP(bargiri[[#This Row],[شماره پیش فاکتور]],invoice[],16,0)</f>
        <v>عادی</v>
      </c>
      <c r="K3108" s="252">
        <f>bargiri[[#This Row],[فی]]*bargiri[[#This Row],[میزان بارگیری شده]]</f>
        <v>923500000</v>
      </c>
    </row>
    <row r="3109" spans="1:11" ht="18.600000000000001">
      <c r="A3109" s="360" t="s">
        <v>151</v>
      </c>
      <c r="B3109" s="360" t="s">
        <v>117</v>
      </c>
      <c r="C3109" s="355" t="s">
        <v>83</v>
      </c>
      <c r="D3109">
        <v>6180</v>
      </c>
      <c r="E3109" s="143">
        <v>55000</v>
      </c>
      <c r="F3109" s="117">
        <v>1403</v>
      </c>
      <c r="G3109" s="360" t="s">
        <v>295</v>
      </c>
      <c r="H3109" s="144">
        <f>bargiri[[#This Row],[میزان بارگیری شده]]*bargiri[[#This Row],[فی]]</f>
        <v>339900000</v>
      </c>
      <c r="I3109" s="360">
        <f>IF(year=bargiri[[#This Row],[سال]],1,0)</f>
        <v>0</v>
      </c>
      <c r="J3109" s="360" t="str">
        <f>VLOOKUP(bargiri[[#This Row],[شماره پیش فاکتور]],invoice[],16,0)</f>
        <v>عادی</v>
      </c>
      <c r="K3109" s="252">
        <f>bargiri[[#This Row],[فی]]*bargiri[[#This Row],[میزان بارگیری شده]]</f>
        <v>339900000</v>
      </c>
    </row>
    <row r="3110" spans="1:11" ht="18.600000000000001">
      <c r="A3110" s="360" t="s">
        <v>151</v>
      </c>
      <c r="B3110" s="360" t="s">
        <v>117</v>
      </c>
      <c r="C3110" s="355" t="s">
        <v>83</v>
      </c>
      <c r="D3110">
        <v>6530</v>
      </c>
      <c r="E3110" s="143">
        <v>55000</v>
      </c>
      <c r="F3110" s="117">
        <v>1403</v>
      </c>
      <c r="G3110" s="360" t="s">
        <v>295</v>
      </c>
      <c r="H3110" s="144">
        <f>bargiri[[#This Row],[میزان بارگیری شده]]*bargiri[[#This Row],[فی]]</f>
        <v>359150000</v>
      </c>
      <c r="I3110" s="360">
        <f>IF(year=bargiri[[#This Row],[سال]],1,0)</f>
        <v>0</v>
      </c>
      <c r="J3110" s="360" t="str">
        <f>VLOOKUP(bargiri[[#This Row],[شماره پیش فاکتور]],invoice[],16,0)</f>
        <v>عادی</v>
      </c>
      <c r="K3110" s="252">
        <f>bargiri[[#This Row],[فی]]*bargiri[[#This Row],[میزان بارگیری شده]]</f>
        <v>359150000</v>
      </c>
    </row>
    <row r="3111" spans="1:11" ht="18.600000000000001">
      <c r="A3111" s="360" t="s">
        <v>158</v>
      </c>
      <c r="B3111" s="360" t="s">
        <v>116</v>
      </c>
      <c r="C3111" s="355" t="s">
        <v>77</v>
      </c>
      <c r="D3111">
        <v>11970</v>
      </c>
      <c r="E3111" s="143">
        <v>68500</v>
      </c>
      <c r="F3111" s="117">
        <v>1403</v>
      </c>
      <c r="G3111" s="360" t="s">
        <v>295</v>
      </c>
      <c r="H3111" s="144">
        <f>bargiri[[#This Row],[میزان بارگیری شده]]*bargiri[[#This Row],[فی]]</f>
        <v>819945000</v>
      </c>
      <c r="I3111" s="360">
        <f>IF(year=bargiri[[#This Row],[سال]],1,0)</f>
        <v>0</v>
      </c>
      <c r="J3111" s="360" t="str">
        <f>VLOOKUP(bargiri[[#This Row],[شماره پیش فاکتور]],invoice[],16,0)</f>
        <v>عادی</v>
      </c>
      <c r="K3111" s="252">
        <f>bargiri[[#This Row],[فی]]*bargiri[[#This Row],[میزان بارگیری شده]]</f>
        <v>819945000</v>
      </c>
    </row>
    <row r="3112" spans="1:11" ht="18.600000000000001">
      <c r="A3112" s="360" t="s">
        <v>158</v>
      </c>
      <c r="B3112" s="360" t="s">
        <v>116</v>
      </c>
      <c r="C3112" s="355" t="s">
        <v>77</v>
      </c>
      <c r="D3112">
        <v>19920</v>
      </c>
      <c r="E3112" s="143">
        <v>68500</v>
      </c>
      <c r="F3112" s="117">
        <v>1403</v>
      </c>
      <c r="G3112" s="360" t="s">
        <v>295</v>
      </c>
      <c r="H3112" s="144">
        <f>bargiri[[#This Row],[میزان بارگیری شده]]*bargiri[[#This Row],[فی]]</f>
        <v>1364520000</v>
      </c>
      <c r="I3112" s="360">
        <f>IF(year=bargiri[[#This Row],[سال]],1,0)</f>
        <v>0</v>
      </c>
      <c r="J3112" s="360" t="str">
        <f>VLOOKUP(bargiri[[#This Row],[شماره پیش فاکتور]],invoice[],16,0)</f>
        <v>عادی</v>
      </c>
      <c r="K3112" s="252">
        <f>bargiri[[#This Row],[فی]]*bargiri[[#This Row],[میزان بارگیری شده]]</f>
        <v>1364520000</v>
      </c>
    </row>
    <row r="3113" spans="1:11" ht="18.600000000000001">
      <c r="A3113" s="360" t="s">
        <v>158</v>
      </c>
      <c r="B3113" s="360" t="s">
        <v>117</v>
      </c>
      <c r="C3113" s="355" t="s">
        <v>83</v>
      </c>
      <c r="D3113">
        <v>6460</v>
      </c>
      <c r="E3113" s="143">
        <v>55000</v>
      </c>
      <c r="F3113" s="117">
        <v>1403</v>
      </c>
      <c r="G3113" s="360" t="s">
        <v>295</v>
      </c>
      <c r="H3113" s="144">
        <f>bargiri[[#This Row],[میزان بارگیری شده]]*bargiri[[#This Row],[فی]]</f>
        <v>355300000</v>
      </c>
      <c r="I3113" s="360">
        <f>IF(year=bargiri[[#This Row],[سال]],1,0)</f>
        <v>0</v>
      </c>
      <c r="J3113" s="360" t="str">
        <f>VLOOKUP(bargiri[[#This Row],[شماره پیش فاکتور]],invoice[],16,0)</f>
        <v>عادی</v>
      </c>
      <c r="K3113" s="252">
        <f>bargiri[[#This Row],[فی]]*bargiri[[#This Row],[میزان بارگیری شده]]</f>
        <v>355300000</v>
      </c>
    </row>
    <row r="3114" spans="1:11" ht="18.600000000000001">
      <c r="A3114" s="360" t="s">
        <v>158</v>
      </c>
      <c r="B3114" s="360" t="s">
        <v>106</v>
      </c>
      <c r="C3114" s="355" t="s">
        <v>47</v>
      </c>
      <c r="D3114">
        <v>5240</v>
      </c>
      <c r="E3114" s="143">
        <v>50000</v>
      </c>
      <c r="F3114" s="117">
        <v>1403</v>
      </c>
      <c r="G3114" s="360" t="s">
        <v>295</v>
      </c>
      <c r="H3114" s="144">
        <f>bargiri[[#This Row],[میزان بارگیری شده]]*bargiri[[#This Row],[فی]]</f>
        <v>262000000</v>
      </c>
      <c r="I3114" s="360">
        <f>IF(year=bargiri[[#This Row],[سال]],1,0)</f>
        <v>0</v>
      </c>
      <c r="J3114" s="360" t="str">
        <f>VLOOKUP(bargiri[[#This Row],[شماره پیش فاکتور]],invoice[],16,0)</f>
        <v>عادی</v>
      </c>
      <c r="K3114" s="252">
        <f>bargiri[[#This Row],[فی]]*bargiri[[#This Row],[میزان بارگیری شده]]</f>
        <v>262000000</v>
      </c>
    </row>
    <row r="3115" spans="1:11" ht="18.600000000000001">
      <c r="A3115" s="360" t="s">
        <v>158</v>
      </c>
      <c r="B3115" s="360" t="s">
        <v>106</v>
      </c>
      <c r="C3115" s="355" t="s">
        <v>47</v>
      </c>
      <c r="D3115">
        <v>20980</v>
      </c>
      <c r="E3115" s="143">
        <v>50000</v>
      </c>
      <c r="F3115" s="117">
        <v>1403</v>
      </c>
      <c r="G3115" s="360" t="s">
        <v>295</v>
      </c>
      <c r="H3115" s="144">
        <f>bargiri[[#This Row],[میزان بارگیری شده]]*bargiri[[#This Row],[فی]]</f>
        <v>1049000000</v>
      </c>
      <c r="I3115" s="360">
        <f>IF(year=bargiri[[#This Row],[سال]],1,0)</f>
        <v>0</v>
      </c>
      <c r="J3115" s="360" t="str">
        <f>VLOOKUP(bargiri[[#This Row],[شماره پیش فاکتور]],invoice[],16,0)</f>
        <v>عادی</v>
      </c>
      <c r="K3115" s="252">
        <f>bargiri[[#This Row],[فی]]*bargiri[[#This Row],[میزان بارگیری شده]]</f>
        <v>1049000000</v>
      </c>
    </row>
    <row r="3116" spans="1:11" ht="18.600000000000001">
      <c r="A3116" s="360" t="s">
        <v>487</v>
      </c>
      <c r="B3116" s="360" t="s">
        <v>117</v>
      </c>
      <c r="C3116" s="355" t="s">
        <v>83</v>
      </c>
      <c r="D3116">
        <v>5780</v>
      </c>
      <c r="E3116" s="143">
        <v>55000</v>
      </c>
      <c r="F3116" s="117">
        <v>1403</v>
      </c>
      <c r="G3116" s="360" t="s">
        <v>295</v>
      </c>
      <c r="H3116" s="144">
        <f>bargiri[[#This Row],[میزان بارگیری شده]]*bargiri[[#This Row],[فی]]</f>
        <v>317900000</v>
      </c>
      <c r="I3116" s="360">
        <f>IF(year=bargiri[[#This Row],[سال]],1,0)</f>
        <v>0</v>
      </c>
      <c r="J3116" s="360" t="str">
        <f>VLOOKUP(bargiri[[#This Row],[شماره پیش فاکتور]],invoice[],16,0)</f>
        <v>عادی</v>
      </c>
      <c r="K3116" s="252">
        <f>bargiri[[#This Row],[فی]]*bargiri[[#This Row],[میزان بارگیری شده]]</f>
        <v>317900000</v>
      </c>
    </row>
    <row r="3117" spans="1:11" ht="18.600000000000001">
      <c r="A3117" s="360" t="s">
        <v>487</v>
      </c>
      <c r="B3117" s="360" t="s">
        <v>117</v>
      </c>
      <c r="C3117" s="355" t="s">
        <v>83</v>
      </c>
      <c r="D3117">
        <v>5800</v>
      </c>
      <c r="E3117" s="143">
        <v>55000</v>
      </c>
      <c r="F3117" s="117">
        <v>1403</v>
      </c>
      <c r="G3117" s="360" t="s">
        <v>295</v>
      </c>
      <c r="H3117" s="144">
        <f>bargiri[[#This Row],[میزان بارگیری شده]]*bargiri[[#This Row],[فی]]</f>
        <v>319000000</v>
      </c>
      <c r="I3117" s="360">
        <f>IF(year=bargiri[[#This Row],[سال]],1,0)</f>
        <v>0</v>
      </c>
      <c r="J3117" s="360" t="str">
        <f>VLOOKUP(bargiri[[#This Row],[شماره پیش فاکتور]],invoice[],16,0)</f>
        <v>عادی</v>
      </c>
      <c r="K3117" s="252">
        <f>bargiri[[#This Row],[فی]]*bargiri[[#This Row],[میزان بارگیری شده]]</f>
        <v>319000000</v>
      </c>
    </row>
    <row r="3118" spans="1:11" ht="18.600000000000001">
      <c r="A3118" s="360" t="s">
        <v>488</v>
      </c>
      <c r="B3118" s="360" t="s">
        <v>116</v>
      </c>
      <c r="C3118" s="355" t="s">
        <v>77</v>
      </c>
      <c r="D3118">
        <v>11940</v>
      </c>
      <c r="E3118" s="143">
        <v>68500</v>
      </c>
      <c r="F3118" s="117">
        <v>1403</v>
      </c>
      <c r="G3118" s="360" t="s">
        <v>295</v>
      </c>
      <c r="H3118" s="144">
        <f>bargiri[[#This Row],[میزان بارگیری شده]]*bargiri[[#This Row],[فی]]</f>
        <v>817890000</v>
      </c>
      <c r="I3118" s="360">
        <f>IF(year=bargiri[[#This Row],[سال]],1,0)</f>
        <v>0</v>
      </c>
      <c r="J3118" s="360" t="str">
        <f>VLOOKUP(bargiri[[#This Row],[شماره پیش فاکتور]],invoice[],16,0)</f>
        <v>عادی</v>
      </c>
      <c r="K3118" s="252">
        <f>bargiri[[#This Row],[فی]]*bargiri[[#This Row],[میزان بارگیری شده]]</f>
        <v>817890000</v>
      </c>
    </row>
    <row r="3119" spans="1:11" ht="18.600000000000001">
      <c r="A3119" s="360" t="s">
        <v>488</v>
      </c>
      <c r="B3119" s="360" t="s">
        <v>116</v>
      </c>
      <c r="C3119" s="355" t="s">
        <v>77</v>
      </c>
      <c r="D3119">
        <v>19850</v>
      </c>
      <c r="E3119" s="143">
        <v>68500</v>
      </c>
      <c r="F3119" s="117">
        <v>1403</v>
      </c>
      <c r="G3119" s="360" t="s">
        <v>295</v>
      </c>
      <c r="H3119" s="144">
        <f>bargiri[[#This Row],[میزان بارگیری شده]]*bargiri[[#This Row],[فی]]</f>
        <v>1359725000</v>
      </c>
      <c r="I3119" s="360">
        <f>IF(year=bargiri[[#This Row],[سال]],1,0)</f>
        <v>0</v>
      </c>
      <c r="J3119" s="360" t="str">
        <f>VLOOKUP(bargiri[[#This Row],[شماره پیش فاکتور]],invoice[],16,0)</f>
        <v>عادی</v>
      </c>
      <c r="K3119" s="252">
        <f>bargiri[[#This Row],[فی]]*bargiri[[#This Row],[میزان بارگیری شده]]</f>
        <v>1359725000</v>
      </c>
    </row>
    <row r="3120" spans="1:11" ht="18.600000000000001">
      <c r="A3120" s="360" t="s">
        <v>489</v>
      </c>
      <c r="B3120" s="360" t="s">
        <v>117</v>
      </c>
      <c r="C3120" s="355" t="s">
        <v>83</v>
      </c>
      <c r="D3120">
        <v>6350</v>
      </c>
      <c r="E3120" s="143">
        <v>55000</v>
      </c>
      <c r="F3120" s="117">
        <v>1403</v>
      </c>
      <c r="G3120" s="360" t="s">
        <v>295</v>
      </c>
      <c r="H3120" s="144">
        <f>bargiri[[#This Row],[میزان بارگیری شده]]*bargiri[[#This Row],[فی]]</f>
        <v>349250000</v>
      </c>
      <c r="I3120" s="360">
        <f>IF(year=bargiri[[#This Row],[سال]],1,0)</f>
        <v>0</v>
      </c>
      <c r="J3120" s="360" t="str">
        <f>VLOOKUP(bargiri[[#This Row],[شماره پیش فاکتور]],invoice[],16,0)</f>
        <v>عادی</v>
      </c>
      <c r="K3120" s="252">
        <f>bargiri[[#This Row],[فی]]*bargiri[[#This Row],[میزان بارگیری شده]]</f>
        <v>349250000</v>
      </c>
    </row>
    <row r="3121" spans="1:11" ht="18.600000000000001">
      <c r="A3121" s="360" t="s">
        <v>489</v>
      </c>
      <c r="B3121" s="360" t="s">
        <v>117</v>
      </c>
      <c r="C3121" s="355" t="s">
        <v>83</v>
      </c>
      <c r="D3121">
        <v>6370</v>
      </c>
      <c r="E3121" s="143">
        <v>55000</v>
      </c>
      <c r="F3121" s="117">
        <v>1403</v>
      </c>
      <c r="G3121" s="360" t="s">
        <v>295</v>
      </c>
      <c r="H3121" s="144">
        <f>bargiri[[#This Row],[میزان بارگیری شده]]*bargiri[[#This Row],[فی]]</f>
        <v>350350000</v>
      </c>
      <c r="I3121" s="360">
        <f>IF(year=bargiri[[#This Row],[سال]],1,0)</f>
        <v>0</v>
      </c>
      <c r="J3121" s="360" t="str">
        <f>VLOOKUP(bargiri[[#This Row],[شماره پیش فاکتور]],invoice[],16,0)</f>
        <v>عادی</v>
      </c>
      <c r="K3121" s="252">
        <f>bargiri[[#This Row],[فی]]*bargiri[[#This Row],[میزان بارگیری شده]]</f>
        <v>350350000</v>
      </c>
    </row>
    <row r="3122" spans="1:11" ht="18.600000000000001">
      <c r="A3122" s="360" t="s">
        <v>490</v>
      </c>
      <c r="B3122" s="360" t="s">
        <v>117</v>
      </c>
      <c r="C3122" s="355" t="s">
        <v>83</v>
      </c>
      <c r="D3122">
        <v>6380</v>
      </c>
      <c r="E3122" s="143">
        <v>55000</v>
      </c>
      <c r="F3122" s="117">
        <v>1403</v>
      </c>
      <c r="G3122" s="360" t="s">
        <v>295</v>
      </c>
      <c r="H3122" s="144">
        <f>bargiri[[#This Row],[میزان بارگیری شده]]*bargiri[[#This Row],[فی]]</f>
        <v>350900000</v>
      </c>
      <c r="I3122" s="360">
        <f>IF(year=bargiri[[#This Row],[سال]],1,0)</f>
        <v>0</v>
      </c>
      <c r="J3122" s="360" t="str">
        <f>VLOOKUP(bargiri[[#This Row],[شماره پیش فاکتور]],invoice[],16,0)</f>
        <v>عادی</v>
      </c>
      <c r="K3122" s="252">
        <f>bargiri[[#This Row],[فی]]*bargiri[[#This Row],[میزان بارگیری شده]]</f>
        <v>350900000</v>
      </c>
    </row>
    <row r="3123" spans="1:11" ht="18.600000000000001">
      <c r="A3123" s="360" t="s">
        <v>477</v>
      </c>
      <c r="B3123" s="360" t="s">
        <v>103</v>
      </c>
      <c r="C3123" s="355" t="s">
        <v>33</v>
      </c>
      <c r="D3123">
        <v>7550</v>
      </c>
      <c r="E3123" s="143">
        <v>75000</v>
      </c>
      <c r="F3123" s="117">
        <v>1403</v>
      </c>
      <c r="G3123" s="360" t="s">
        <v>295</v>
      </c>
      <c r="H3123" s="144">
        <f>bargiri[[#This Row],[میزان بارگیری شده]]*bargiri[[#This Row],[فی]]</f>
        <v>566250000</v>
      </c>
      <c r="I3123" s="360">
        <f>IF(year=bargiri[[#This Row],[سال]],1,0)</f>
        <v>0</v>
      </c>
      <c r="J3123" s="360" t="str">
        <f>VLOOKUP(bargiri[[#This Row],[شماره پیش فاکتور]],invoice[],16,0)</f>
        <v>عادی</v>
      </c>
      <c r="K3123" s="252">
        <f>bargiri[[#This Row],[فی]]*bargiri[[#This Row],[میزان بارگیری شده]]</f>
        <v>566250000</v>
      </c>
    </row>
    <row r="3124" spans="1:11" ht="18.600000000000001">
      <c r="A3124" s="360" t="s">
        <v>477</v>
      </c>
      <c r="B3124" s="360" t="s">
        <v>117</v>
      </c>
      <c r="C3124" s="355" t="s">
        <v>83</v>
      </c>
      <c r="D3124">
        <v>6460</v>
      </c>
      <c r="E3124" s="143">
        <v>55000</v>
      </c>
      <c r="F3124" s="117">
        <v>1403</v>
      </c>
      <c r="G3124" s="360" t="s">
        <v>295</v>
      </c>
      <c r="H3124" s="144">
        <f>bargiri[[#This Row],[میزان بارگیری شده]]*bargiri[[#This Row],[فی]]</f>
        <v>355300000</v>
      </c>
      <c r="I3124" s="360">
        <f>IF(year=bargiri[[#This Row],[سال]],1,0)</f>
        <v>0</v>
      </c>
      <c r="J3124" s="360" t="str">
        <f>VLOOKUP(bargiri[[#This Row],[شماره پیش فاکتور]],invoice[],16,0)</f>
        <v>عادی</v>
      </c>
      <c r="K3124" s="252">
        <f>bargiri[[#This Row],[فی]]*bargiri[[#This Row],[میزان بارگیری شده]]</f>
        <v>355300000</v>
      </c>
    </row>
    <row r="3125" spans="1:11" ht="18.600000000000001">
      <c r="A3125" s="360" t="s">
        <v>477</v>
      </c>
      <c r="B3125" s="360" t="s">
        <v>103</v>
      </c>
      <c r="C3125" s="355" t="s">
        <v>33</v>
      </c>
      <c r="D3125">
        <v>7520</v>
      </c>
      <c r="E3125" s="143">
        <v>75000</v>
      </c>
      <c r="F3125" s="117">
        <v>1403</v>
      </c>
      <c r="G3125" s="360" t="s">
        <v>295</v>
      </c>
      <c r="H3125" s="144">
        <f>bargiri[[#This Row],[میزان بارگیری شده]]*bargiri[[#This Row],[فی]]</f>
        <v>564000000</v>
      </c>
      <c r="I3125" s="360">
        <f>IF(year=bargiri[[#This Row],[سال]],1,0)</f>
        <v>0</v>
      </c>
      <c r="J3125" s="360" t="str">
        <f>VLOOKUP(bargiri[[#This Row],[شماره پیش فاکتور]],invoice[],16,0)</f>
        <v>عادی</v>
      </c>
      <c r="K3125" s="252">
        <f>bargiri[[#This Row],[فی]]*bargiri[[#This Row],[میزان بارگیری شده]]</f>
        <v>564000000</v>
      </c>
    </row>
    <row r="3126" spans="1:11" ht="18.600000000000001">
      <c r="A3126" s="360" t="s">
        <v>478</v>
      </c>
      <c r="B3126" s="360" t="s">
        <v>124</v>
      </c>
      <c r="C3126" s="355" t="s">
        <v>95</v>
      </c>
      <c r="D3126">
        <v>22890</v>
      </c>
      <c r="E3126" s="143">
        <v>75000</v>
      </c>
      <c r="F3126" s="117">
        <v>1403</v>
      </c>
      <c r="G3126" s="360" t="s">
        <v>295</v>
      </c>
      <c r="H3126" s="144">
        <f>bargiri[[#This Row],[میزان بارگیری شده]]*bargiri[[#This Row],[فی]]</f>
        <v>1716750000</v>
      </c>
      <c r="I3126" s="360">
        <f>IF(year=bargiri[[#This Row],[سال]],1,0)</f>
        <v>0</v>
      </c>
      <c r="J3126" s="360" t="str">
        <f>VLOOKUP(bargiri[[#This Row],[شماره پیش فاکتور]],invoice[],16,0)</f>
        <v>عادی</v>
      </c>
      <c r="K3126" s="252">
        <f>bargiri[[#This Row],[فی]]*bargiri[[#This Row],[میزان بارگیری شده]]</f>
        <v>1716750000</v>
      </c>
    </row>
    <row r="3127" spans="1:11" ht="18.600000000000001">
      <c r="A3127" s="360" t="s">
        <v>478</v>
      </c>
      <c r="B3127" s="360" t="s">
        <v>117</v>
      </c>
      <c r="C3127" s="355" t="s">
        <v>83</v>
      </c>
      <c r="D3127">
        <v>6570</v>
      </c>
      <c r="E3127" s="143">
        <v>55000</v>
      </c>
      <c r="F3127" s="117">
        <v>1403</v>
      </c>
      <c r="G3127" s="360" t="s">
        <v>295</v>
      </c>
      <c r="H3127" s="144">
        <f>bargiri[[#This Row],[میزان بارگیری شده]]*bargiri[[#This Row],[فی]]</f>
        <v>361350000</v>
      </c>
      <c r="I3127" s="360">
        <f>IF(year=bargiri[[#This Row],[سال]],1,0)</f>
        <v>0</v>
      </c>
      <c r="J3127" s="360" t="str">
        <f>VLOOKUP(bargiri[[#This Row],[شماره پیش فاکتور]],invoice[],16,0)</f>
        <v>عادی</v>
      </c>
      <c r="K3127" s="252">
        <f>bargiri[[#This Row],[فی]]*bargiri[[#This Row],[میزان بارگیری شده]]</f>
        <v>361350000</v>
      </c>
    </row>
    <row r="3128" spans="1:11" ht="18.600000000000001">
      <c r="A3128" s="360" t="s">
        <v>478</v>
      </c>
      <c r="B3128" s="360" t="s">
        <v>118</v>
      </c>
      <c r="C3128" s="355" t="s">
        <v>85</v>
      </c>
      <c r="D3128">
        <v>20070</v>
      </c>
      <c r="E3128" s="143">
        <v>56881</v>
      </c>
      <c r="F3128" s="117">
        <v>1403</v>
      </c>
      <c r="G3128" s="360" t="s">
        <v>295</v>
      </c>
      <c r="H3128" s="144">
        <f>bargiri[[#This Row],[میزان بارگیری شده]]*bargiri[[#This Row],[فی]]</f>
        <v>1141601670</v>
      </c>
      <c r="I3128" s="360">
        <f>IF(year=bargiri[[#This Row],[سال]],1,0)</f>
        <v>0</v>
      </c>
      <c r="J3128" s="360" t="str">
        <f>VLOOKUP(bargiri[[#This Row],[شماره پیش فاکتور]],invoice[],16,0)</f>
        <v>عادی</v>
      </c>
      <c r="K3128" s="252">
        <f>bargiri[[#This Row],[فی]]*bargiri[[#This Row],[میزان بارگیری شده]]</f>
        <v>1141601670</v>
      </c>
    </row>
    <row r="3129" spans="1:11" ht="18.600000000000001">
      <c r="A3129" s="360" t="s">
        <v>478</v>
      </c>
      <c r="B3129" s="360" t="s">
        <v>118</v>
      </c>
      <c r="C3129" s="355" t="s">
        <v>85</v>
      </c>
      <c r="D3129">
        <v>21010</v>
      </c>
      <c r="E3129" s="143">
        <v>56881</v>
      </c>
      <c r="F3129" s="117">
        <v>1403</v>
      </c>
      <c r="G3129" s="360" t="s">
        <v>295</v>
      </c>
      <c r="H3129" s="144">
        <f>bargiri[[#This Row],[میزان بارگیری شده]]*bargiri[[#This Row],[فی]]</f>
        <v>1195069810</v>
      </c>
      <c r="I3129" s="360">
        <f>IF(year=bargiri[[#This Row],[سال]],1,0)</f>
        <v>0</v>
      </c>
      <c r="J3129" s="360" t="str">
        <f>VLOOKUP(bargiri[[#This Row],[شماره پیش فاکتور]],invoice[],16,0)</f>
        <v>عادی</v>
      </c>
      <c r="K3129" s="252">
        <f>bargiri[[#This Row],[فی]]*bargiri[[#This Row],[میزان بارگیری شده]]</f>
        <v>1195069810</v>
      </c>
    </row>
    <row r="3130" spans="1:11" ht="18.600000000000001">
      <c r="A3130" s="360" t="s">
        <v>478</v>
      </c>
      <c r="B3130" s="360" t="s">
        <v>118</v>
      </c>
      <c r="C3130" s="355" t="s">
        <v>85</v>
      </c>
      <c r="D3130">
        <v>20900</v>
      </c>
      <c r="E3130" s="143">
        <v>56881</v>
      </c>
      <c r="F3130" s="117">
        <v>1403</v>
      </c>
      <c r="G3130" s="360" t="s">
        <v>295</v>
      </c>
      <c r="H3130" s="144">
        <f>bargiri[[#This Row],[میزان بارگیری شده]]*bargiri[[#This Row],[فی]]</f>
        <v>1188812900</v>
      </c>
      <c r="I3130" s="360">
        <f>IF(year=bargiri[[#This Row],[سال]],1,0)</f>
        <v>0</v>
      </c>
      <c r="J3130" s="360" t="str">
        <f>VLOOKUP(bargiri[[#This Row],[شماره پیش فاکتور]],invoice[],16,0)</f>
        <v>عادی</v>
      </c>
      <c r="K3130" s="252">
        <f>bargiri[[#This Row],[فی]]*bargiri[[#This Row],[میزان بارگیری شده]]</f>
        <v>1188812900</v>
      </c>
    </row>
    <row r="3131" spans="1:11" ht="18.600000000000001">
      <c r="A3131" s="360" t="s">
        <v>216</v>
      </c>
      <c r="B3131" s="360" t="s">
        <v>99</v>
      </c>
      <c r="C3131" s="355" t="s">
        <v>14</v>
      </c>
      <c r="D3131">
        <v>18320</v>
      </c>
      <c r="E3131" s="143">
        <v>50000</v>
      </c>
      <c r="F3131" s="117">
        <v>1403</v>
      </c>
      <c r="G3131" s="360" t="s">
        <v>295</v>
      </c>
      <c r="H3131" s="144">
        <f>bargiri[[#This Row],[میزان بارگیری شده]]*bargiri[[#This Row],[فی]]</f>
        <v>916000000</v>
      </c>
      <c r="I3131" s="360">
        <f>IF(year=bargiri[[#This Row],[سال]],1,0)</f>
        <v>0</v>
      </c>
      <c r="J3131" s="360" t="str">
        <f>VLOOKUP(bargiri[[#This Row],[شماره پیش فاکتور]],invoice[],16,0)</f>
        <v>عادی</v>
      </c>
      <c r="K3131" s="252">
        <f>bargiri[[#This Row],[فی]]*bargiri[[#This Row],[میزان بارگیری شده]]</f>
        <v>916000000</v>
      </c>
    </row>
    <row r="3132" spans="1:11" ht="18.600000000000001">
      <c r="A3132" s="360" t="s">
        <v>216</v>
      </c>
      <c r="B3132" s="360" t="s">
        <v>106</v>
      </c>
      <c r="C3132" s="355" t="s">
        <v>47</v>
      </c>
      <c r="D3132">
        <v>17120</v>
      </c>
      <c r="E3132" s="143">
        <v>50000</v>
      </c>
      <c r="F3132" s="117">
        <v>1403</v>
      </c>
      <c r="G3132" s="360" t="s">
        <v>295</v>
      </c>
      <c r="H3132" s="144">
        <f>bargiri[[#This Row],[میزان بارگیری شده]]*bargiri[[#This Row],[فی]]</f>
        <v>856000000</v>
      </c>
      <c r="I3132" s="360">
        <f>IF(year=bargiri[[#This Row],[سال]],1,0)</f>
        <v>0</v>
      </c>
      <c r="J3132" s="360" t="str">
        <f>VLOOKUP(bargiri[[#This Row],[شماره پیش فاکتور]],invoice[],16,0)</f>
        <v>عادی</v>
      </c>
      <c r="K3132" s="252">
        <f>bargiri[[#This Row],[فی]]*bargiri[[#This Row],[میزان بارگیری شده]]</f>
        <v>856000000</v>
      </c>
    </row>
    <row r="3133" spans="1:11" ht="18.600000000000001">
      <c r="A3133" s="360" t="s">
        <v>216</v>
      </c>
      <c r="B3133" s="360" t="s">
        <v>117</v>
      </c>
      <c r="C3133" s="355" t="s">
        <v>83</v>
      </c>
      <c r="D3133">
        <v>6510</v>
      </c>
      <c r="E3133" s="143">
        <v>55000</v>
      </c>
      <c r="F3133" s="117">
        <v>1403</v>
      </c>
      <c r="G3133" s="360" t="s">
        <v>295</v>
      </c>
      <c r="H3133" s="144">
        <f>bargiri[[#This Row],[میزان بارگیری شده]]*bargiri[[#This Row],[فی]]</f>
        <v>358050000</v>
      </c>
      <c r="I3133" s="360">
        <f>IF(year=bargiri[[#This Row],[سال]],1,0)</f>
        <v>0</v>
      </c>
      <c r="J3133" s="360" t="str">
        <f>VLOOKUP(bargiri[[#This Row],[شماره پیش فاکتور]],invoice[],16,0)</f>
        <v>عادی</v>
      </c>
      <c r="K3133" s="252">
        <f>bargiri[[#This Row],[فی]]*bargiri[[#This Row],[میزان بارگیری شده]]</f>
        <v>358050000</v>
      </c>
    </row>
    <row r="3134" spans="1:11" ht="18.600000000000001">
      <c r="A3134" s="360" t="s">
        <v>216</v>
      </c>
      <c r="B3134" s="360" t="s">
        <v>124</v>
      </c>
      <c r="C3134" s="355" t="s">
        <v>95</v>
      </c>
      <c r="D3134">
        <v>22020</v>
      </c>
      <c r="E3134" s="143">
        <v>75000</v>
      </c>
      <c r="F3134" s="117">
        <v>1403</v>
      </c>
      <c r="G3134" s="360" t="s">
        <v>295</v>
      </c>
      <c r="H3134" s="144">
        <f>bargiri[[#This Row],[میزان بارگیری شده]]*bargiri[[#This Row],[فی]]</f>
        <v>1651500000</v>
      </c>
      <c r="I3134" s="360">
        <f>IF(year=bargiri[[#This Row],[سال]],1,0)</f>
        <v>0</v>
      </c>
      <c r="J3134" s="360" t="str">
        <f>VLOOKUP(bargiri[[#This Row],[شماره پیش فاکتور]],invoice[],16,0)</f>
        <v>عادی</v>
      </c>
      <c r="K3134" s="252">
        <f>bargiri[[#This Row],[فی]]*bargiri[[#This Row],[میزان بارگیری شده]]</f>
        <v>1651500000</v>
      </c>
    </row>
    <row r="3135" spans="1:11" ht="18.600000000000001">
      <c r="A3135" s="360" t="s">
        <v>216</v>
      </c>
      <c r="B3135" s="360" t="s">
        <v>106</v>
      </c>
      <c r="C3135" s="355" t="s">
        <v>47</v>
      </c>
      <c r="D3135">
        <v>21000</v>
      </c>
      <c r="E3135" s="143">
        <v>50000</v>
      </c>
      <c r="F3135" s="117">
        <v>1403</v>
      </c>
      <c r="G3135" s="360" t="s">
        <v>295</v>
      </c>
      <c r="H3135" s="144">
        <f>bargiri[[#This Row],[میزان بارگیری شده]]*bargiri[[#This Row],[فی]]</f>
        <v>1050000000</v>
      </c>
      <c r="I3135" s="360">
        <f>IF(year=bargiri[[#This Row],[سال]],1,0)</f>
        <v>0</v>
      </c>
      <c r="J3135" s="360" t="str">
        <f>VLOOKUP(bargiri[[#This Row],[شماره پیش فاکتور]],invoice[],16,0)</f>
        <v>عادی</v>
      </c>
      <c r="K3135" s="252">
        <f>bargiri[[#This Row],[فی]]*bargiri[[#This Row],[میزان بارگیری شده]]</f>
        <v>1050000000</v>
      </c>
    </row>
    <row r="3136" spans="1:11" ht="18.600000000000001">
      <c r="A3136" s="360" t="s">
        <v>216</v>
      </c>
      <c r="B3136" s="360" t="s">
        <v>103</v>
      </c>
      <c r="C3136" s="355" t="s">
        <v>33</v>
      </c>
      <c r="D3136">
        <v>7460</v>
      </c>
      <c r="E3136" s="143">
        <v>75000</v>
      </c>
      <c r="F3136" s="117">
        <v>1403</v>
      </c>
      <c r="G3136" s="360" t="s">
        <v>295</v>
      </c>
      <c r="H3136" s="144">
        <f>bargiri[[#This Row],[میزان بارگیری شده]]*bargiri[[#This Row],[فی]]</f>
        <v>559500000</v>
      </c>
      <c r="I3136" s="360">
        <f>IF(year=bargiri[[#This Row],[سال]],1,0)</f>
        <v>0</v>
      </c>
      <c r="J3136" s="360" t="str">
        <f>VLOOKUP(bargiri[[#This Row],[شماره پیش فاکتور]],invoice[],16,0)</f>
        <v>عادی</v>
      </c>
      <c r="K3136" s="252">
        <f>bargiri[[#This Row],[فی]]*bargiri[[#This Row],[میزان بارگیری شده]]</f>
        <v>559500000</v>
      </c>
    </row>
    <row r="3137" spans="1:11" ht="18.600000000000001">
      <c r="A3137" s="360" t="s">
        <v>491</v>
      </c>
      <c r="B3137" s="360" t="s">
        <v>101</v>
      </c>
      <c r="C3137" s="355" t="s">
        <v>21</v>
      </c>
      <c r="D3137">
        <v>22980</v>
      </c>
      <c r="E3137" s="143">
        <v>68000</v>
      </c>
      <c r="F3137" s="117">
        <v>1403</v>
      </c>
      <c r="G3137" s="360" t="s">
        <v>295</v>
      </c>
      <c r="H3137" s="144">
        <f>bargiri[[#This Row],[میزان بارگیری شده]]*bargiri[[#This Row],[فی]]</f>
        <v>1562640000</v>
      </c>
      <c r="I3137" s="360">
        <f>IF(year=bargiri[[#This Row],[سال]],1,0)</f>
        <v>0</v>
      </c>
      <c r="J3137" s="360" t="str">
        <f>VLOOKUP(bargiri[[#This Row],[شماره پیش فاکتور]],invoice[],16,0)</f>
        <v>عادی</v>
      </c>
      <c r="K3137" s="252">
        <f>bargiri[[#This Row],[فی]]*bargiri[[#This Row],[میزان بارگیری شده]]</f>
        <v>1562640000</v>
      </c>
    </row>
    <row r="3138" spans="1:11" ht="18.600000000000001">
      <c r="A3138" s="360" t="s">
        <v>491</v>
      </c>
      <c r="B3138" s="360" t="s">
        <v>117</v>
      </c>
      <c r="C3138" s="355" t="s">
        <v>83</v>
      </c>
      <c r="D3138">
        <v>6190</v>
      </c>
      <c r="E3138" s="143">
        <v>55000</v>
      </c>
      <c r="F3138" s="117">
        <v>1403</v>
      </c>
      <c r="G3138" s="360" t="s">
        <v>295</v>
      </c>
      <c r="H3138" s="144">
        <f>bargiri[[#This Row],[میزان بارگیری شده]]*bargiri[[#This Row],[فی]]</f>
        <v>340450000</v>
      </c>
      <c r="I3138" s="360">
        <f>IF(year=bargiri[[#This Row],[سال]],1,0)</f>
        <v>0</v>
      </c>
      <c r="J3138" s="360" t="str">
        <f>VLOOKUP(bargiri[[#This Row],[شماره پیش فاکتور]],invoice[],16,0)</f>
        <v>عادی</v>
      </c>
      <c r="K3138" s="252">
        <f>bargiri[[#This Row],[فی]]*bargiri[[#This Row],[میزان بارگیری شده]]</f>
        <v>340450000</v>
      </c>
    </row>
    <row r="3139" spans="1:11" ht="18.600000000000001">
      <c r="A3139" s="360" t="s">
        <v>491</v>
      </c>
      <c r="B3139" s="360" t="s">
        <v>103</v>
      </c>
      <c r="C3139" s="355" t="s">
        <v>33</v>
      </c>
      <c r="D3139">
        <v>6640</v>
      </c>
      <c r="E3139" s="143">
        <v>75000</v>
      </c>
      <c r="F3139" s="117">
        <v>1403</v>
      </c>
      <c r="G3139" s="360" t="s">
        <v>295</v>
      </c>
      <c r="H3139" s="144">
        <f>bargiri[[#This Row],[میزان بارگیری شده]]*bargiri[[#This Row],[فی]]</f>
        <v>498000000</v>
      </c>
      <c r="I3139" s="360">
        <f>IF(year=bargiri[[#This Row],[سال]],1,0)</f>
        <v>0</v>
      </c>
      <c r="J3139" s="360" t="str">
        <f>VLOOKUP(bargiri[[#This Row],[شماره پیش فاکتور]],invoice[],16,0)</f>
        <v>عادی</v>
      </c>
      <c r="K3139" s="252">
        <f>bargiri[[#This Row],[فی]]*bargiri[[#This Row],[میزان بارگیری شده]]</f>
        <v>498000000</v>
      </c>
    </row>
    <row r="3140" spans="1:11" ht="18.600000000000001">
      <c r="A3140" s="360" t="s">
        <v>491</v>
      </c>
      <c r="B3140" s="360" t="s">
        <v>102</v>
      </c>
      <c r="C3140" s="355" t="s">
        <v>27</v>
      </c>
      <c r="D3140">
        <v>8310</v>
      </c>
      <c r="E3140" s="143">
        <v>56000</v>
      </c>
      <c r="F3140" s="117">
        <v>1403</v>
      </c>
      <c r="G3140" s="360" t="s">
        <v>295</v>
      </c>
      <c r="H3140" s="144">
        <f>bargiri[[#This Row],[میزان بارگیری شده]]*bargiri[[#This Row],[فی]]</f>
        <v>465360000</v>
      </c>
      <c r="I3140" s="360">
        <f>IF(year=bargiri[[#This Row],[سال]],1,0)</f>
        <v>0</v>
      </c>
      <c r="J3140" s="360" t="str">
        <f>VLOOKUP(bargiri[[#This Row],[شماره پیش فاکتور]],invoice[],16,0)</f>
        <v>عادی</v>
      </c>
      <c r="K3140" s="252">
        <f>bargiri[[#This Row],[فی]]*bargiri[[#This Row],[میزان بارگیری شده]]</f>
        <v>465360000</v>
      </c>
    </row>
    <row r="3141" spans="1:11" ht="18.600000000000001">
      <c r="A3141" s="360" t="s">
        <v>492</v>
      </c>
      <c r="B3141" s="360" t="s">
        <v>103</v>
      </c>
      <c r="C3141" s="355" t="s">
        <v>33</v>
      </c>
      <c r="D3141">
        <v>7420</v>
      </c>
      <c r="E3141" s="143">
        <v>75000</v>
      </c>
      <c r="F3141" s="117">
        <v>1403</v>
      </c>
      <c r="G3141" s="360" t="s">
        <v>295</v>
      </c>
      <c r="H3141" s="144">
        <f>bargiri[[#This Row],[میزان بارگیری شده]]*bargiri[[#This Row],[فی]]</f>
        <v>556500000</v>
      </c>
      <c r="I3141" s="360">
        <f>IF(year=bargiri[[#This Row],[سال]],1,0)</f>
        <v>0</v>
      </c>
      <c r="J3141" s="360" t="str">
        <f>VLOOKUP(bargiri[[#This Row],[شماره پیش فاکتور]],invoice[],16,0)</f>
        <v>عادی</v>
      </c>
      <c r="K3141" s="252">
        <f>bargiri[[#This Row],[فی]]*bargiri[[#This Row],[میزان بارگیری شده]]</f>
        <v>556500000</v>
      </c>
    </row>
    <row r="3142" spans="1:11" ht="18.600000000000001">
      <c r="A3142" s="360" t="s">
        <v>492</v>
      </c>
      <c r="B3142" s="360" t="s">
        <v>103</v>
      </c>
      <c r="C3142" s="355" t="s">
        <v>33</v>
      </c>
      <c r="D3142">
        <v>7810</v>
      </c>
      <c r="E3142" s="143">
        <v>75000</v>
      </c>
      <c r="F3142" s="117">
        <v>1403</v>
      </c>
      <c r="G3142" s="360" t="s">
        <v>295</v>
      </c>
      <c r="H3142" s="144">
        <f>bargiri[[#This Row],[میزان بارگیری شده]]*bargiri[[#This Row],[فی]]</f>
        <v>585750000</v>
      </c>
      <c r="I3142" s="360">
        <f>IF(year=bargiri[[#This Row],[سال]],1,0)</f>
        <v>0</v>
      </c>
      <c r="J3142" s="360" t="str">
        <f>VLOOKUP(bargiri[[#This Row],[شماره پیش فاکتور]],invoice[],16,0)</f>
        <v>عادی</v>
      </c>
      <c r="K3142" s="252">
        <f>bargiri[[#This Row],[فی]]*bargiri[[#This Row],[میزان بارگیری شده]]</f>
        <v>585750000</v>
      </c>
    </row>
    <row r="3143" spans="1:11" ht="18.600000000000001">
      <c r="A3143" s="360" t="s">
        <v>493</v>
      </c>
      <c r="B3143" s="360" t="s">
        <v>103</v>
      </c>
      <c r="C3143" s="355" t="s">
        <v>33</v>
      </c>
      <c r="D3143">
        <v>7510</v>
      </c>
      <c r="E3143" s="143">
        <v>75000</v>
      </c>
      <c r="F3143" s="117">
        <v>1403</v>
      </c>
      <c r="G3143" s="360" t="s">
        <v>295</v>
      </c>
      <c r="H3143" s="144">
        <f>bargiri[[#This Row],[میزان بارگیری شده]]*bargiri[[#This Row],[فی]]</f>
        <v>563250000</v>
      </c>
      <c r="I3143" s="360">
        <f>IF(year=bargiri[[#This Row],[سال]],1,0)</f>
        <v>0</v>
      </c>
      <c r="J3143" s="360" t="str">
        <f>VLOOKUP(bargiri[[#This Row],[شماره پیش فاکتور]],invoice[],16,0)</f>
        <v>عادی</v>
      </c>
      <c r="K3143" s="252">
        <f>bargiri[[#This Row],[فی]]*bargiri[[#This Row],[میزان بارگیری شده]]</f>
        <v>563250000</v>
      </c>
    </row>
    <row r="3144" spans="1:11" ht="18.600000000000001">
      <c r="A3144" s="360" t="s">
        <v>494</v>
      </c>
      <c r="B3144" s="360" t="s">
        <v>103</v>
      </c>
      <c r="C3144" s="355" t="s">
        <v>33</v>
      </c>
      <c r="D3144">
        <v>7620</v>
      </c>
      <c r="E3144" s="143">
        <v>75000</v>
      </c>
      <c r="F3144" s="117">
        <v>1403</v>
      </c>
      <c r="G3144" s="360" t="s">
        <v>295</v>
      </c>
      <c r="H3144" s="144">
        <f>bargiri[[#This Row],[میزان بارگیری شده]]*bargiri[[#This Row],[فی]]</f>
        <v>571500000</v>
      </c>
      <c r="I3144" s="360">
        <f>IF(year=bargiri[[#This Row],[سال]],1,0)</f>
        <v>0</v>
      </c>
      <c r="J3144" s="360" t="str">
        <f>VLOOKUP(bargiri[[#This Row],[شماره پیش فاکتور]],invoice[],16,0)</f>
        <v>عادی</v>
      </c>
      <c r="K3144" s="252">
        <f>bargiri[[#This Row],[فی]]*bargiri[[#This Row],[میزان بارگیری شده]]</f>
        <v>571500000</v>
      </c>
    </row>
    <row r="3145" spans="1:11" ht="18.600000000000001">
      <c r="A3145" s="360" t="s">
        <v>495</v>
      </c>
      <c r="B3145" s="360" t="s">
        <v>106</v>
      </c>
      <c r="C3145" s="355" t="s">
        <v>48</v>
      </c>
      <c r="D3145">
        <v>14950</v>
      </c>
      <c r="E3145" s="143">
        <v>65000</v>
      </c>
      <c r="F3145" s="117">
        <v>1403</v>
      </c>
      <c r="G3145" s="360" t="s">
        <v>295</v>
      </c>
      <c r="H3145" s="144">
        <f>bargiri[[#This Row],[میزان بارگیری شده]]*bargiri[[#This Row],[فی]]</f>
        <v>971750000</v>
      </c>
      <c r="I3145" s="360">
        <f>IF(year=bargiri[[#This Row],[سال]],1,0)</f>
        <v>0</v>
      </c>
      <c r="J3145" s="360" t="str">
        <f>VLOOKUP(bargiri[[#This Row],[شماره پیش فاکتور]],invoice[],16,0)</f>
        <v>عادی</v>
      </c>
      <c r="K3145" s="252">
        <f>bargiri[[#This Row],[فی]]*bargiri[[#This Row],[میزان بارگیری شده]]</f>
        <v>971750000</v>
      </c>
    </row>
    <row r="3146" spans="1:11" ht="18.600000000000001">
      <c r="A3146" s="360" t="s">
        <v>495</v>
      </c>
      <c r="B3146" s="360" t="s">
        <v>106</v>
      </c>
      <c r="C3146" s="355" t="s">
        <v>48</v>
      </c>
      <c r="D3146">
        <v>21070</v>
      </c>
      <c r="E3146" s="143">
        <v>65000</v>
      </c>
      <c r="F3146" s="117">
        <v>1403</v>
      </c>
      <c r="G3146" s="360" t="s">
        <v>295</v>
      </c>
      <c r="H3146" s="144">
        <f>bargiri[[#This Row],[میزان بارگیری شده]]*bargiri[[#This Row],[فی]]</f>
        <v>1369550000</v>
      </c>
      <c r="I3146" s="360">
        <f>IF(year=bargiri[[#This Row],[سال]],1,0)</f>
        <v>0</v>
      </c>
      <c r="J3146" s="360" t="str">
        <f>VLOOKUP(bargiri[[#This Row],[شماره پیش فاکتور]],invoice[],16,0)</f>
        <v>عادی</v>
      </c>
      <c r="K3146" s="252">
        <f>bargiri[[#This Row],[فی]]*bargiri[[#This Row],[میزان بارگیری شده]]</f>
        <v>1369550000</v>
      </c>
    </row>
    <row r="3147" spans="1:11" ht="18.600000000000001">
      <c r="A3147" s="360" t="s">
        <v>495</v>
      </c>
      <c r="B3147" s="360" t="s">
        <v>117</v>
      </c>
      <c r="C3147" s="355" t="s">
        <v>83</v>
      </c>
      <c r="D3147">
        <v>6410</v>
      </c>
      <c r="E3147" s="143">
        <v>55000</v>
      </c>
      <c r="F3147" s="117">
        <v>1403</v>
      </c>
      <c r="G3147" s="360" t="s">
        <v>295</v>
      </c>
      <c r="H3147" s="144">
        <f>bargiri[[#This Row],[میزان بارگیری شده]]*bargiri[[#This Row],[فی]]</f>
        <v>352550000</v>
      </c>
      <c r="I3147" s="360">
        <f>IF(year=bargiri[[#This Row],[سال]],1,0)</f>
        <v>0</v>
      </c>
      <c r="J3147" s="360" t="str">
        <f>VLOOKUP(bargiri[[#This Row],[شماره پیش فاکتور]],invoice[],16,0)</f>
        <v>عادی</v>
      </c>
      <c r="K3147" s="252">
        <f>bargiri[[#This Row],[فی]]*bargiri[[#This Row],[میزان بارگیری شده]]</f>
        <v>352550000</v>
      </c>
    </row>
    <row r="3148" spans="1:11" ht="18.600000000000001">
      <c r="A3148" s="360" t="s">
        <v>197</v>
      </c>
      <c r="B3148" s="360" t="s">
        <v>102</v>
      </c>
      <c r="C3148" s="355" t="s">
        <v>27</v>
      </c>
      <c r="D3148">
        <v>10530</v>
      </c>
      <c r="E3148" s="143">
        <v>56000</v>
      </c>
      <c r="F3148" s="117">
        <v>1403</v>
      </c>
      <c r="G3148" s="360" t="s">
        <v>295</v>
      </c>
      <c r="H3148" s="144">
        <f>bargiri[[#This Row],[میزان بارگیری شده]]*bargiri[[#This Row],[فی]]</f>
        <v>589680000</v>
      </c>
      <c r="I3148" s="360">
        <f>IF(year=bargiri[[#This Row],[سال]],1,0)</f>
        <v>0</v>
      </c>
      <c r="J3148" s="360" t="str">
        <f>VLOOKUP(bargiri[[#This Row],[شماره پیش فاکتور]],invoice[],16,0)</f>
        <v>عادی</v>
      </c>
      <c r="K3148" s="252">
        <f>bargiri[[#This Row],[فی]]*bargiri[[#This Row],[میزان بارگیری شده]]</f>
        <v>589680000</v>
      </c>
    </row>
    <row r="3149" spans="1:11" ht="18.600000000000001">
      <c r="A3149" s="360" t="s">
        <v>197</v>
      </c>
      <c r="B3149" s="360" t="s">
        <v>117</v>
      </c>
      <c r="C3149" s="355" t="s">
        <v>83</v>
      </c>
      <c r="D3149">
        <v>6440</v>
      </c>
      <c r="E3149" s="143">
        <v>55000</v>
      </c>
      <c r="F3149" s="117">
        <v>1403</v>
      </c>
      <c r="G3149" s="360" t="s">
        <v>295</v>
      </c>
      <c r="H3149" s="144">
        <f>bargiri[[#This Row],[میزان بارگیری شده]]*bargiri[[#This Row],[فی]]</f>
        <v>354200000</v>
      </c>
      <c r="I3149" s="360">
        <f>IF(year=bargiri[[#This Row],[سال]],1,0)</f>
        <v>0</v>
      </c>
      <c r="J3149" s="360" t="str">
        <f>VLOOKUP(bargiri[[#This Row],[شماره پیش فاکتور]],invoice[],16,0)</f>
        <v>عادی</v>
      </c>
      <c r="K3149" s="252">
        <f>bargiri[[#This Row],[فی]]*bargiri[[#This Row],[میزان بارگیری شده]]</f>
        <v>354200000</v>
      </c>
    </row>
    <row r="3150" spans="1:11" ht="18.600000000000001">
      <c r="A3150" s="360" t="s">
        <v>197</v>
      </c>
      <c r="B3150" s="360" t="s">
        <v>101</v>
      </c>
      <c r="C3150" s="355" t="s">
        <v>21</v>
      </c>
      <c r="D3150">
        <v>6000</v>
      </c>
      <c r="E3150" s="143">
        <v>68000</v>
      </c>
      <c r="F3150" s="117">
        <v>1403</v>
      </c>
      <c r="G3150" s="360" t="s">
        <v>295</v>
      </c>
      <c r="H3150" s="144">
        <f>bargiri[[#This Row],[میزان بارگیری شده]]*bargiri[[#This Row],[فی]]</f>
        <v>408000000</v>
      </c>
      <c r="I3150" s="360">
        <f>IF(year=bargiri[[#This Row],[سال]],1,0)</f>
        <v>0</v>
      </c>
      <c r="J3150" s="360" t="str">
        <f>VLOOKUP(bargiri[[#This Row],[شماره پیش فاکتور]],invoice[],16,0)</f>
        <v>عادی</v>
      </c>
      <c r="K3150" s="252">
        <f>bargiri[[#This Row],[فی]]*bargiri[[#This Row],[میزان بارگیری شده]]</f>
        <v>408000000</v>
      </c>
    </row>
    <row r="3151" spans="1:11" ht="18.600000000000001">
      <c r="A3151" s="360" t="s">
        <v>209</v>
      </c>
      <c r="B3151" s="360" t="s">
        <v>117</v>
      </c>
      <c r="C3151" s="355" t="s">
        <v>83</v>
      </c>
      <c r="D3151">
        <v>6390</v>
      </c>
      <c r="E3151" s="143">
        <v>55000</v>
      </c>
      <c r="F3151" s="117">
        <v>1403</v>
      </c>
      <c r="G3151" s="360" t="s">
        <v>295</v>
      </c>
      <c r="H3151" s="144">
        <f>bargiri[[#This Row],[میزان بارگیری شده]]*bargiri[[#This Row],[فی]]</f>
        <v>351450000</v>
      </c>
      <c r="I3151" s="360">
        <f>IF(year=bargiri[[#This Row],[سال]],1,0)</f>
        <v>0</v>
      </c>
      <c r="J3151" s="360" t="str">
        <f>VLOOKUP(bargiri[[#This Row],[شماره پیش فاکتور]],invoice[],16,0)</f>
        <v>عادی</v>
      </c>
      <c r="K3151" s="252">
        <f>bargiri[[#This Row],[فی]]*bargiri[[#This Row],[میزان بارگیری شده]]</f>
        <v>351450000</v>
      </c>
    </row>
    <row r="3152" spans="1:11" ht="18.600000000000001">
      <c r="A3152" s="360" t="s">
        <v>209</v>
      </c>
      <c r="B3152" s="360" t="s">
        <v>118</v>
      </c>
      <c r="C3152" s="355" t="s">
        <v>85</v>
      </c>
      <c r="D3152">
        <v>20880</v>
      </c>
      <c r="E3152" s="143">
        <v>56881</v>
      </c>
      <c r="F3152" s="117">
        <v>1403</v>
      </c>
      <c r="G3152" s="360" t="s">
        <v>295</v>
      </c>
      <c r="H3152" s="144">
        <f>bargiri[[#This Row],[میزان بارگیری شده]]*bargiri[[#This Row],[فی]]</f>
        <v>1187675280</v>
      </c>
      <c r="I3152" s="360">
        <f>IF(year=bargiri[[#This Row],[سال]],1,0)</f>
        <v>0</v>
      </c>
      <c r="J3152" s="360" t="str">
        <f>VLOOKUP(bargiri[[#This Row],[شماره پیش فاکتور]],invoice[],16,0)</f>
        <v>عادی</v>
      </c>
      <c r="K3152" s="252">
        <f>bargiri[[#This Row],[فی]]*bargiri[[#This Row],[میزان بارگیری شده]]</f>
        <v>1187675280</v>
      </c>
    </row>
    <row r="3153" spans="1:11" ht="18.600000000000001">
      <c r="A3153" s="360" t="s">
        <v>209</v>
      </c>
      <c r="B3153" s="360" t="s">
        <v>118</v>
      </c>
      <c r="C3153" s="355" t="s">
        <v>85</v>
      </c>
      <c r="D3153">
        <v>20650</v>
      </c>
      <c r="E3153" s="143">
        <v>56881</v>
      </c>
      <c r="F3153" s="117">
        <v>1403</v>
      </c>
      <c r="G3153" s="360" t="s">
        <v>295</v>
      </c>
      <c r="H3153" s="144">
        <f>bargiri[[#This Row],[میزان بارگیری شده]]*bargiri[[#This Row],[فی]]</f>
        <v>1174592650</v>
      </c>
      <c r="I3153" s="360">
        <f>IF(year=bargiri[[#This Row],[سال]],1,0)</f>
        <v>0</v>
      </c>
      <c r="J3153" s="360" t="str">
        <f>VLOOKUP(bargiri[[#This Row],[شماره پیش فاکتور]],invoice[],16,0)</f>
        <v>عادی</v>
      </c>
      <c r="K3153" s="252">
        <f>bargiri[[#This Row],[فی]]*bargiri[[#This Row],[میزان بارگیری شده]]</f>
        <v>1174592650</v>
      </c>
    </row>
    <row r="3154" spans="1:11" ht="18.600000000000001">
      <c r="A3154" s="360" t="s">
        <v>209</v>
      </c>
      <c r="B3154" s="360" t="s">
        <v>118</v>
      </c>
      <c r="C3154" s="355" t="s">
        <v>85</v>
      </c>
      <c r="D3154">
        <v>20420</v>
      </c>
      <c r="E3154" s="143">
        <v>56881</v>
      </c>
      <c r="F3154" s="117">
        <v>1403</v>
      </c>
      <c r="G3154" s="360" t="s">
        <v>295</v>
      </c>
      <c r="H3154" s="144">
        <f>bargiri[[#This Row],[میزان بارگیری شده]]*bargiri[[#This Row],[فی]]</f>
        <v>1161510020</v>
      </c>
      <c r="I3154" s="360">
        <f>IF(year=bargiri[[#This Row],[سال]],1,0)</f>
        <v>0</v>
      </c>
      <c r="J3154" s="360" t="str">
        <f>VLOOKUP(bargiri[[#This Row],[شماره پیش فاکتور]],invoice[],16,0)</f>
        <v>عادی</v>
      </c>
      <c r="K3154" s="252">
        <f>bargiri[[#This Row],[فی]]*bargiri[[#This Row],[میزان بارگیری شده]]</f>
        <v>1161510020</v>
      </c>
    </row>
    <row r="3155" spans="1:11" ht="18.600000000000001">
      <c r="A3155" s="360" t="s">
        <v>209</v>
      </c>
      <c r="B3155" s="360" t="s">
        <v>117</v>
      </c>
      <c r="C3155" s="355" t="s">
        <v>83</v>
      </c>
      <c r="D3155">
        <v>6380</v>
      </c>
      <c r="E3155" s="143">
        <v>55000</v>
      </c>
      <c r="F3155" s="117">
        <v>1403</v>
      </c>
      <c r="G3155" s="360" t="s">
        <v>295</v>
      </c>
      <c r="H3155" s="144">
        <f>bargiri[[#This Row],[میزان بارگیری شده]]*bargiri[[#This Row],[فی]]</f>
        <v>350900000</v>
      </c>
      <c r="I3155" s="360">
        <f>IF(year=bargiri[[#This Row],[سال]],1,0)</f>
        <v>0</v>
      </c>
      <c r="J3155" s="360" t="str">
        <f>VLOOKUP(bargiri[[#This Row],[شماره پیش فاکتور]],invoice[],16,0)</f>
        <v>عادی</v>
      </c>
      <c r="K3155" s="252">
        <f>bargiri[[#This Row],[فی]]*bargiri[[#This Row],[میزان بارگیری شده]]</f>
        <v>350900000</v>
      </c>
    </row>
    <row r="3156" spans="1:11" ht="18.600000000000001">
      <c r="A3156" s="360" t="s">
        <v>209</v>
      </c>
      <c r="B3156" s="360" t="s">
        <v>99</v>
      </c>
      <c r="C3156" s="355" t="s">
        <v>14</v>
      </c>
      <c r="D3156">
        <v>18460</v>
      </c>
      <c r="E3156" s="143">
        <v>50000</v>
      </c>
      <c r="F3156" s="117">
        <v>1403</v>
      </c>
      <c r="G3156" s="360" t="s">
        <v>295</v>
      </c>
      <c r="H3156" s="144">
        <f>bargiri[[#This Row],[میزان بارگیری شده]]*bargiri[[#This Row],[فی]]</f>
        <v>923000000</v>
      </c>
      <c r="I3156" s="360">
        <f>IF(year=bargiri[[#This Row],[سال]],1,0)</f>
        <v>0</v>
      </c>
      <c r="J3156" s="360" t="str">
        <f>VLOOKUP(bargiri[[#This Row],[شماره پیش فاکتور]],invoice[],16,0)</f>
        <v>عادی</v>
      </c>
      <c r="K3156" s="252">
        <f>bargiri[[#This Row],[فی]]*bargiri[[#This Row],[میزان بارگیری شده]]</f>
        <v>923000000</v>
      </c>
    </row>
    <row r="3157" spans="1:11" ht="18.600000000000001">
      <c r="A3157" s="360" t="s">
        <v>204</v>
      </c>
      <c r="B3157" s="360" t="s">
        <v>106</v>
      </c>
      <c r="C3157" s="355" t="s">
        <v>48</v>
      </c>
      <c r="D3157">
        <v>10340</v>
      </c>
      <c r="E3157" s="143">
        <v>65000</v>
      </c>
      <c r="F3157" s="117">
        <v>1403</v>
      </c>
      <c r="G3157" s="360" t="s">
        <v>295</v>
      </c>
      <c r="H3157" s="144">
        <f>bargiri[[#This Row],[میزان بارگیری شده]]*bargiri[[#This Row],[فی]]</f>
        <v>672100000</v>
      </c>
      <c r="I3157" s="360">
        <f>IF(year=bargiri[[#This Row],[سال]],1,0)</f>
        <v>0</v>
      </c>
      <c r="J3157" s="360" t="str">
        <f>VLOOKUP(bargiri[[#This Row],[شماره پیش فاکتور]],invoice[],16,0)</f>
        <v>عادی</v>
      </c>
      <c r="K3157" s="252">
        <f>bargiri[[#This Row],[فی]]*bargiri[[#This Row],[میزان بارگیری شده]]</f>
        <v>672100000</v>
      </c>
    </row>
    <row r="3158" spans="1:11" ht="18.600000000000001">
      <c r="A3158" s="360" t="s">
        <v>204</v>
      </c>
      <c r="B3158" s="360" t="s">
        <v>102</v>
      </c>
      <c r="C3158" s="355" t="s">
        <v>27</v>
      </c>
      <c r="D3158">
        <v>9690</v>
      </c>
      <c r="E3158" s="143">
        <v>56000</v>
      </c>
      <c r="F3158" s="117">
        <v>1403</v>
      </c>
      <c r="G3158" s="360" t="s">
        <v>295</v>
      </c>
      <c r="H3158" s="144">
        <f>bargiri[[#This Row],[میزان بارگیری شده]]*bargiri[[#This Row],[فی]]</f>
        <v>542640000</v>
      </c>
      <c r="I3158" s="360">
        <f>IF(year=bargiri[[#This Row],[سال]],1,0)</f>
        <v>0</v>
      </c>
      <c r="J3158" s="360" t="str">
        <f>VLOOKUP(bargiri[[#This Row],[شماره پیش فاکتور]],invoice[],16,0)</f>
        <v>عادی</v>
      </c>
      <c r="K3158" s="252">
        <f>bargiri[[#This Row],[فی]]*bargiri[[#This Row],[میزان بارگیری شده]]</f>
        <v>542640000</v>
      </c>
    </row>
    <row r="3159" spans="1:11" ht="18.600000000000001">
      <c r="A3159" s="360" t="s">
        <v>204</v>
      </c>
      <c r="B3159" s="360" t="s">
        <v>117</v>
      </c>
      <c r="C3159" s="355" t="s">
        <v>83</v>
      </c>
      <c r="D3159">
        <v>6390</v>
      </c>
      <c r="E3159" s="143">
        <v>55000</v>
      </c>
      <c r="F3159" s="117">
        <v>1403</v>
      </c>
      <c r="G3159" s="360" t="s">
        <v>295</v>
      </c>
      <c r="H3159" s="144">
        <f>bargiri[[#This Row],[میزان بارگیری شده]]*bargiri[[#This Row],[فی]]</f>
        <v>351450000</v>
      </c>
      <c r="I3159" s="360">
        <f>IF(year=bargiri[[#This Row],[سال]],1,0)</f>
        <v>0</v>
      </c>
      <c r="J3159" s="360" t="str">
        <f>VLOOKUP(bargiri[[#This Row],[شماره پیش فاکتور]],invoice[],16,0)</f>
        <v>عادی</v>
      </c>
      <c r="K3159" s="252">
        <f>bargiri[[#This Row],[فی]]*bargiri[[#This Row],[میزان بارگیری شده]]</f>
        <v>351450000</v>
      </c>
    </row>
    <row r="3160" spans="1:11" ht="18.600000000000001">
      <c r="A3160" s="360" t="s">
        <v>204</v>
      </c>
      <c r="B3160" s="360" t="s">
        <v>103</v>
      </c>
      <c r="C3160" s="355" t="s">
        <v>33</v>
      </c>
      <c r="D3160">
        <v>7610</v>
      </c>
      <c r="E3160" s="143">
        <v>75000</v>
      </c>
      <c r="F3160" s="117">
        <v>1403</v>
      </c>
      <c r="G3160" s="360" t="s">
        <v>295</v>
      </c>
      <c r="H3160" s="144">
        <f>bargiri[[#This Row],[میزان بارگیری شده]]*bargiri[[#This Row],[فی]]</f>
        <v>570750000</v>
      </c>
      <c r="I3160" s="360">
        <f>IF(year=bargiri[[#This Row],[سال]],1,0)</f>
        <v>0</v>
      </c>
      <c r="J3160" s="360" t="str">
        <f>VLOOKUP(bargiri[[#This Row],[شماره پیش فاکتور]],invoice[],16,0)</f>
        <v>عادی</v>
      </c>
      <c r="K3160" s="252">
        <f>bargiri[[#This Row],[فی]]*bargiri[[#This Row],[میزان بارگیری شده]]</f>
        <v>570750000</v>
      </c>
    </row>
    <row r="3161" spans="1:11" ht="18.600000000000001">
      <c r="A3161" s="360" t="s">
        <v>204</v>
      </c>
      <c r="B3161" s="360" t="s">
        <v>103</v>
      </c>
      <c r="C3161" s="355" t="s">
        <v>33</v>
      </c>
      <c r="D3161">
        <v>7490</v>
      </c>
      <c r="E3161" s="143">
        <v>75000</v>
      </c>
      <c r="F3161" s="117">
        <v>1403</v>
      </c>
      <c r="G3161" s="360" t="s">
        <v>295</v>
      </c>
      <c r="H3161" s="144">
        <f>bargiri[[#This Row],[میزان بارگیری شده]]*bargiri[[#This Row],[فی]]</f>
        <v>561750000</v>
      </c>
      <c r="I3161" s="360">
        <f>IF(year=bargiri[[#This Row],[سال]],1,0)</f>
        <v>0</v>
      </c>
      <c r="J3161" s="360" t="str">
        <f>VLOOKUP(bargiri[[#This Row],[شماره پیش فاکتور]],invoice[],16,0)</f>
        <v>عادی</v>
      </c>
      <c r="K3161" s="252">
        <f>bargiri[[#This Row],[فی]]*bargiri[[#This Row],[میزان بارگیری شده]]</f>
        <v>561750000</v>
      </c>
    </row>
    <row r="3162" spans="1:11" ht="18.600000000000001">
      <c r="A3162" s="360" t="s">
        <v>162</v>
      </c>
      <c r="B3162" s="360" t="s">
        <v>106</v>
      </c>
      <c r="C3162" s="355" t="s">
        <v>48</v>
      </c>
      <c r="D3162">
        <v>21180</v>
      </c>
      <c r="E3162" s="143">
        <v>65000</v>
      </c>
      <c r="F3162" s="117">
        <v>1403</v>
      </c>
      <c r="G3162" s="360" t="s">
        <v>295</v>
      </c>
      <c r="H3162" s="144">
        <f>bargiri[[#This Row],[میزان بارگیری شده]]*bargiri[[#This Row],[فی]]</f>
        <v>1376700000</v>
      </c>
      <c r="I3162" s="360">
        <f>IF(year=bargiri[[#This Row],[سال]],1,0)</f>
        <v>0</v>
      </c>
      <c r="J3162" s="360" t="str">
        <f>VLOOKUP(bargiri[[#This Row],[شماره پیش فاکتور]],invoice[],16,0)</f>
        <v>عادی</v>
      </c>
      <c r="K3162" s="252">
        <f>bargiri[[#This Row],[فی]]*bargiri[[#This Row],[میزان بارگیری شده]]</f>
        <v>1376700000</v>
      </c>
    </row>
    <row r="3164" spans="1:11" ht="21.75" customHeight="1">
      <c r="H3164" s="116"/>
    </row>
    <row r="3166" spans="1:11" ht="21.75" customHeight="1">
      <c r="H3166" s="116"/>
    </row>
  </sheetData>
  <dataConsolidate link="1"/>
  <phoneticPr fontId="3" type="noConversion"/>
  <pageMargins left="0.7" right="0.7" top="0.75" bottom="0.75" header="0.3" footer="0.3"/>
  <pageSetup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7335-3E0A-4773-8809-96333C4F658B}">
  <sheetPr codeName="Sheet2"/>
  <dimension ref="A1:G20"/>
  <sheetViews>
    <sheetView rightToLeft="1" workbookViewId="0">
      <selection activeCell="E7" sqref="E7"/>
    </sheetView>
  </sheetViews>
  <sheetFormatPr defaultRowHeight="13.8"/>
  <cols>
    <col min="2" max="3" width="13.09765625" customWidth="1"/>
    <col min="4" max="4" width="16" customWidth="1"/>
    <col min="5" max="5" width="15.8984375" customWidth="1"/>
  </cols>
  <sheetData>
    <row r="1" spans="1:7">
      <c r="A1" s="218" t="s">
        <v>258</v>
      </c>
      <c r="B1" s="218" t="s">
        <v>623</v>
      </c>
      <c r="C1" s="218" t="s">
        <v>624</v>
      </c>
      <c r="D1" s="218" t="s">
        <v>625</v>
      </c>
      <c r="E1" s="218" t="s">
        <v>626</v>
      </c>
      <c r="F1" s="218" t="s">
        <v>237</v>
      </c>
      <c r="G1" s="218" t="s">
        <v>236</v>
      </c>
    </row>
    <row r="2" spans="1:7" ht="18.600000000000001">
      <c r="A2">
        <v>1</v>
      </c>
      <c r="B2" s="158" t="s">
        <v>660</v>
      </c>
      <c r="C2" t="s">
        <v>150</v>
      </c>
      <c r="D2">
        <v>50000</v>
      </c>
      <c r="E2" s="219">
        <v>3750000000</v>
      </c>
      <c r="F2">
        <f>VALUE(LEFT(Table5[[#This Row],[تاریخ عرضه]],4))</f>
        <v>1403</v>
      </c>
      <c r="G2">
        <f>VALUE(MID(Table5[[#This Row],[تاریخ عرضه]],6,2))</f>
        <v>2</v>
      </c>
    </row>
    <row r="3" spans="1:7" ht="18.600000000000001">
      <c r="A3">
        <v>2</v>
      </c>
      <c r="B3" s="158" t="s">
        <v>661</v>
      </c>
      <c r="C3" t="s">
        <v>572</v>
      </c>
      <c r="D3">
        <v>50000</v>
      </c>
      <c r="E3" s="219">
        <v>3750000000</v>
      </c>
      <c r="F3">
        <f>VALUE(LEFT(Table5[[#This Row],[تاریخ عرضه]],4))</f>
        <v>1403</v>
      </c>
      <c r="G3">
        <f>VALUE(MID(Table5[[#This Row],[تاریخ عرضه]],6,2))</f>
        <v>3</v>
      </c>
    </row>
    <row r="4" spans="1:7" ht="18.600000000000001">
      <c r="A4">
        <v>3</v>
      </c>
      <c r="B4" s="158" t="s">
        <v>662</v>
      </c>
      <c r="C4" t="s">
        <v>627</v>
      </c>
      <c r="D4">
        <v>100000</v>
      </c>
      <c r="E4" s="219">
        <v>3957500000</v>
      </c>
      <c r="F4">
        <f>VALUE(LEFT(Table5[[#This Row],[تاریخ عرضه]],4))</f>
        <v>1403</v>
      </c>
      <c r="G4">
        <f>VALUE(MID(Table5[[#This Row],[تاریخ عرضه]],6,2))</f>
        <v>4</v>
      </c>
    </row>
    <row r="5" spans="1:7" ht="18.600000000000001">
      <c r="A5">
        <v>4</v>
      </c>
      <c r="B5" s="158" t="s">
        <v>663</v>
      </c>
      <c r="C5" t="s">
        <v>470</v>
      </c>
      <c r="D5">
        <v>100000</v>
      </c>
      <c r="E5" s="219">
        <v>3650000000</v>
      </c>
      <c r="F5">
        <f>VALUE(LEFT(Table5[[#This Row],[تاریخ عرضه]],4))</f>
        <v>1403</v>
      </c>
      <c r="G5">
        <f>VALUE(MID(Table5[[#This Row],[تاریخ عرضه]],6,2))</f>
        <v>5</v>
      </c>
    </row>
    <row r="6" spans="1:7" ht="18.600000000000001">
      <c r="A6">
        <v>5</v>
      </c>
      <c r="B6" s="158" t="s">
        <v>664</v>
      </c>
      <c r="C6" t="s">
        <v>159</v>
      </c>
      <c r="D6">
        <v>50000</v>
      </c>
      <c r="E6" s="219">
        <v>3750000000</v>
      </c>
      <c r="F6">
        <f>VALUE(LEFT(Table5[[#This Row],[تاریخ عرضه]],4))</f>
        <v>1403</v>
      </c>
      <c r="G6">
        <f>VALUE(MID(Table5[[#This Row],[تاریخ عرضه]],6,2))</f>
        <v>6</v>
      </c>
    </row>
    <row r="7" spans="1:7" ht="18.600000000000001">
      <c r="A7">
        <v>6</v>
      </c>
      <c r="B7" s="158" t="s">
        <v>665</v>
      </c>
      <c r="C7" t="s">
        <v>159</v>
      </c>
      <c r="D7">
        <v>50000</v>
      </c>
      <c r="E7" s="219">
        <v>4600000000</v>
      </c>
      <c r="F7">
        <f>VALUE(LEFT(Table5[[#This Row],[تاریخ عرضه]],4))</f>
        <v>1403</v>
      </c>
      <c r="G7">
        <f>VALUE(MID(Table5[[#This Row],[تاریخ عرضه]],6,2))</f>
        <v>6</v>
      </c>
    </row>
    <row r="8" spans="1:7" ht="18.600000000000001">
      <c r="A8">
        <v>7</v>
      </c>
      <c r="B8" s="158" t="s">
        <v>666</v>
      </c>
      <c r="C8" t="s">
        <v>628</v>
      </c>
      <c r="D8">
        <v>50000</v>
      </c>
      <c r="E8" s="219">
        <v>4609000000</v>
      </c>
      <c r="F8">
        <f>VALUE(LEFT(Table5[[#This Row],[تاریخ عرضه]],4))</f>
        <v>1403</v>
      </c>
      <c r="G8">
        <f>VALUE(MID(Table5[[#This Row],[تاریخ عرضه]],6,2))</f>
        <v>7</v>
      </c>
    </row>
    <row r="9" spans="1:7" ht="18.600000000000001">
      <c r="A9">
        <v>8</v>
      </c>
      <c r="B9" s="158" t="s">
        <v>667</v>
      </c>
      <c r="C9" t="s">
        <v>628</v>
      </c>
      <c r="D9">
        <v>50000</v>
      </c>
      <c r="E9" s="219">
        <v>4609000000</v>
      </c>
      <c r="F9">
        <f>VALUE(LEFT(Table5[[#This Row],[تاریخ عرضه]],4))</f>
        <v>1403</v>
      </c>
      <c r="G9">
        <f>VALUE(MID(Table5[[#This Row],[تاریخ عرضه]],6,2))</f>
        <v>7</v>
      </c>
    </row>
    <row r="10" spans="1:7" ht="18.600000000000001">
      <c r="A10">
        <v>9</v>
      </c>
      <c r="B10" s="158" t="s">
        <v>668</v>
      </c>
      <c r="C10" t="s">
        <v>427</v>
      </c>
      <c r="D10">
        <v>100000</v>
      </c>
      <c r="E10" s="219">
        <v>4609000000</v>
      </c>
      <c r="F10">
        <f>VALUE(LEFT(Table5[[#This Row],[تاریخ عرضه]],4))</f>
        <v>1403</v>
      </c>
      <c r="G10">
        <f>VALUE(MID(Table5[[#This Row],[تاریخ عرضه]],6,2))</f>
        <v>8</v>
      </c>
    </row>
    <row r="11" spans="1:7" ht="18.600000000000001">
      <c r="A11">
        <v>10</v>
      </c>
      <c r="B11" s="158" t="s">
        <v>669</v>
      </c>
      <c r="C11" t="s">
        <v>411</v>
      </c>
      <c r="D11">
        <v>50000</v>
      </c>
      <c r="E11" s="219">
        <v>4190000000</v>
      </c>
      <c r="F11">
        <f>VALUE(LEFT(Table5[[#This Row],[تاریخ عرضه]],4))</f>
        <v>1403</v>
      </c>
      <c r="G11">
        <f>VALUE(MID(Table5[[#This Row],[تاریخ عرضه]],6,2))</f>
        <v>9</v>
      </c>
    </row>
    <row r="12" spans="1:7" ht="18.600000000000001">
      <c r="A12">
        <v>11</v>
      </c>
      <c r="B12" s="158" t="s">
        <v>670</v>
      </c>
      <c r="C12" t="s">
        <v>385</v>
      </c>
      <c r="D12">
        <v>50000</v>
      </c>
      <c r="E12" s="219">
        <v>4190000000</v>
      </c>
      <c r="F12">
        <f>VALUE(LEFT(Table5[[#This Row],[تاریخ عرضه]],4))</f>
        <v>1403</v>
      </c>
      <c r="G12">
        <f>VALUE(MID(Table5[[#This Row],[تاریخ عرضه]],6,2))</f>
        <v>10</v>
      </c>
    </row>
    <row r="13" spans="1:7" ht="18.600000000000001">
      <c r="A13">
        <v>12</v>
      </c>
      <c r="B13" s="158" t="s">
        <v>671</v>
      </c>
      <c r="C13" t="s">
        <v>369</v>
      </c>
      <c r="D13">
        <v>100000</v>
      </c>
      <c r="E13" s="219">
        <v>4608970000</v>
      </c>
      <c r="F13">
        <f>VALUE(LEFT(Table5[[#This Row],[تاریخ عرضه]],4))</f>
        <v>1403</v>
      </c>
      <c r="G13">
        <f>VALUE(MID(Table5[[#This Row],[تاریخ عرضه]],6,2))</f>
        <v>11</v>
      </c>
    </row>
    <row r="14" spans="1:7" ht="18.600000000000001">
      <c r="A14">
        <v>13</v>
      </c>
      <c r="B14" s="158" t="s">
        <v>672</v>
      </c>
      <c r="C14" t="s">
        <v>171</v>
      </c>
      <c r="D14">
        <v>50000</v>
      </c>
      <c r="E14" s="219">
        <v>13860000000</v>
      </c>
      <c r="F14">
        <f>VALUE(LEFT(Table5[[#This Row],[تاریخ عرضه]],4))</f>
        <v>1403</v>
      </c>
      <c r="G14">
        <f>VALUE(MID(Table5[[#This Row],[تاریخ عرضه]],6,2))</f>
        <v>12</v>
      </c>
    </row>
    <row r="15" spans="1:7" ht="18.600000000000001">
      <c r="A15">
        <v>14</v>
      </c>
      <c r="B15" s="158" t="s">
        <v>673</v>
      </c>
      <c r="C15" t="s">
        <v>338</v>
      </c>
      <c r="D15">
        <v>100000</v>
      </c>
      <c r="E15" s="219">
        <v>15120000000</v>
      </c>
      <c r="F15">
        <f>VALUE(LEFT(Table5[[#This Row],[تاریخ عرضه]],4))</f>
        <v>1404</v>
      </c>
      <c r="G15">
        <f>VALUE(MID(Table5[[#This Row],[تاریخ عرضه]],6,2))</f>
        <v>1</v>
      </c>
    </row>
    <row r="16" spans="1:7" ht="18.600000000000001">
      <c r="A16">
        <v>15</v>
      </c>
      <c r="B16" s="158" t="s">
        <v>674</v>
      </c>
      <c r="C16" t="s">
        <v>527</v>
      </c>
      <c r="D16">
        <v>100000</v>
      </c>
      <c r="E16" s="219">
        <v>15115000000</v>
      </c>
      <c r="F16">
        <f>VALUE(LEFT(Table5[[#This Row],[تاریخ عرضه]],4))</f>
        <v>1404</v>
      </c>
      <c r="G16">
        <f>VALUE(MID(Table5[[#This Row],[تاریخ عرضه]],6,2))</f>
        <v>2</v>
      </c>
    </row>
    <row r="17" spans="1:7" ht="18.600000000000001">
      <c r="A17">
        <v>16</v>
      </c>
      <c r="B17" s="158" t="s">
        <v>675</v>
      </c>
      <c r="C17" t="s">
        <v>526</v>
      </c>
      <c r="D17">
        <v>50000</v>
      </c>
      <c r="E17" s="219">
        <v>22110000000</v>
      </c>
      <c r="F17">
        <f>VALUE(LEFT(Table5[[#This Row],[تاریخ عرضه]],4))</f>
        <v>1404</v>
      </c>
      <c r="G17">
        <f>VALUE(MID(Table5[[#This Row],[تاریخ عرضه]],6,2))</f>
        <v>2</v>
      </c>
    </row>
    <row r="18" spans="1:7" ht="18.600000000000001">
      <c r="A18">
        <v>17</v>
      </c>
      <c r="B18" s="158" t="s">
        <v>676</v>
      </c>
      <c r="C18" t="s">
        <v>600</v>
      </c>
      <c r="D18">
        <v>100000</v>
      </c>
      <c r="E18" s="219">
        <v>16750000000</v>
      </c>
      <c r="F18">
        <f>VALUE(LEFT(Table5[[#This Row],[تاریخ عرضه]],4))</f>
        <v>1404</v>
      </c>
      <c r="G18">
        <f>VALUE(MID(Table5[[#This Row],[تاریخ عرضه]],6,2))</f>
        <v>3</v>
      </c>
    </row>
    <row r="19" spans="1:7" ht="18.600000000000001">
      <c r="A19">
        <v>18</v>
      </c>
      <c r="B19" s="158" t="s">
        <v>677</v>
      </c>
      <c r="C19" t="s">
        <v>629</v>
      </c>
      <c r="D19">
        <v>50000</v>
      </c>
      <c r="E19" s="219">
        <v>16750000000</v>
      </c>
      <c r="F19">
        <f>VALUE(LEFT(Table5[[#This Row],[تاریخ عرضه]],4))</f>
        <v>1404</v>
      </c>
      <c r="G19">
        <f>VALUE(MID(Table5[[#This Row],[تاریخ عرضه]],6,2))</f>
        <v>4</v>
      </c>
    </row>
    <row r="20" spans="1:7" ht="18.600000000000001">
      <c r="A20">
        <v>19</v>
      </c>
      <c r="B20" s="158" t="s">
        <v>702</v>
      </c>
      <c r="C20" t="s">
        <v>691</v>
      </c>
      <c r="E20" s="219"/>
      <c r="F20">
        <f>VALUE(LEFT(Table5[[#This Row],[تاریخ عرضه]],4))</f>
        <v>1404</v>
      </c>
      <c r="G20">
        <f>VALUE(MID(Table5[[#This Row],[تاریخ عرضه]],6,2))</f>
        <v>4</v>
      </c>
    </row>
  </sheetData>
  <phoneticPr fontId="3"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453F8-0B76-45F4-960C-CD8B23DBB4FB}">
  <sheetPr codeName="Sheet3">
    <pageSetUpPr fitToPage="1"/>
  </sheetPr>
  <dimension ref="C1:H221"/>
  <sheetViews>
    <sheetView rightToLeft="1" zoomScaleNormal="100" workbookViewId="0">
      <selection activeCell="J3" sqref="J3"/>
    </sheetView>
  </sheetViews>
  <sheetFormatPr defaultColWidth="8.8984375" defaultRowHeight="44.4" customHeight="1"/>
  <cols>
    <col min="1" max="1" width="8.8984375" style="253"/>
    <col min="2" max="2" width="21.69921875" style="253" customWidth="1"/>
    <col min="3" max="3" width="43.69921875" style="147" bestFit="1" customWidth="1"/>
    <col min="4" max="4" width="10.3984375" style="253" customWidth="1"/>
    <col min="5" max="5" width="11.8984375" style="253" bestFit="1" customWidth="1"/>
    <col min="6" max="6" width="9.69921875" style="253" customWidth="1"/>
    <col min="7" max="7" width="12.09765625" style="253" customWidth="1"/>
    <col min="8" max="8" width="14.3984375" style="253" customWidth="1"/>
    <col min="9" max="9" width="12.8984375" style="253" customWidth="1"/>
    <col min="10" max="10" width="16.8984375" style="253" customWidth="1"/>
    <col min="11" max="11" width="39.296875" style="253" customWidth="1"/>
    <col min="12" max="15" width="8.8984375" style="253"/>
    <col min="16" max="16" width="11.8984375" style="253" bestFit="1" customWidth="1"/>
    <col min="17" max="16384" width="8.8984375" style="253"/>
  </cols>
  <sheetData>
    <row r="1" spans="3:8" ht="44.4" customHeight="1">
      <c r="C1" s="272" t="s">
        <v>1064</v>
      </c>
      <c r="D1" s="273"/>
      <c r="E1" s="273"/>
      <c r="F1" s="273"/>
      <c r="G1" s="273"/>
      <c r="H1" s="273"/>
    </row>
    <row r="2" spans="3:8" ht="44.4" customHeight="1">
      <c r="C2" s="254" t="s">
        <v>0</v>
      </c>
      <c r="D2" s="255" t="s">
        <v>240</v>
      </c>
      <c r="E2" s="255" t="s">
        <v>241</v>
      </c>
      <c r="F2" s="256" t="s">
        <v>242</v>
      </c>
      <c r="G2" s="256" t="s">
        <v>1066</v>
      </c>
      <c r="H2" s="255" t="s">
        <v>1048</v>
      </c>
    </row>
    <row r="3" spans="3:8" ht="44.4" customHeight="1">
      <c r="C3" s="257" t="s">
        <v>98</v>
      </c>
      <c r="D3" s="258">
        <f>SUMIFS('لیست پیش فاکتور ها'!R:R,'لیست پیش فاکتور ها'!B:B,Sheet1!C3,'لیست پیش فاکتور ها'!I:I,"تعادلی")</f>
        <v>21970</v>
      </c>
      <c r="E3" s="258">
        <f>SUMIFS('لیست پیش فاکتور ها'!R:R,'لیست پیش فاکتور ها'!B:B,Sheet1!C3,'لیست پیش فاکتور ها'!I:I,"انجمن")</f>
        <v>0</v>
      </c>
      <c r="F3" s="258">
        <f>SUMIFS('لیست پیش فاکتور ها'!R:R,'لیست پیش فاکتور ها'!B:B,Sheet1!C3,'لیست پیش فاکتور ها'!I:I,"بورس")</f>
        <v>0</v>
      </c>
      <c r="G3" s="264">
        <f>SUMIFS('لیست پیش فاکتور ها'!R:R,'لیست پیش فاکتور ها'!B:B,Sheet1!C3,'لیست پیش فاکتور ها'!I:I,"بار نیشابور")</f>
        <v>0</v>
      </c>
      <c r="H3" s="259">
        <f>SUM(Table9[[#This Row],[تعادلی]:[بار نیشابور]])</f>
        <v>21970</v>
      </c>
    </row>
    <row r="4" spans="3:8" ht="44.4" customHeight="1">
      <c r="C4" s="257" t="s">
        <v>101</v>
      </c>
      <c r="D4" s="258">
        <f>SUMIFS('لیست پیش فاکتور ها'!R:R,'لیست پیش فاکتور ها'!B:B,Sheet1!C4,'لیست پیش فاکتور ها'!I:I,"تعادلی")</f>
        <v>0</v>
      </c>
      <c r="E4" s="258">
        <f>SUMIFS('لیست پیش فاکتور ها'!R:R,'لیست پیش فاکتور ها'!B:B,Sheet1!C4,'لیست پیش فاکتور ها'!I:I,"انجمن")</f>
        <v>173705</v>
      </c>
      <c r="F4" s="258">
        <f>SUMIFS('لیست پیش فاکتور ها'!R:R,'لیست پیش فاکتور ها'!B:B,Sheet1!C4,'لیست پیش فاکتور ها'!I:I,"بورس")</f>
        <v>0</v>
      </c>
      <c r="G4" s="264">
        <f>SUMIFS('لیست پیش فاکتور ها'!R:R,'لیست پیش فاکتور ها'!B:B,Sheet1!C4,'لیست پیش فاکتور ها'!I:I,"بار نیشابور")</f>
        <v>0</v>
      </c>
      <c r="H4" s="260">
        <f>SUM(Table9[[#This Row],[تعادلی]:[بار نیشابور]])</f>
        <v>173705</v>
      </c>
    </row>
    <row r="5" spans="3:8" ht="44.4" customHeight="1">
      <c r="C5" s="257" t="s">
        <v>102</v>
      </c>
      <c r="D5" s="258">
        <f>SUMIFS('لیست پیش فاکتور ها'!R:R,'لیست پیش فاکتور ها'!B:B,Sheet1!C5,'لیست پیش فاکتور ها'!I:I,"تعادلی")</f>
        <v>0</v>
      </c>
      <c r="E5" s="258">
        <f>SUMIFS('لیست پیش فاکتور ها'!R:R,'لیست پیش فاکتور ها'!B:B,Sheet1!C5,'لیست پیش فاکتور ها'!I:I,"انجمن")</f>
        <v>459485</v>
      </c>
      <c r="F5" s="258">
        <f>SUMIFS('لیست پیش فاکتور ها'!R:R,'لیست پیش فاکتور ها'!B:B,Sheet1!C5,'لیست پیش فاکتور ها'!I:I,"بورس")</f>
        <v>0</v>
      </c>
      <c r="G5" s="264">
        <f>SUMIFS('لیست پیش فاکتور ها'!R:R,'لیست پیش فاکتور ها'!B:B,Sheet1!C5,'لیست پیش فاکتور ها'!I:I,"بار نیشابور")</f>
        <v>0</v>
      </c>
      <c r="H5" s="260">
        <f>SUM(Table9[[#This Row],[تعادلی]:[بار نیشابور]])</f>
        <v>459485</v>
      </c>
    </row>
    <row r="6" spans="3:8" ht="44.4" customHeight="1">
      <c r="C6" s="257" t="s">
        <v>103</v>
      </c>
      <c r="D6" s="258">
        <f>SUMIFS('لیست پیش فاکتور ها'!R:R,'لیست پیش فاکتور ها'!B:B,Sheet1!C6,'لیست پیش فاکتور ها'!I:I,"تعادلی")</f>
        <v>0</v>
      </c>
      <c r="E6" s="258">
        <f>SUMIFS('لیست پیش فاکتور ها'!R:R,'لیست پیش فاکتور ها'!B:B,Sheet1!C6,'لیست پیش فاکتور ها'!I:I,"انجمن")</f>
        <v>509138</v>
      </c>
      <c r="F6" s="258">
        <f>SUMIFS('لیست پیش فاکتور ها'!R:R,'لیست پیش فاکتور ها'!B:B,Sheet1!C6,'لیست پیش فاکتور ها'!I:I,"بورس")</f>
        <v>0</v>
      </c>
      <c r="G6" s="264">
        <f>SUMIFS('لیست پیش فاکتور ها'!R:R,'لیست پیش فاکتور ها'!B:B,Sheet1!C6,'لیست پیش فاکتور ها'!I:I,"بار نیشابور")</f>
        <v>0</v>
      </c>
      <c r="H6" s="260">
        <f>SUM(Table9[[#This Row],[تعادلی]:[بار نیشابور]])</f>
        <v>509138</v>
      </c>
    </row>
    <row r="7" spans="3:8" ht="44.4" customHeight="1">
      <c r="C7" s="257" t="s">
        <v>104</v>
      </c>
      <c r="D7" s="258">
        <f>SUMIFS('لیست پیش فاکتور ها'!R:R,'لیست پیش فاکتور ها'!B:B,Sheet1!C7,'لیست پیش فاکتور ها'!I:I,"تعادلی")</f>
        <v>70000</v>
      </c>
      <c r="E7" s="258">
        <f>SUMIFS('لیست پیش فاکتور ها'!R:R,'لیست پیش فاکتور ها'!B:B,Sheet1!C7,'لیست پیش فاکتور ها'!I:I,"انجمن")</f>
        <v>265300</v>
      </c>
      <c r="F7" s="258">
        <f>SUMIFS('لیست پیش فاکتور ها'!R:R,'لیست پیش فاکتور ها'!B:B,Sheet1!C7,'لیست پیش فاکتور ها'!I:I,"بورس")</f>
        <v>0</v>
      </c>
      <c r="G7" s="264">
        <f>SUMIFS('لیست پیش فاکتور ها'!R:R,'لیست پیش فاکتور ها'!B:B,Sheet1!C7,'لیست پیش فاکتور ها'!I:I,"بار نیشابور")</f>
        <v>0</v>
      </c>
      <c r="H7" s="260">
        <f>SUM(Table9[[#This Row],[تعادلی]:[بار نیشابور]])</f>
        <v>335300</v>
      </c>
    </row>
    <row r="8" spans="3:8" ht="44.4" customHeight="1">
      <c r="C8" s="257" t="s">
        <v>116</v>
      </c>
      <c r="D8" s="258">
        <f>SUMIFS('لیست پیش فاکتور ها'!R:R,'لیست پیش فاکتور ها'!B:B,Sheet1!C8,'لیست پیش فاکتور ها'!I:I,"تعادلی")</f>
        <v>0</v>
      </c>
      <c r="E8" s="258">
        <f>SUMIFS('لیست پیش فاکتور ها'!R:R,'لیست پیش فاکتور ها'!B:B,Sheet1!C8,'لیست پیش فاکتور ها'!I:I,"انجمن")</f>
        <v>0</v>
      </c>
      <c r="F8" s="258">
        <f>SUMIFS('لیست پیش فاکتور ها'!R:R,'لیست پیش فاکتور ها'!B:B,Sheet1!C8,'لیست پیش فاکتور ها'!I:I,"بورس")</f>
        <v>534150</v>
      </c>
      <c r="G8" s="264">
        <f>SUMIFS('لیست پیش فاکتور ها'!R:R,'لیست پیش فاکتور ها'!B:B,Sheet1!C8,'لیست پیش فاکتور ها'!I:I,"بار نیشابور")</f>
        <v>0</v>
      </c>
      <c r="H8" s="260">
        <f>SUM(Table9[[#This Row],[تعادلی]:[بار نیشابور]])</f>
        <v>534150</v>
      </c>
    </row>
    <row r="9" spans="3:8" ht="44.4" customHeight="1">
      <c r="C9" s="257" t="s">
        <v>117</v>
      </c>
      <c r="D9" s="258">
        <f>SUMIFS('لیست پیش فاکتور ها'!R:R,'لیست پیش فاکتور ها'!B:B,Sheet1!C9,'لیست پیش فاکتور ها'!I:I,"تعادلی")</f>
        <v>30050</v>
      </c>
      <c r="E9" s="258">
        <f>SUMIFS('لیست پیش فاکتور ها'!R:R,'لیست پیش فاکتور ها'!B:B,Sheet1!C9,'لیست پیش فاکتور ها'!I:I,"انجمن")</f>
        <v>480020</v>
      </c>
      <c r="F9" s="258">
        <f>SUMIFS('لیست پیش فاکتور ها'!R:R,'لیست پیش فاکتور ها'!B:B,Sheet1!C9,'لیست پیش فاکتور ها'!I:I,"بورس")</f>
        <v>0</v>
      </c>
      <c r="G9" s="264">
        <f>SUMIFS('لیست پیش فاکتور ها'!R:R,'لیست پیش فاکتور ها'!B:B,Sheet1!C9,'لیست پیش فاکتور ها'!I:I,"بار نیشابور")</f>
        <v>0</v>
      </c>
      <c r="H9" s="260">
        <f>SUM(Table9[[#This Row],[تعادلی]:[بار نیشابور]])</f>
        <v>510070</v>
      </c>
    </row>
    <row r="10" spans="3:8" ht="44.4" customHeight="1">
      <c r="C10" s="257" t="s">
        <v>122</v>
      </c>
      <c r="D10" s="258">
        <f>SUMIFS('لیست پیش فاکتور ها'!R:R,'لیست پیش فاکتور ها'!B:B,Sheet1!C10,'لیست پیش فاکتور ها'!I:I,"تعادلی")</f>
        <v>0</v>
      </c>
      <c r="E10" s="258">
        <f>SUMIFS('لیست پیش فاکتور ها'!R:R,'لیست پیش فاکتور ها'!B:B,Sheet1!C10,'لیست پیش فاکتور ها'!I:I,"انجمن")</f>
        <v>314740</v>
      </c>
      <c r="F10" s="258">
        <f>SUMIFS('لیست پیش فاکتور ها'!R:R,'لیست پیش فاکتور ها'!B:B,Sheet1!C10,'لیست پیش فاکتور ها'!I:I,"بورس")</f>
        <v>0</v>
      </c>
      <c r="G10" s="264">
        <f>SUMIFS('لیست پیش فاکتور ها'!R:R,'لیست پیش فاکتور ها'!B:B,Sheet1!C10,'لیست پیش فاکتور ها'!I:I,"بار نیشابور")</f>
        <v>0</v>
      </c>
      <c r="H10" s="260">
        <f>SUM(Table9[[#This Row],[تعادلی]:[بار نیشابور]])</f>
        <v>314740</v>
      </c>
    </row>
    <row r="11" spans="3:8" ht="44.4" customHeight="1">
      <c r="C11" s="257" t="s">
        <v>123</v>
      </c>
      <c r="D11" s="258">
        <f>SUMIFS('لیست پیش فاکتور ها'!R:R,'لیست پیش فاکتور ها'!B:B,Sheet1!C11,'لیست پیش فاکتور ها'!I:I,"تعادلی")</f>
        <v>0</v>
      </c>
      <c r="E11" s="258">
        <f>SUMIFS('لیست پیش فاکتور ها'!R:R,'لیست پیش فاکتور ها'!B:B,Sheet1!C11,'لیست پیش فاکتور ها'!I:I,"انجمن")</f>
        <v>449255</v>
      </c>
      <c r="F11" s="258">
        <f>SUMIFS('لیست پیش فاکتور ها'!R:R,'لیست پیش فاکتور ها'!B:B,Sheet1!C11,'لیست پیش فاکتور ها'!I:I,"بورس")</f>
        <v>0</v>
      </c>
      <c r="G11" s="264">
        <f>SUMIFS('لیست پیش فاکتور ها'!R:R,'لیست پیش فاکتور ها'!B:B,Sheet1!C11,'لیست پیش فاکتور ها'!I:I,"بار نیشابور")</f>
        <v>0</v>
      </c>
      <c r="H11" s="260">
        <f>SUM(Table9[[#This Row],[تعادلی]:[بار نیشابور]])</f>
        <v>449255</v>
      </c>
    </row>
    <row r="12" spans="3:8" ht="44.4" customHeight="1">
      <c r="C12" s="257" t="s">
        <v>100</v>
      </c>
      <c r="D12" s="258">
        <f>SUMIFS('لیست پیش فاکتور ها'!R:R,'لیست پیش فاکتور ها'!B:B,Sheet1!C12,'لیست پیش فاکتور ها'!I:I,"تعادلی")</f>
        <v>0</v>
      </c>
      <c r="E12" s="258">
        <f>SUMIFS('لیست پیش فاکتور ها'!R:R,'لیست پیش فاکتور ها'!B:B,Sheet1!C12,'لیست پیش فاکتور ها'!I:I,"انجمن")</f>
        <v>176430</v>
      </c>
      <c r="F12" s="258">
        <f>SUMIFS('لیست پیش فاکتور ها'!R:R,'لیست پیش فاکتور ها'!B:B,Sheet1!C12,'لیست پیش فاکتور ها'!I:I,"بورس")</f>
        <v>0</v>
      </c>
      <c r="G12" s="264">
        <f>SUMIFS('لیست پیش فاکتور ها'!R:R,'لیست پیش فاکتور ها'!B:B,Sheet1!C12,'لیست پیش فاکتور ها'!I:I,"بار نیشابور")</f>
        <v>0</v>
      </c>
      <c r="H12" s="260">
        <f>SUM(Table9[[#This Row],[تعادلی]:[بار نیشابور]])</f>
        <v>176430</v>
      </c>
    </row>
    <row r="13" spans="3:8" ht="44.4" customHeight="1">
      <c r="C13" s="257" t="s">
        <v>109</v>
      </c>
      <c r="D13" s="258">
        <f>SUMIFS('لیست پیش فاکتور ها'!R:R,'لیست پیش فاکتور ها'!B:B,Sheet1!C13,'لیست پیش فاکتور ها'!I:I,"تعادلی")</f>
        <v>0</v>
      </c>
      <c r="E13" s="258">
        <f>SUMIFS('لیست پیش فاکتور ها'!R:R,'لیست پیش فاکتور ها'!B:B,Sheet1!C13,'لیست پیش فاکتور ها'!I:I,"انجمن")</f>
        <v>1754960</v>
      </c>
      <c r="F13" s="258">
        <f>SUMIFS('لیست پیش فاکتور ها'!R:R,'لیست پیش فاکتور ها'!B:B,Sheet1!C13,'لیست پیش فاکتور ها'!I:I,"بورس")</f>
        <v>0</v>
      </c>
      <c r="G13" s="264">
        <f>SUMIFS('لیست پیش فاکتور ها'!R:R,'لیست پیش فاکتور ها'!B:B,Sheet1!C13,'لیست پیش فاکتور ها'!I:I,"بار نیشابور")</f>
        <v>0</v>
      </c>
      <c r="H13" s="260">
        <f>SUM(Table9[[#This Row],[تعادلی]:[بار نیشابور]])</f>
        <v>1754960</v>
      </c>
    </row>
    <row r="14" spans="3:8" ht="44.4" customHeight="1">
      <c r="C14" s="257" t="s">
        <v>121</v>
      </c>
      <c r="D14" s="258">
        <f>SUMIFS('لیست پیش فاکتور ها'!R:R,'لیست پیش فاکتور ها'!B:B,Sheet1!C14,'لیست پیش فاکتور ها'!I:I,"تعادلی")</f>
        <v>130000</v>
      </c>
      <c r="E14" s="258">
        <f>SUMIFS('لیست پیش فاکتور ها'!R:R,'لیست پیش فاکتور ها'!B:B,Sheet1!C14,'لیست پیش فاکتور ها'!I:I,"انجمن")</f>
        <v>7295</v>
      </c>
      <c r="F14" s="258">
        <f>SUMIFS('لیست پیش فاکتور ها'!R:R,'لیست پیش فاکتور ها'!B:B,Sheet1!C14,'لیست پیش فاکتور ها'!I:I,"بورس")</f>
        <v>20000</v>
      </c>
      <c r="G14" s="264">
        <f>SUMIFS('لیست پیش فاکتور ها'!R:R,'لیست پیش فاکتور ها'!B:B,Sheet1!C14,'لیست پیش فاکتور ها'!I:I,"بار نیشابور")</f>
        <v>0</v>
      </c>
      <c r="H14" s="260">
        <f>SUM(Table9[[#This Row],[تعادلی]:[بار نیشابور]])</f>
        <v>157295</v>
      </c>
    </row>
    <row r="15" spans="3:8" ht="44.4" customHeight="1">
      <c r="C15" s="257" t="s">
        <v>105</v>
      </c>
      <c r="D15" s="258">
        <f>SUMIFS('لیست پیش فاکتور ها'!R:R,'لیست پیش فاکتور ها'!B:B,Sheet1!C15,'لیست پیش فاکتور ها'!I:I,"تعادلی")</f>
        <v>0</v>
      </c>
      <c r="E15" s="258">
        <f>SUMIFS('لیست پیش فاکتور ها'!R:R,'لیست پیش فاکتور ها'!B:B,Sheet1!C15,'لیست پیش فاکتور ها'!I:I,"انجمن")</f>
        <v>1087210</v>
      </c>
      <c r="F15" s="258">
        <f>SUMIFS('لیست پیش فاکتور ها'!R:R,'لیست پیش فاکتور ها'!B:B,Sheet1!C15,'لیست پیش فاکتور ها'!I:I,"بورس")</f>
        <v>0</v>
      </c>
      <c r="G15" s="264">
        <f>SUMIFS('لیست پیش فاکتور ها'!R:R,'لیست پیش فاکتور ها'!B:B,Sheet1!C15,'لیست پیش فاکتور ها'!I:I,"بار نیشابور")</f>
        <v>0</v>
      </c>
      <c r="H15" s="260">
        <f>SUM(Table9[[#This Row],[تعادلی]:[بار نیشابور]])</f>
        <v>1087210</v>
      </c>
    </row>
    <row r="16" spans="3:8" ht="44.4" customHeight="1">
      <c r="C16" s="257" t="s">
        <v>1042</v>
      </c>
      <c r="D16" s="258">
        <f>SUMIFS('لیست پیش فاکتور ها'!R:R,'لیست پیش فاکتور ها'!B:B,Sheet1!C16,'لیست پیش فاکتور ها'!I:I,"تعادلی")</f>
        <v>0</v>
      </c>
      <c r="E16" s="258">
        <f>SUMIFS('لیست پیش فاکتور ها'!R:R,'لیست پیش فاکتور ها'!B:B,Sheet1!C16,'لیست پیش فاکتور ها'!I:I,"انجمن")</f>
        <v>157000</v>
      </c>
      <c r="F16" s="258">
        <f>SUMIFS('لیست پیش فاکتور ها'!R:R,'لیست پیش فاکتور ها'!B:B,Sheet1!C16,'لیست پیش فاکتور ها'!I:I,"بورس")</f>
        <v>0</v>
      </c>
      <c r="G16" s="264">
        <f>SUMIFS('لیست پیش فاکتور ها'!R:R,'لیست پیش فاکتور ها'!B:B,Sheet1!C16,'لیست پیش فاکتور ها'!I:I,"بار نیشابور")</f>
        <v>0</v>
      </c>
      <c r="H16" s="260">
        <f>SUM(Table9[[#This Row],[تعادلی]:[بار نیشابور]])</f>
        <v>157000</v>
      </c>
    </row>
    <row r="17" spans="3:8" ht="44.4" customHeight="1">
      <c r="C17" s="257" t="s">
        <v>1043</v>
      </c>
      <c r="D17" s="258">
        <f>SUMIFS('لیست پیش فاکتور ها'!R:R,'لیست پیش فاکتور ها'!B:B,Sheet1!C17,'لیست پیش فاکتور ها'!I:I,"تعادلی")</f>
        <v>0</v>
      </c>
      <c r="E17" s="258">
        <f>SUMIFS('لیست پیش فاکتور ها'!R:R,'لیست پیش فاکتور ها'!B:B,Sheet1!C17,'لیست پیش فاکتور ها'!I:I,"انجمن")</f>
        <v>150000</v>
      </c>
      <c r="F17" s="258">
        <f>SUMIFS('لیست پیش فاکتور ها'!R:R,'لیست پیش فاکتور ها'!B:B,Sheet1!C17,'لیست پیش فاکتور ها'!I:I,"بورس")</f>
        <v>0</v>
      </c>
      <c r="G17" s="264">
        <f>SUMIFS('لیست پیش فاکتور ها'!R:R,'لیست پیش فاکتور ها'!B:B,Sheet1!C17,'لیست پیش فاکتور ها'!I:I,"بار نیشابور")</f>
        <v>0</v>
      </c>
      <c r="H17" s="260">
        <f>SUM(Table9[[#This Row],[تعادلی]:[بار نیشابور]])</f>
        <v>150000</v>
      </c>
    </row>
    <row r="18" spans="3:8" ht="44.4" customHeight="1">
      <c r="C18" s="261" t="s">
        <v>266</v>
      </c>
      <c r="D18" s="262">
        <f>SUBTOTAL(109,D3:D17)</f>
        <v>252020</v>
      </c>
      <c r="E18" s="262">
        <f>SUBTOTAL(109,E3:E17)</f>
        <v>5984538</v>
      </c>
      <c r="F18" s="262">
        <f>SUBTOTAL(109,F3:F17)</f>
        <v>554150</v>
      </c>
      <c r="G18" s="259">
        <f>SUBTOTAL(109,G3:G17)</f>
        <v>0</v>
      </c>
      <c r="H18" s="263">
        <f>SUM(Table9[[#This Row],[تعادلی]:[بار نیشابور]])</f>
        <v>6790708</v>
      </c>
    </row>
    <row r="19" spans="3:8" ht="44.4" customHeight="1">
      <c r="C19" s="253"/>
    </row>
    <row r="20" spans="3:8" ht="44.4" customHeight="1">
      <c r="C20" s="253"/>
    </row>
    <row r="21" spans="3:8" ht="44.4" customHeight="1">
      <c r="C21" s="253"/>
    </row>
    <row r="22" spans="3:8" ht="44.4" customHeight="1">
      <c r="C22" s="253"/>
    </row>
    <row r="23" spans="3:8" ht="44.4" customHeight="1">
      <c r="C23" s="253"/>
    </row>
    <row r="24" spans="3:8" ht="44.4" customHeight="1">
      <c r="C24" s="253"/>
    </row>
    <row r="25" spans="3:8" ht="44.4" customHeight="1">
      <c r="C25" s="253"/>
    </row>
    <row r="26" spans="3:8" ht="44.4" customHeight="1">
      <c r="C26" s="253"/>
    </row>
    <row r="27" spans="3:8" ht="44.4" customHeight="1">
      <c r="C27" s="253"/>
    </row>
    <row r="28" spans="3:8" ht="44.4" customHeight="1">
      <c r="C28" s="253"/>
    </row>
    <row r="29" spans="3:8" ht="44.4" customHeight="1">
      <c r="C29" s="253"/>
    </row>
    <row r="30" spans="3:8" ht="44.4" customHeight="1">
      <c r="C30" s="253"/>
    </row>
    <row r="31" spans="3:8" ht="44.4" customHeight="1">
      <c r="C31" s="253"/>
    </row>
    <row r="32" spans="3:8" ht="44.4" customHeight="1">
      <c r="C32" s="253"/>
    </row>
    <row r="33" spans="3:3" ht="44.4" customHeight="1">
      <c r="C33" s="253"/>
    </row>
    <row r="34" spans="3:3" ht="44.4" customHeight="1">
      <c r="C34" s="253"/>
    </row>
    <row r="35" spans="3:3" ht="44.4" customHeight="1">
      <c r="C35" s="253"/>
    </row>
    <row r="36" spans="3:3" ht="44.4" customHeight="1">
      <c r="C36" s="253"/>
    </row>
    <row r="37" spans="3:3" ht="44.4" customHeight="1">
      <c r="C37" s="253"/>
    </row>
    <row r="38" spans="3:3" ht="44.4" customHeight="1">
      <c r="C38" s="253"/>
    </row>
    <row r="39" spans="3:3" ht="44.4" customHeight="1">
      <c r="C39" s="253"/>
    </row>
    <row r="40" spans="3:3" ht="44.4" customHeight="1">
      <c r="C40" s="253"/>
    </row>
    <row r="41" spans="3:3" ht="44.4" customHeight="1">
      <c r="C41" s="253"/>
    </row>
    <row r="42" spans="3:3" ht="44.4" customHeight="1">
      <c r="C42" s="253"/>
    </row>
    <row r="43" spans="3:3" ht="44.4" customHeight="1">
      <c r="C43" s="253"/>
    </row>
    <row r="44" spans="3:3" ht="44.4" customHeight="1">
      <c r="C44" s="253"/>
    </row>
    <row r="45" spans="3:3" ht="44.4" customHeight="1">
      <c r="C45" s="253"/>
    </row>
    <row r="46" spans="3:3" ht="44.4" customHeight="1">
      <c r="C46" s="253"/>
    </row>
    <row r="47" spans="3:3" ht="44.4" customHeight="1">
      <c r="C47" s="253"/>
    </row>
    <row r="48" spans="3:3" ht="44.4" customHeight="1">
      <c r="C48" s="253"/>
    </row>
    <row r="49" spans="3:3" ht="44.4" customHeight="1">
      <c r="C49" s="253"/>
    </row>
    <row r="50" spans="3:3" ht="44.4" customHeight="1">
      <c r="C50" s="253"/>
    </row>
    <row r="51" spans="3:3" ht="44.4" customHeight="1">
      <c r="C51" s="253"/>
    </row>
    <row r="52" spans="3:3" ht="44.4" customHeight="1">
      <c r="C52" s="253"/>
    </row>
    <row r="53" spans="3:3" ht="44.4" customHeight="1">
      <c r="C53" s="253"/>
    </row>
    <row r="54" spans="3:3" ht="44.4" customHeight="1">
      <c r="C54" s="253"/>
    </row>
    <row r="55" spans="3:3" ht="44.4" customHeight="1">
      <c r="C55" s="253"/>
    </row>
    <row r="56" spans="3:3" ht="44.4" customHeight="1">
      <c r="C56" s="253"/>
    </row>
    <row r="57" spans="3:3" ht="44.4" customHeight="1">
      <c r="C57" s="253"/>
    </row>
    <row r="58" spans="3:3" ht="44.4" customHeight="1">
      <c r="C58" s="253"/>
    </row>
    <row r="59" spans="3:3" ht="44.4" customHeight="1">
      <c r="C59" s="253"/>
    </row>
    <row r="60" spans="3:3" ht="44.4" customHeight="1">
      <c r="C60" s="253"/>
    </row>
    <row r="61" spans="3:3" ht="44.4" customHeight="1">
      <c r="C61" s="253"/>
    </row>
    <row r="62" spans="3:3" ht="44.4" customHeight="1">
      <c r="C62" s="253"/>
    </row>
    <row r="63" spans="3:3" ht="44.4" customHeight="1">
      <c r="C63" s="253"/>
    </row>
    <row r="64" spans="3:3" ht="44.4" customHeight="1">
      <c r="C64" s="253"/>
    </row>
    <row r="65" spans="3:3" ht="44.4" customHeight="1">
      <c r="C65" s="253"/>
    </row>
    <row r="66" spans="3:3" ht="44.4" customHeight="1">
      <c r="C66" s="253"/>
    </row>
    <row r="67" spans="3:3" ht="44.4" customHeight="1">
      <c r="C67" s="253"/>
    </row>
    <row r="68" spans="3:3" ht="44.4" customHeight="1">
      <c r="C68" s="253"/>
    </row>
    <row r="69" spans="3:3" ht="44.4" customHeight="1">
      <c r="C69" s="253"/>
    </row>
    <row r="70" spans="3:3" ht="44.4" customHeight="1">
      <c r="C70" s="253"/>
    </row>
    <row r="71" spans="3:3" ht="44.4" customHeight="1">
      <c r="C71" s="253"/>
    </row>
    <row r="72" spans="3:3" ht="44.4" customHeight="1">
      <c r="C72" s="253"/>
    </row>
    <row r="73" spans="3:3" ht="44.4" customHeight="1">
      <c r="C73" s="253"/>
    </row>
    <row r="74" spans="3:3" ht="44.4" customHeight="1">
      <c r="C74" s="253"/>
    </row>
    <row r="75" spans="3:3" ht="44.4" customHeight="1">
      <c r="C75" s="253"/>
    </row>
    <row r="76" spans="3:3" ht="44.4" customHeight="1">
      <c r="C76" s="253"/>
    </row>
    <row r="77" spans="3:3" ht="44.4" customHeight="1">
      <c r="C77" s="253"/>
    </row>
    <row r="78" spans="3:3" ht="44.4" customHeight="1">
      <c r="C78" s="253"/>
    </row>
    <row r="79" spans="3:3" ht="44.4" customHeight="1">
      <c r="C79" s="253"/>
    </row>
    <row r="80" spans="3:3" ht="44.4" customHeight="1">
      <c r="C80" s="253"/>
    </row>
    <row r="81" spans="3:3" ht="44.4" customHeight="1">
      <c r="C81" s="253"/>
    </row>
    <row r="82" spans="3:3" ht="44.4" customHeight="1">
      <c r="C82" s="253"/>
    </row>
    <row r="83" spans="3:3" ht="44.4" customHeight="1">
      <c r="C83" s="253"/>
    </row>
    <row r="84" spans="3:3" ht="44.4" customHeight="1">
      <c r="C84" s="253"/>
    </row>
    <row r="85" spans="3:3" ht="44.4" customHeight="1">
      <c r="C85" s="253"/>
    </row>
    <row r="86" spans="3:3" ht="44.4" customHeight="1">
      <c r="C86" s="253"/>
    </row>
    <row r="87" spans="3:3" ht="44.4" customHeight="1">
      <c r="C87" s="253"/>
    </row>
    <row r="88" spans="3:3" ht="44.4" customHeight="1">
      <c r="C88" s="253"/>
    </row>
    <row r="89" spans="3:3" ht="44.4" customHeight="1">
      <c r="C89" s="253"/>
    </row>
    <row r="90" spans="3:3" ht="44.4" customHeight="1">
      <c r="C90" s="253"/>
    </row>
    <row r="91" spans="3:3" ht="44.4" customHeight="1">
      <c r="C91" s="253"/>
    </row>
    <row r="92" spans="3:3" ht="44.4" customHeight="1">
      <c r="C92" s="253"/>
    </row>
    <row r="93" spans="3:3" ht="44.4" customHeight="1">
      <c r="C93" s="253"/>
    </row>
    <row r="94" spans="3:3" ht="44.4" customHeight="1">
      <c r="C94" s="253"/>
    </row>
    <row r="95" spans="3:3" ht="44.4" customHeight="1">
      <c r="C95" s="253"/>
    </row>
    <row r="96" spans="3:3" ht="44.4" customHeight="1">
      <c r="C96" s="253"/>
    </row>
    <row r="97" spans="3:3" ht="44.4" customHeight="1">
      <c r="C97" s="253"/>
    </row>
    <row r="98" spans="3:3" ht="44.4" customHeight="1">
      <c r="C98" s="253"/>
    </row>
    <row r="99" spans="3:3" ht="44.4" customHeight="1">
      <c r="C99" s="253"/>
    </row>
    <row r="100" spans="3:3" ht="44.4" customHeight="1">
      <c r="C100" s="253"/>
    </row>
    <row r="101" spans="3:3" ht="44.4" customHeight="1">
      <c r="C101" s="253"/>
    </row>
    <row r="102" spans="3:3" ht="44.4" customHeight="1">
      <c r="C102" s="253"/>
    </row>
    <row r="103" spans="3:3" ht="44.4" customHeight="1">
      <c r="C103" s="253"/>
    </row>
    <row r="104" spans="3:3" ht="44.4" customHeight="1">
      <c r="C104" s="253"/>
    </row>
    <row r="105" spans="3:3" ht="44.4" customHeight="1">
      <c r="C105" s="253"/>
    </row>
    <row r="106" spans="3:3" ht="44.4" customHeight="1">
      <c r="C106" s="253"/>
    </row>
    <row r="107" spans="3:3" ht="44.4" customHeight="1">
      <c r="C107" s="253"/>
    </row>
    <row r="108" spans="3:3" ht="44.4" customHeight="1">
      <c r="C108" s="253"/>
    </row>
    <row r="109" spans="3:3" ht="44.4" customHeight="1">
      <c r="C109" s="253"/>
    </row>
    <row r="110" spans="3:3" ht="44.4" customHeight="1">
      <c r="C110" s="253"/>
    </row>
    <row r="111" spans="3:3" ht="44.4" customHeight="1">
      <c r="C111" s="253"/>
    </row>
    <row r="112" spans="3:3" ht="44.4" customHeight="1">
      <c r="C112" s="253"/>
    </row>
    <row r="113" spans="3:3" ht="44.4" customHeight="1">
      <c r="C113" s="253"/>
    </row>
    <row r="114" spans="3:3" ht="44.4" customHeight="1">
      <c r="C114" s="253"/>
    </row>
    <row r="115" spans="3:3" ht="44.4" customHeight="1">
      <c r="C115" s="253"/>
    </row>
    <row r="116" spans="3:3" ht="44.4" customHeight="1">
      <c r="C116" s="253"/>
    </row>
    <row r="117" spans="3:3" ht="44.4" customHeight="1">
      <c r="C117" s="253"/>
    </row>
    <row r="118" spans="3:3" ht="44.4" customHeight="1">
      <c r="C118" s="253"/>
    </row>
    <row r="119" spans="3:3" ht="44.4" customHeight="1">
      <c r="C119" s="253"/>
    </row>
    <row r="120" spans="3:3" ht="44.4" customHeight="1">
      <c r="C120" s="253"/>
    </row>
    <row r="121" spans="3:3" ht="44.4" customHeight="1">
      <c r="C121" s="253"/>
    </row>
    <row r="122" spans="3:3" ht="44.4" customHeight="1">
      <c r="C122" s="253"/>
    </row>
    <row r="123" spans="3:3" ht="44.4" customHeight="1">
      <c r="C123" s="253"/>
    </row>
    <row r="124" spans="3:3" ht="44.4" customHeight="1">
      <c r="C124" s="253"/>
    </row>
    <row r="125" spans="3:3" ht="44.4" customHeight="1">
      <c r="C125" s="253"/>
    </row>
    <row r="126" spans="3:3" ht="44.4" customHeight="1">
      <c r="C126" s="253"/>
    </row>
    <row r="127" spans="3:3" ht="44.4" customHeight="1">
      <c r="C127" s="253"/>
    </row>
    <row r="128" spans="3:3" ht="44.4" customHeight="1">
      <c r="C128" s="253"/>
    </row>
    <row r="129" spans="3:3" ht="44.4" customHeight="1">
      <c r="C129" s="253"/>
    </row>
    <row r="130" spans="3:3" ht="44.4" customHeight="1">
      <c r="C130" s="253"/>
    </row>
    <row r="131" spans="3:3" ht="44.4" customHeight="1">
      <c r="C131" s="253"/>
    </row>
    <row r="132" spans="3:3" ht="44.4" customHeight="1">
      <c r="C132" s="253"/>
    </row>
    <row r="133" spans="3:3" ht="44.4" customHeight="1">
      <c r="C133" s="253"/>
    </row>
    <row r="134" spans="3:3" ht="44.4" customHeight="1">
      <c r="C134" s="253"/>
    </row>
    <row r="135" spans="3:3" ht="44.4" customHeight="1">
      <c r="C135" s="253"/>
    </row>
    <row r="136" spans="3:3" ht="44.4" customHeight="1">
      <c r="C136" s="253"/>
    </row>
    <row r="137" spans="3:3" ht="44.4" customHeight="1">
      <c r="C137" s="253"/>
    </row>
    <row r="138" spans="3:3" ht="44.4" customHeight="1">
      <c r="C138" s="253"/>
    </row>
    <row r="139" spans="3:3" ht="44.4" customHeight="1">
      <c r="C139" s="253"/>
    </row>
    <row r="140" spans="3:3" ht="44.4" customHeight="1">
      <c r="C140" s="253"/>
    </row>
    <row r="141" spans="3:3" ht="44.4" customHeight="1">
      <c r="C141" s="253"/>
    </row>
    <row r="142" spans="3:3" ht="44.4" customHeight="1">
      <c r="C142" s="253"/>
    </row>
    <row r="143" spans="3:3" ht="44.4" customHeight="1">
      <c r="C143" s="253"/>
    </row>
    <row r="144" spans="3:3" ht="44.4" customHeight="1">
      <c r="C144" s="253"/>
    </row>
    <row r="145" spans="3:3" ht="44.4" customHeight="1">
      <c r="C145" s="253"/>
    </row>
    <row r="146" spans="3:3" ht="44.4" customHeight="1">
      <c r="C146" s="253"/>
    </row>
    <row r="147" spans="3:3" ht="44.4" customHeight="1">
      <c r="C147" s="253"/>
    </row>
    <row r="148" spans="3:3" ht="44.4" customHeight="1">
      <c r="C148" s="253"/>
    </row>
    <row r="149" spans="3:3" ht="44.4" customHeight="1">
      <c r="C149" s="253"/>
    </row>
    <row r="150" spans="3:3" ht="44.4" customHeight="1">
      <c r="C150" s="253"/>
    </row>
    <row r="151" spans="3:3" ht="44.4" customHeight="1">
      <c r="C151" s="253"/>
    </row>
    <row r="152" spans="3:3" ht="44.4" customHeight="1">
      <c r="C152" s="253"/>
    </row>
    <row r="153" spans="3:3" ht="44.4" customHeight="1">
      <c r="C153" s="253"/>
    </row>
    <row r="154" spans="3:3" ht="44.4" customHeight="1">
      <c r="C154" s="253"/>
    </row>
    <row r="155" spans="3:3" ht="44.4" customHeight="1">
      <c r="C155" s="253"/>
    </row>
    <row r="156" spans="3:3" ht="44.4" customHeight="1">
      <c r="C156" s="253"/>
    </row>
    <row r="157" spans="3:3" ht="44.4" customHeight="1">
      <c r="C157" s="253"/>
    </row>
    <row r="158" spans="3:3" ht="44.4" customHeight="1">
      <c r="C158" s="253"/>
    </row>
    <row r="159" spans="3:3" ht="44.4" customHeight="1">
      <c r="C159" s="253"/>
    </row>
    <row r="160" spans="3:3" ht="44.4" customHeight="1">
      <c r="C160" s="253"/>
    </row>
    <row r="161" spans="3:3" ht="44.4" customHeight="1">
      <c r="C161" s="253"/>
    </row>
    <row r="162" spans="3:3" ht="44.4" customHeight="1">
      <c r="C162" s="253"/>
    </row>
    <row r="163" spans="3:3" ht="44.4" customHeight="1">
      <c r="C163" s="253"/>
    </row>
    <row r="164" spans="3:3" ht="44.4" customHeight="1">
      <c r="C164" s="253"/>
    </row>
    <row r="165" spans="3:3" ht="44.4" customHeight="1">
      <c r="C165" s="253"/>
    </row>
    <row r="166" spans="3:3" ht="44.4" customHeight="1">
      <c r="C166" s="253"/>
    </row>
    <row r="167" spans="3:3" ht="44.4" customHeight="1">
      <c r="C167" s="253"/>
    </row>
    <row r="168" spans="3:3" ht="44.4" customHeight="1">
      <c r="C168" s="253"/>
    </row>
    <row r="169" spans="3:3" ht="44.4" customHeight="1">
      <c r="C169" s="253"/>
    </row>
    <row r="170" spans="3:3" ht="44.4" customHeight="1">
      <c r="C170" s="253"/>
    </row>
    <row r="171" spans="3:3" ht="44.4" customHeight="1">
      <c r="C171" s="253"/>
    </row>
    <row r="172" spans="3:3" ht="44.4" customHeight="1">
      <c r="C172" s="253"/>
    </row>
    <row r="173" spans="3:3" ht="44.4" customHeight="1">
      <c r="C173" s="253"/>
    </row>
    <row r="174" spans="3:3" ht="44.4" customHeight="1">
      <c r="C174" s="253"/>
    </row>
    <row r="175" spans="3:3" ht="44.4" customHeight="1">
      <c r="C175" s="253"/>
    </row>
    <row r="176" spans="3:3" ht="44.4" customHeight="1">
      <c r="C176" s="253"/>
    </row>
    <row r="177" spans="3:3" ht="44.4" customHeight="1">
      <c r="C177" s="253"/>
    </row>
    <row r="178" spans="3:3" ht="44.4" customHeight="1">
      <c r="C178" s="253"/>
    </row>
    <row r="179" spans="3:3" ht="44.4" customHeight="1">
      <c r="C179" s="253"/>
    </row>
    <row r="180" spans="3:3" ht="44.4" customHeight="1">
      <c r="C180" s="253"/>
    </row>
    <row r="181" spans="3:3" ht="44.4" customHeight="1">
      <c r="C181" s="253"/>
    </row>
    <row r="182" spans="3:3" ht="44.4" customHeight="1">
      <c r="C182" s="253"/>
    </row>
    <row r="183" spans="3:3" ht="44.4" customHeight="1">
      <c r="C183" s="253"/>
    </row>
    <row r="184" spans="3:3" ht="44.4" customHeight="1">
      <c r="C184" s="253"/>
    </row>
    <row r="185" spans="3:3" ht="44.4" customHeight="1">
      <c r="C185" s="253"/>
    </row>
    <row r="186" spans="3:3" ht="44.4" customHeight="1">
      <c r="C186" s="253"/>
    </row>
    <row r="187" spans="3:3" ht="44.4" customHeight="1">
      <c r="C187" s="253"/>
    </row>
    <row r="188" spans="3:3" ht="44.4" customHeight="1">
      <c r="C188" s="253"/>
    </row>
    <row r="189" spans="3:3" ht="44.4" customHeight="1">
      <c r="C189" s="253"/>
    </row>
    <row r="190" spans="3:3" ht="44.4" customHeight="1">
      <c r="C190" s="253"/>
    </row>
    <row r="191" spans="3:3" ht="44.4" customHeight="1">
      <c r="C191" s="253"/>
    </row>
    <row r="192" spans="3:3" ht="44.4" customHeight="1">
      <c r="C192" s="253"/>
    </row>
    <row r="193" spans="3:3" ht="44.4" customHeight="1">
      <c r="C193" s="253"/>
    </row>
    <row r="194" spans="3:3" ht="44.4" customHeight="1">
      <c r="C194" s="253"/>
    </row>
    <row r="195" spans="3:3" ht="44.4" customHeight="1">
      <c r="C195" s="253"/>
    </row>
    <row r="196" spans="3:3" ht="44.4" customHeight="1">
      <c r="C196" s="253"/>
    </row>
    <row r="197" spans="3:3" ht="44.4" customHeight="1">
      <c r="C197" s="253"/>
    </row>
    <row r="198" spans="3:3" ht="44.4" customHeight="1">
      <c r="C198" s="253"/>
    </row>
    <row r="199" spans="3:3" ht="44.4" customHeight="1">
      <c r="C199" s="253"/>
    </row>
    <row r="200" spans="3:3" ht="44.4" customHeight="1">
      <c r="C200" s="253"/>
    </row>
    <row r="201" spans="3:3" ht="44.4" customHeight="1">
      <c r="C201" s="253"/>
    </row>
    <row r="202" spans="3:3" ht="44.4" customHeight="1">
      <c r="C202" s="253"/>
    </row>
    <row r="203" spans="3:3" ht="44.4" customHeight="1">
      <c r="C203" s="253"/>
    </row>
    <row r="204" spans="3:3" ht="44.4" customHeight="1">
      <c r="C204" s="253"/>
    </row>
    <row r="205" spans="3:3" ht="44.4" customHeight="1">
      <c r="C205" s="253"/>
    </row>
    <row r="206" spans="3:3" ht="44.4" customHeight="1">
      <c r="C206" s="253"/>
    </row>
    <row r="207" spans="3:3" ht="44.4" customHeight="1">
      <c r="C207" s="253"/>
    </row>
    <row r="208" spans="3:3" ht="44.4" customHeight="1">
      <c r="C208" s="253"/>
    </row>
    <row r="209" spans="3:3" ht="44.4" customHeight="1">
      <c r="C209" s="253"/>
    </row>
    <row r="210" spans="3:3" ht="44.4" customHeight="1">
      <c r="C210" s="253"/>
    </row>
    <row r="211" spans="3:3" ht="44.4" customHeight="1">
      <c r="C211" s="253"/>
    </row>
    <row r="212" spans="3:3" ht="44.4" customHeight="1">
      <c r="C212" s="253"/>
    </row>
    <row r="213" spans="3:3" ht="44.4" customHeight="1">
      <c r="C213" s="253"/>
    </row>
    <row r="214" spans="3:3" ht="44.4" customHeight="1">
      <c r="C214" s="253"/>
    </row>
    <row r="215" spans="3:3" ht="44.4" customHeight="1">
      <c r="C215" s="253"/>
    </row>
    <row r="216" spans="3:3" ht="44.4" customHeight="1">
      <c r="C216" s="253"/>
    </row>
    <row r="217" spans="3:3" ht="44.4" customHeight="1">
      <c r="C217" s="253"/>
    </row>
    <row r="218" spans="3:3" ht="44.4" customHeight="1">
      <c r="C218" s="253"/>
    </row>
    <row r="219" spans="3:3" ht="44.4" customHeight="1">
      <c r="C219" s="253"/>
    </row>
    <row r="220" spans="3:3" ht="44.4" customHeight="1">
      <c r="C220" s="253"/>
    </row>
    <row r="221" spans="3:3" ht="44.4" customHeight="1">
      <c r="C221" s="253"/>
    </row>
  </sheetData>
  <mergeCells count="1">
    <mergeCell ref="C1:H1"/>
  </mergeCells>
  <printOptions horizontalCentered="1" verticalCentered="1"/>
  <pageMargins left="0.19685039370078741" right="0.19685039370078741" top="0" bottom="0" header="0" footer="0"/>
  <pageSetup paperSize="9" scale="90" fitToHeight="0"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157E-5CEE-4857-A5A5-E7723041D1CE}">
  <sheetPr codeName="Sheet21">
    <pageSetUpPr fitToPage="1"/>
  </sheetPr>
  <dimension ref="A1:S284"/>
  <sheetViews>
    <sheetView showGridLines="0" rightToLeft="1" zoomScale="80" zoomScaleNormal="80" workbookViewId="0">
      <pane ySplit="1" topLeftCell="A118" activePane="bottomLeft" state="frozen"/>
      <selection pane="bottomLeft" activeCell="B131" sqref="B131:B132"/>
    </sheetView>
  </sheetViews>
  <sheetFormatPr defaultColWidth="10.69921875" defaultRowHeight="30.6" customHeight="1"/>
  <cols>
    <col min="1" max="1" width="19.59765625" style="147" bestFit="1" customWidth="1"/>
    <col min="2" max="2" width="35.09765625" style="147" bestFit="1" customWidth="1"/>
    <col min="3" max="3" width="13.3984375" style="147" customWidth="1"/>
    <col min="4" max="4" width="22.3984375" style="147" customWidth="1"/>
    <col min="5" max="5" width="16" style="147" bestFit="1" customWidth="1"/>
    <col min="6" max="6" width="10.296875" style="147" customWidth="1"/>
    <col min="7" max="8" width="10.69921875" style="147" customWidth="1"/>
    <col min="9" max="9" width="10.69921875" style="147"/>
    <col min="10" max="12" width="10.69921875" style="147" customWidth="1"/>
    <col min="13" max="13" width="20.69921875" style="147" customWidth="1"/>
    <col min="14" max="14" width="16.8984375" style="147" customWidth="1"/>
    <col min="15" max="15" width="10.69921875" style="195" customWidth="1"/>
    <col min="16" max="16" width="10.69921875" style="147" customWidth="1"/>
    <col min="17" max="17" width="17.59765625" style="147" customWidth="1"/>
    <col min="18" max="18" width="18.09765625" style="147" bestFit="1" customWidth="1"/>
    <col min="19" max="19" width="15.3984375" style="147" bestFit="1" customWidth="1"/>
    <col min="20" max="16384" width="10.69921875" style="147"/>
  </cols>
  <sheetData>
    <row r="1" spans="1:19" ht="25.2" customHeight="1">
      <c r="A1" s="146" t="s">
        <v>127</v>
      </c>
      <c r="B1" s="146" t="s">
        <v>0</v>
      </c>
      <c r="C1" s="146" t="s">
        <v>128</v>
      </c>
      <c r="D1" s="146" t="s">
        <v>130</v>
      </c>
      <c r="E1" s="146" t="s">
        <v>1</v>
      </c>
      <c r="F1" s="146" t="s">
        <v>2</v>
      </c>
      <c r="G1" s="146" t="s">
        <v>236</v>
      </c>
      <c r="H1" s="146" t="s">
        <v>237</v>
      </c>
      <c r="I1" s="146" t="s">
        <v>288</v>
      </c>
      <c r="J1" s="146" t="s">
        <v>503</v>
      </c>
      <c r="K1" s="146" t="s">
        <v>505</v>
      </c>
      <c r="L1" s="146" t="s">
        <v>512</v>
      </c>
      <c r="M1" s="152" t="s">
        <v>584</v>
      </c>
      <c r="N1" s="152" t="s">
        <v>583</v>
      </c>
      <c r="O1" s="193" t="s">
        <v>619</v>
      </c>
      <c r="P1" s="193" t="s">
        <v>621</v>
      </c>
      <c r="Q1" s="193" t="s">
        <v>876</v>
      </c>
      <c r="R1" s="193" t="s">
        <v>877</v>
      </c>
      <c r="S1" s="146" t="s">
        <v>916</v>
      </c>
    </row>
    <row r="2" spans="1:19" ht="30.6" customHeight="1">
      <c r="A2" s="150" t="s">
        <v>11</v>
      </c>
      <c r="B2" s="150" t="s">
        <v>98</v>
      </c>
      <c r="C2" s="150" t="s">
        <v>139</v>
      </c>
      <c r="D2" s="151" t="s">
        <v>188</v>
      </c>
      <c r="E2" s="243">
        <v>500000</v>
      </c>
      <c r="F2" s="148">
        <v>77000</v>
      </c>
      <c r="G2" s="149" t="str">
        <f>CHOOSE(MID(invoice[[#This Row],[تاریخ]],6,2),"فروردین","اردیبهشت","خرداد","تیر","مرداد","شهریور","مهر","آبان","آذر","دی","بهمن","اسفند")</f>
        <v>فروردین</v>
      </c>
      <c r="H2" s="149">
        <f>_xlfn.NUMBERVALUE(MID(invoice[[#This Row],[تاریخ]],1,4))</f>
        <v>1403</v>
      </c>
      <c r="I2" s="149" t="s">
        <v>243</v>
      </c>
      <c r="J2" s="149" t="s">
        <v>504</v>
      </c>
      <c r="K2" s="151">
        <v>46466</v>
      </c>
      <c r="L2" s="149">
        <f>IF(invoice[[#This Row],[سال]]=year,1,0)</f>
        <v>0</v>
      </c>
      <c r="M2" s="148"/>
      <c r="N2" s="149"/>
      <c r="O2" s="194">
        <f>SUMIF(bargiri[شماره پیش فاکتور],invoice[[#This Row],[شماره پیش فاکتور]],bargiri[میزان بارگیری شده])/invoice[[#This Row],[میزان سفارش]]</f>
        <v>1.00339</v>
      </c>
      <c r="P2" s="149" t="str">
        <f>IF(invoice[[#This Row],[نوع سفارش]]="غیرفعال","عادی",invoice[[#This Row],[نوع سفارش]])</f>
        <v>عادی</v>
      </c>
      <c r="Q2" s="149">
        <f>SUMIFS('جزییات بارگیری'!D:D,'جزییات بارگیری'!C:C,invoice[[#This Row],[شماره پیش فاکتور]])</f>
        <v>501695</v>
      </c>
      <c r="R2" s="149">
        <f>IF(invoice[[#This Row],[میزان سفارش]]-invoice[[#This Row],[میزان حمل شده ]]&lt;0,0,invoice[[#This Row],[میزان سفارش]]-invoice[[#This Row],[میزان حمل شده ]])</f>
        <v>0</v>
      </c>
      <c r="S2" s="149">
        <f>invoice[[#This Row],[میزان حمل نشده ]]*invoice[[#This Row],[فی]]</f>
        <v>0</v>
      </c>
    </row>
    <row r="3" spans="1:19" ht="30.6" customHeight="1">
      <c r="A3" s="150" t="s">
        <v>13</v>
      </c>
      <c r="B3" s="150" t="s">
        <v>99</v>
      </c>
      <c r="C3" s="150" t="s">
        <v>139</v>
      </c>
      <c r="D3" s="151" t="s">
        <v>189</v>
      </c>
      <c r="E3" s="243">
        <v>1000000</v>
      </c>
      <c r="F3" s="148">
        <v>65000</v>
      </c>
      <c r="G3" s="149" t="str">
        <f>CHOOSE(MID(invoice[[#This Row],[تاریخ]],6,2),"فروردین","اردیبهشت","خرداد","تیر","مرداد","شهریور","مهر","آبان","آذر","دی","بهمن","اسفند")</f>
        <v>فروردین</v>
      </c>
      <c r="H3" s="149">
        <f>_xlfn.NUMBERVALUE(MID(invoice[[#This Row],[تاریخ]],1,4))</f>
        <v>1403</v>
      </c>
      <c r="I3" s="149" t="s">
        <v>243</v>
      </c>
      <c r="J3" s="149" t="s">
        <v>504</v>
      </c>
      <c r="K3" s="151">
        <v>46466</v>
      </c>
      <c r="L3" s="149">
        <f>IF(invoice[[#This Row],[سال]]=year,1,0)</f>
        <v>0</v>
      </c>
      <c r="M3" s="148"/>
      <c r="N3" s="149"/>
      <c r="O3" s="194">
        <f>SUMIF(bargiri[شماره پیش فاکتور],invoice[[#This Row],[شماره پیش فاکتور]],bargiri[میزان بارگیری شده])/invoice[[#This Row],[میزان سفارش]]</f>
        <v>1.0019549999999999</v>
      </c>
      <c r="P3" s="149" t="str">
        <f>IF(invoice[[#This Row],[نوع سفارش]]="غیرفعال","عادی",invoice[[#This Row],[نوع سفارش]])</f>
        <v>عادی</v>
      </c>
      <c r="Q3" s="149">
        <f>SUMIFS('جزییات بارگیری'!D:D,'جزییات بارگیری'!C:C,invoice[[#This Row],[شماره پیش فاکتور]])</f>
        <v>1001955</v>
      </c>
      <c r="R3" s="149">
        <f>IF(invoice[[#This Row],[میزان سفارش]]-invoice[[#This Row],[میزان حمل شده ]]&lt;0,0,invoice[[#This Row],[میزان سفارش]]-invoice[[#This Row],[میزان حمل شده ]])</f>
        <v>0</v>
      </c>
      <c r="S3" s="149">
        <f>invoice[[#This Row],[میزان حمل نشده ]]*invoice[[#This Row],[فی]]</f>
        <v>0</v>
      </c>
    </row>
    <row r="4" spans="1:19" ht="30.6" customHeight="1">
      <c r="A4" s="150" t="s">
        <v>14</v>
      </c>
      <c r="B4" s="150" t="s">
        <v>99</v>
      </c>
      <c r="C4" s="150" t="s">
        <v>139</v>
      </c>
      <c r="D4" s="151" t="s">
        <v>190</v>
      </c>
      <c r="E4" s="243">
        <v>162140</v>
      </c>
      <c r="F4" s="148">
        <v>50000</v>
      </c>
      <c r="G4" s="149" t="str">
        <f>CHOOSE(MID(invoice[[#This Row],[تاریخ]],6,2),"فروردین","اردیبهشت","خرداد","تیر","مرداد","شهریور","مهر","آبان","آذر","دی","بهمن","اسفند")</f>
        <v>فروردین</v>
      </c>
      <c r="H4" s="149">
        <f>_xlfn.NUMBERVALUE(MID(invoice[[#This Row],[تاریخ]],1,4))</f>
        <v>1403</v>
      </c>
      <c r="I4" s="149" t="s">
        <v>243</v>
      </c>
      <c r="J4" s="149" t="s">
        <v>504</v>
      </c>
      <c r="K4" s="151">
        <v>46466</v>
      </c>
      <c r="L4" s="149">
        <f>IF(invoice[[#This Row],[سال]]=year,1,0)</f>
        <v>0</v>
      </c>
      <c r="M4" s="148"/>
      <c r="N4" s="149"/>
      <c r="O4" s="194">
        <f>SUMIF(bargiri[شماره پیش فاکتور],invoice[[#This Row],[شماره پیش فاکتور]],bargiri[میزان بارگیری شده])/invoice[[#This Row],[میزان سفارش]]</f>
        <v>1.0004317256691748</v>
      </c>
      <c r="P4" s="149" t="str">
        <f>IF(invoice[[#This Row],[نوع سفارش]]="غیرفعال","عادی",invoice[[#This Row],[نوع سفارش]])</f>
        <v>عادی</v>
      </c>
      <c r="Q4" s="149">
        <f>SUMIFS('جزییات بارگیری'!D:D,'جزییات بارگیری'!C:C,invoice[[#This Row],[شماره پیش فاکتور]])</f>
        <v>162210</v>
      </c>
      <c r="R4" s="149">
        <f>IF(invoice[[#This Row],[میزان سفارش]]-invoice[[#This Row],[میزان حمل شده ]]&lt;0,0,invoice[[#This Row],[میزان سفارش]]-invoice[[#This Row],[میزان حمل شده ]])</f>
        <v>0</v>
      </c>
      <c r="S4" s="149">
        <f>invoice[[#This Row],[میزان حمل نشده ]]*invoice[[#This Row],[فی]]</f>
        <v>0</v>
      </c>
    </row>
    <row r="5" spans="1:19" ht="30.6" customHeight="1">
      <c r="A5" s="150" t="s">
        <v>20</v>
      </c>
      <c r="B5" s="150" t="s">
        <v>101</v>
      </c>
      <c r="C5" s="150" t="s">
        <v>139</v>
      </c>
      <c r="D5" s="151" t="s">
        <v>193</v>
      </c>
      <c r="E5" s="243">
        <v>300000</v>
      </c>
      <c r="F5" s="148">
        <v>68000</v>
      </c>
      <c r="G5" s="149" t="str">
        <f>CHOOSE(MID(invoice[[#This Row],[تاریخ]],6,2),"فروردین","اردیبهشت","خرداد","تیر","مرداد","شهریور","مهر","آبان","آذر","دی","بهمن","اسفند")</f>
        <v>فروردین</v>
      </c>
      <c r="H5" s="149">
        <f>_xlfn.NUMBERVALUE(MID(invoice[[#This Row],[تاریخ]],1,4))</f>
        <v>1403</v>
      </c>
      <c r="I5" s="149" t="s">
        <v>243</v>
      </c>
      <c r="J5" s="149" t="s">
        <v>504</v>
      </c>
      <c r="K5" s="151">
        <v>46466</v>
      </c>
      <c r="L5" s="149">
        <f>IF(invoice[[#This Row],[سال]]=year,1,0)</f>
        <v>0</v>
      </c>
      <c r="M5" s="148"/>
      <c r="N5" s="149"/>
      <c r="O5" s="194">
        <f>SUMIF(bargiri[شماره پیش فاکتور],invoice[[#This Row],[شماره پیش فاکتور]],bargiri[میزان بارگیری شده])/invoice[[#This Row],[میزان سفارش]]</f>
        <v>1</v>
      </c>
      <c r="P5" s="149" t="str">
        <f>IF(invoice[[#This Row],[نوع سفارش]]="غیرفعال","عادی",invoice[[#This Row],[نوع سفارش]])</f>
        <v>عادی</v>
      </c>
      <c r="Q5" s="149">
        <f>SUMIFS('جزییات بارگیری'!D:D,'جزییات بارگیری'!C:C,invoice[[#This Row],[شماره پیش فاکتور]])</f>
        <v>300000</v>
      </c>
      <c r="R5" s="149">
        <f>IF(invoice[[#This Row],[میزان سفارش]]-invoice[[#This Row],[میزان حمل شده ]]&lt;0,0,invoice[[#This Row],[میزان سفارش]]-invoice[[#This Row],[میزان حمل شده ]])</f>
        <v>0</v>
      </c>
      <c r="S5" s="149">
        <f>invoice[[#This Row],[میزان حمل نشده ]]*invoice[[#This Row],[فی]]</f>
        <v>0</v>
      </c>
    </row>
    <row r="6" spans="1:19" ht="30.6" customHeight="1">
      <c r="A6" s="150" t="s">
        <v>21</v>
      </c>
      <c r="B6" s="150" t="s">
        <v>101</v>
      </c>
      <c r="C6" s="150" t="s">
        <v>139</v>
      </c>
      <c r="D6" s="151" t="s">
        <v>194</v>
      </c>
      <c r="E6" s="243">
        <v>76560</v>
      </c>
      <c r="F6" s="148">
        <v>68000</v>
      </c>
      <c r="G6" s="149" t="str">
        <f>CHOOSE(MID(invoice[[#This Row],[تاریخ]],6,2),"فروردین","اردیبهشت","خرداد","تیر","مرداد","شهریور","مهر","آبان","آذر","دی","بهمن","اسفند")</f>
        <v>فروردین</v>
      </c>
      <c r="H6" s="149">
        <f>_xlfn.NUMBERVALUE(MID(invoice[[#This Row],[تاریخ]],1,4))</f>
        <v>1403</v>
      </c>
      <c r="I6" s="149" t="s">
        <v>243</v>
      </c>
      <c r="J6" s="149" t="s">
        <v>504</v>
      </c>
      <c r="K6" s="151">
        <v>46466</v>
      </c>
      <c r="L6" s="149">
        <f>IF(invoice[[#This Row],[سال]]=year,1,0)</f>
        <v>0</v>
      </c>
      <c r="M6" s="148"/>
      <c r="N6" s="149"/>
      <c r="O6" s="194">
        <f>SUMIF(bargiri[شماره پیش فاکتور],invoice[[#This Row],[شماره پیش فاکتور]],bargiri[میزان بارگیری شده])/invoice[[#This Row],[میزان سفارش]]</f>
        <v>1</v>
      </c>
      <c r="P6" s="149" t="str">
        <f>IF(invoice[[#This Row],[نوع سفارش]]="غیرفعال","عادی",invoice[[#This Row],[نوع سفارش]])</f>
        <v>عادی</v>
      </c>
      <c r="Q6" s="149">
        <f>SUMIFS('جزییات بارگیری'!D:D,'جزییات بارگیری'!C:C,invoice[[#This Row],[شماره پیش فاکتور]])</f>
        <v>76560</v>
      </c>
      <c r="R6" s="149">
        <f>IF(invoice[[#This Row],[میزان سفارش]]-invoice[[#This Row],[میزان حمل شده ]]&lt;0,0,invoice[[#This Row],[میزان سفارش]]-invoice[[#This Row],[میزان حمل شده ]])</f>
        <v>0</v>
      </c>
      <c r="S6" s="149">
        <f>invoice[[#This Row],[میزان حمل نشده ]]*invoice[[#This Row],[فی]]</f>
        <v>0</v>
      </c>
    </row>
    <row r="7" spans="1:19" ht="30.6" customHeight="1">
      <c r="A7" s="150" t="s">
        <v>27</v>
      </c>
      <c r="B7" s="150" t="s">
        <v>102</v>
      </c>
      <c r="C7" s="150" t="s">
        <v>139</v>
      </c>
      <c r="D7" s="151" t="s">
        <v>197</v>
      </c>
      <c r="E7" s="243">
        <v>99340</v>
      </c>
      <c r="F7" s="148">
        <v>56000</v>
      </c>
      <c r="G7" s="149" t="str">
        <f>CHOOSE(MID(invoice[[#This Row],[تاریخ]],6,2),"فروردین","اردیبهشت","خرداد","تیر","مرداد","شهریور","مهر","آبان","آذر","دی","بهمن","اسفند")</f>
        <v>فروردین</v>
      </c>
      <c r="H7" s="149">
        <f>_xlfn.NUMBERVALUE(MID(invoice[[#This Row],[تاریخ]],1,4))</f>
        <v>1403</v>
      </c>
      <c r="I7" s="149" t="s">
        <v>243</v>
      </c>
      <c r="J7" s="149" t="s">
        <v>504</v>
      </c>
      <c r="K7" s="151">
        <v>46466</v>
      </c>
      <c r="L7" s="149">
        <f>IF(invoice[[#This Row],[سال]]=year,1,0)</f>
        <v>0</v>
      </c>
      <c r="M7" s="148"/>
      <c r="N7" s="149"/>
      <c r="O7" s="194">
        <f>SUMIF(bargiri[شماره پیش فاکتور],invoice[[#This Row],[شماره پیش فاکتور]],bargiri[میزان بارگیری شده])/invoice[[#This Row],[میزان سفارش]]</f>
        <v>1</v>
      </c>
      <c r="P7" s="149" t="str">
        <f>IF(invoice[[#This Row],[نوع سفارش]]="غیرفعال","عادی",invoice[[#This Row],[نوع سفارش]])</f>
        <v>عادی</v>
      </c>
      <c r="Q7" s="149">
        <f>SUMIFS('جزییات بارگیری'!D:D,'جزییات بارگیری'!C:C,invoice[[#This Row],[شماره پیش فاکتور]])</f>
        <v>99340</v>
      </c>
      <c r="R7" s="149">
        <f>IF(invoice[[#This Row],[میزان سفارش]]-invoice[[#This Row],[میزان حمل شده ]]&lt;0,0,invoice[[#This Row],[میزان سفارش]]-invoice[[#This Row],[میزان حمل شده ]])</f>
        <v>0</v>
      </c>
      <c r="S7" s="149">
        <f>invoice[[#This Row],[میزان حمل نشده ]]*invoice[[#This Row],[فی]]</f>
        <v>0</v>
      </c>
    </row>
    <row r="8" spans="1:19" ht="30.6" customHeight="1">
      <c r="A8" s="150" t="s">
        <v>33</v>
      </c>
      <c r="B8" s="150" t="s">
        <v>103</v>
      </c>
      <c r="C8" s="150" t="s">
        <v>139</v>
      </c>
      <c r="D8" s="151" t="s">
        <v>204</v>
      </c>
      <c r="E8" s="243">
        <v>76730</v>
      </c>
      <c r="F8" s="148">
        <v>75000</v>
      </c>
      <c r="G8" s="149" t="str">
        <f>CHOOSE(MID(invoice[[#This Row],[تاریخ]],6,2),"فروردین","اردیبهشت","خرداد","تیر","مرداد","شهریور","مهر","آبان","آذر","دی","بهمن","اسفند")</f>
        <v>فروردین</v>
      </c>
      <c r="H8" s="149">
        <f>_xlfn.NUMBERVALUE(MID(invoice[[#This Row],[تاریخ]],1,4))</f>
        <v>1403</v>
      </c>
      <c r="I8" s="149" t="s">
        <v>243</v>
      </c>
      <c r="J8" s="149" t="s">
        <v>504</v>
      </c>
      <c r="K8" s="151">
        <v>46466</v>
      </c>
      <c r="L8" s="149">
        <f>IF(invoice[[#This Row],[سال]]=year,1,0)</f>
        <v>0</v>
      </c>
      <c r="M8" s="148"/>
      <c r="N8" s="149"/>
      <c r="O8" s="194">
        <f>SUMIF(bargiri[شماره پیش فاکتور],invoice[[#This Row],[شماره پیش فاکتور]],bargiri[میزان بارگیری شده])/invoice[[#This Row],[میزان سفارش]]</f>
        <v>1</v>
      </c>
      <c r="P8" s="149" t="str">
        <f>IF(invoice[[#This Row],[نوع سفارش]]="غیرفعال","عادی",invoice[[#This Row],[نوع سفارش]])</f>
        <v>عادی</v>
      </c>
      <c r="Q8" s="149">
        <f>SUMIFS('جزییات بارگیری'!D:D,'جزییات بارگیری'!C:C,invoice[[#This Row],[شماره پیش فاکتور]])</f>
        <v>76730</v>
      </c>
      <c r="R8" s="149">
        <f>IF(invoice[[#This Row],[میزان سفارش]]-invoice[[#This Row],[میزان حمل شده ]]&lt;0,0,invoice[[#This Row],[میزان سفارش]]-invoice[[#This Row],[میزان حمل شده ]])</f>
        <v>0</v>
      </c>
      <c r="S8" s="149">
        <f>invoice[[#This Row],[میزان حمل نشده ]]*invoice[[#This Row],[فی]]</f>
        <v>0</v>
      </c>
    </row>
    <row r="9" spans="1:19" ht="30.6" customHeight="1">
      <c r="A9" s="150" t="s">
        <v>42</v>
      </c>
      <c r="B9" s="150" t="s">
        <v>104</v>
      </c>
      <c r="C9" s="150" t="s">
        <v>139</v>
      </c>
      <c r="D9" s="151" t="s">
        <v>202</v>
      </c>
      <c r="E9" s="243">
        <v>101000</v>
      </c>
      <c r="F9" s="148">
        <v>75000</v>
      </c>
      <c r="G9" s="149" t="str">
        <f>CHOOSE(MID(invoice[[#This Row],[تاریخ]],6,2),"فروردین","اردیبهشت","خرداد","تیر","مرداد","شهریور","مهر","آبان","آذر","دی","بهمن","اسفند")</f>
        <v>فروردین</v>
      </c>
      <c r="H9" s="149">
        <f>_xlfn.NUMBERVALUE(MID(invoice[[#This Row],[تاریخ]],1,4))</f>
        <v>1403</v>
      </c>
      <c r="I9" s="149" t="s">
        <v>243</v>
      </c>
      <c r="J9" s="149" t="s">
        <v>504</v>
      </c>
      <c r="K9" s="151">
        <v>46466</v>
      </c>
      <c r="L9" s="149">
        <f>IF(invoice[[#This Row],[سال]]=year,1,0)</f>
        <v>0</v>
      </c>
      <c r="M9" s="148"/>
      <c r="N9" s="149"/>
      <c r="O9" s="194">
        <f>SUMIF(bargiri[شماره پیش فاکتور],invoice[[#This Row],[شماره پیش فاکتور]],bargiri[میزان بارگیری شده])/invoice[[#This Row],[میزان سفارش]]</f>
        <v>1</v>
      </c>
      <c r="P9" s="149" t="str">
        <f>IF(invoice[[#This Row],[نوع سفارش]]="غیرفعال","عادی",invoice[[#This Row],[نوع سفارش]])</f>
        <v>عادی</v>
      </c>
      <c r="Q9" s="149">
        <f>SUMIFS('جزییات بارگیری'!D:D,'جزییات بارگیری'!C:C,invoice[[#This Row],[شماره پیش فاکتور]])</f>
        <v>101000</v>
      </c>
      <c r="R9" s="149">
        <f>IF(invoice[[#This Row],[میزان سفارش]]-invoice[[#This Row],[میزان حمل شده ]]&lt;0,0,invoice[[#This Row],[میزان سفارش]]-invoice[[#This Row],[میزان حمل شده ]])</f>
        <v>0</v>
      </c>
      <c r="S9" s="149">
        <f>invoice[[#This Row],[میزان حمل نشده ]]*invoice[[#This Row],[فی]]</f>
        <v>0</v>
      </c>
    </row>
    <row r="10" spans="1:19" ht="30.6" customHeight="1">
      <c r="A10" s="150" t="s">
        <v>47</v>
      </c>
      <c r="B10" s="150" t="s">
        <v>106</v>
      </c>
      <c r="C10" s="150" t="s">
        <v>139</v>
      </c>
      <c r="D10" s="151" t="s">
        <v>158</v>
      </c>
      <c r="E10" s="243">
        <v>100000</v>
      </c>
      <c r="F10" s="148">
        <v>50000</v>
      </c>
      <c r="G10" s="149" t="str">
        <f>CHOOSE(MID(invoice[[#This Row],[تاریخ]],6,2),"فروردین","اردیبهشت","خرداد","تیر","مرداد","شهریور","مهر","آبان","آذر","دی","بهمن","اسفند")</f>
        <v>فروردین</v>
      </c>
      <c r="H10" s="149">
        <f>_xlfn.NUMBERVALUE(MID(invoice[[#This Row],[تاریخ]],1,4))</f>
        <v>1403</v>
      </c>
      <c r="I10" s="149" t="s">
        <v>243</v>
      </c>
      <c r="J10" s="149" t="s">
        <v>504</v>
      </c>
      <c r="K10" s="151">
        <v>46466</v>
      </c>
      <c r="L10" s="149">
        <f>IF(invoice[[#This Row],[سال]]=year,1,0)</f>
        <v>0</v>
      </c>
      <c r="M10" s="148"/>
      <c r="N10" s="149"/>
      <c r="O10" s="194">
        <f>SUMIF(bargiri[شماره پیش فاکتور],invoice[[#This Row],[شماره پیش فاکتور]],bargiri[میزان بارگیری شده])/invoice[[#This Row],[میزان سفارش]]</f>
        <v>1</v>
      </c>
      <c r="P10" s="149" t="str">
        <f>IF(invoice[[#This Row],[نوع سفارش]]="غیرفعال","عادی",invoice[[#This Row],[نوع سفارش]])</f>
        <v>عادی</v>
      </c>
      <c r="Q10" s="149">
        <f>SUMIFS('جزییات بارگیری'!D:D,'جزییات بارگیری'!C:C,invoice[[#This Row],[شماره پیش فاکتور]])</f>
        <v>100000</v>
      </c>
      <c r="R10" s="149">
        <f>IF(invoice[[#This Row],[میزان سفارش]]-invoice[[#This Row],[میزان حمل شده ]]&lt;0,0,invoice[[#This Row],[میزان سفارش]]-invoice[[#This Row],[میزان حمل شده ]])</f>
        <v>0</v>
      </c>
      <c r="S10" s="149">
        <f>invoice[[#This Row],[میزان حمل نشده ]]*invoice[[#This Row],[فی]]</f>
        <v>0</v>
      </c>
    </row>
    <row r="11" spans="1:19" ht="30.6" customHeight="1">
      <c r="A11" s="150" t="s">
        <v>48</v>
      </c>
      <c r="B11" s="150" t="s">
        <v>106</v>
      </c>
      <c r="C11" s="150" t="s">
        <v>139</v>
      </c>
      <c r="D11" s="150" t="s">
        <v>204</v>
      </c>
      <c r="E11" s="243">
        <v>902430</v>
      </c>
      <c r="F11" s="148">
        <v>65000</v>
      </c>
      <c r="G11" s="149" t="str">
        <f>CHOOSE(MID(invoice[[#This Row],[تاریخ]],6,2),"فروردین","اردیبهشت","خرداد","تیر","مرداد","شهریور","مهر","آبان","آذر","دی","بهمن","اسفند")</f>
        <v>فروردین</v>
      </c>
      <c r="H11" s="149">
        <f>_xlfn.NUMBERVALUE(MID(invoice[[#This Row],[تاریخ]],1,4))</f>
        <v>1403</v>
      </c>
      <c r="I11" s="149" t="s">
        <v>243</v>
      </c>
      <c r="J11" s="149" t="s">
        <v>504</v>
      </c>
      <c r="K11" s="151">
        <v>46466</v>
      </c>
      <c r="L11" s="149">
        <f>IF(invoice[[#This Row],[سال]]=year,1,0)</f>
        <v>0</v>
      </c>
      <c r="M11" s="148"/>
      <c r="N11" s="149"/>
      <c r="O11" s="194">
        <f>SUMIF(bargiri[شماره پیش فاکتور],invoice[[#This Row],[شماره پیش فاکتور]],bargiri[میزان بارگیری شده])/invoice[[#This Row],[میزان سفارش]]</f>
        <v>1</v>
      </c>
      <c r="P11" s="149" t="str">
        <f>IF(invoice[[#This Row],[نوع سفارش]]="غیرفعال","عادی",invoice[[#This Row],[نوع سفارش]])</f>
        <v>عادی</v>
      </c>
      <c r="Q11" s="149">
        <f>SUMIFS('جزییات بارگیری'!D:D,'جزییات بارگیری'!C:C,invoice[[#This Row],[شماره پیش فاکتور]])</f>
        <v>902430</v>
      </c>
      <c r="R11" s="149">
        <f>IF(invoice[[#This Row],[میزان سفارش]]-invoice[[#This Row],[میزان حمل شده ]]&lt;0,0,invoice[[#This Row],[میزان سفارش]]-invoice[[#This Row],[میزان حمل شده ]])</f>
        <v>0</v>
      </c>
      <c r="S11" s="149">
        <f>invoice[[#This Row],[میزان حمل نشده ]]*invoice[[#This Row],[فی]]</f>
        <v>0</v>
      </c>
    </row>
    <row r="12" spans="1:19" ht="30.6" customHeight="1">
      <c r="A12" s="150" t="s">
        <v>49</v>
      </c>
      <c r="B12" s="150" t="s">
        <v>106</v>
      </c>
      <c r="C12" s="150" t="s">
        <v>139</v>
      </c>
      <c r="D12" s="151" t="s">
        <v>200</v>
      </c>
      <c r="E12" s="243">
        <v>100000</v>
      </c>
      <c r="F12" s="148">
        <v>50000</v>
      </c>
      <c r="G12" s="149" t="str">
        <f>CHOOSE(MID(invoice[[#This Row],[تاریخ]],6,2),"فروردین","اردیبهشت","خرداد","تیر","مرداد","شهریور","مهر","آبان","آذر","دی","بهمن","اسفند")</f>
        <v>فروردین</v>
      </c>
      <c r="H12" s="149">
        <f>_xlfn.NUMBERVALUE(MID(invoice[[#This Row],[تاریخ]],1,4))</f>
        <v>1403</v>
      </c>
      <c r="I12" s="149" t="s">
        <v>243</v>
      </c>
      <c r="J12" s="149" t="s">
        <v>504</v>
      </c>
      <c r="K12" s="151">
        <v>46466</v>
      </c>
      <c r="L12" s="149">
        <f>IF(invoice[[#This Row],[سال]]=year,1,0)</f>
        <v>0</v>
      </c>
      <c r="M12" s="148"/>
      <c r="N12" s="149"/>
      <c r="O12" s="194">
        <f>SUMIF(bargiri[شماره پیش فاکتور],invoice[[#This Row],[شماره پیش فاکتور]],bargiri[میزان بارگیری شده])/invoice[[#This Row],[میزان سفارش]]</f>
        <v>1</v>
      </c>
      <c r="P12" s="149" t="str">
        <f>IF(invoice[[#This Row],[نوع سفارش]]="غیرفعال","عادی",invoice[[#This Row],[نوع سفارش]])</f>
        <v>عادی</v>
      </c>
      <c r="Q12" s="149">
        <f>SUMIFS('جزییات بارگیری'!D:D,'جزییات بارگیری'!C:C,invoice[[#This Row],[شماره پیش فاکتور]])</f>
        <v>100000</v>
      </c>
      <c r="R12" s="149">
        <f>IF(invoice[[#This Row],[میزان سفارش]]-invoice[[#This Row],[میزان حمل شده ]]&lt;0,0,invoice[[#This Row],[میزان سفارش]]-invoice[[#This Row],[میزان حمل شده ]])</f>
        <v>0</v>
      </c>
      <c r="S12" s="149">
        <f>invoice[[#This Row],[میزان حمل نشده ]]*invoice[[#This Row],[فی]]</f>
        <v>0</v>
      </c>
    </row>
    <row r="13" spans="1:19" ht="30.6" customHeight="1">
      <c r="A13" s="150" t="s">
        <v>58</v>
      </c>
      <c r="B13" s="150" t="s">
        <v>111</v>
      </c>
      <c r="C13" s="150" t="s">
        <v>139</v>
      </c>
      <c r="D13" s="151" t="s">
        <v>211</v>
      </c>
      <c r="E13" s="243">
        <v>3550</v>
      </c>
      <c r="F13" s="148">
        <v>80000</v>
      </c>
      <c r="G13" s="149" t="str">
        <f>CHOOSE(MID(invoice[[#This Row],[تاریخ]],6,2),"فروردین","اردیبهشت","خرداد","تیر","مرداد","شهریور","مهر","آبان","آذر","دی","بهمن","اسفند")</f>
        <v>فروردین</v>
      </c>
      <c r="H13" s="149">
        <f>_xlfn.NUMBERVALUE(MID(invoice[[#This Row],[تاریخ]],1,4))</f>
        <v>1403</v>
      </c>
      <c r="I13" s="149" t="s">
        <v>243</v>
      </c>
      <c r="J13" s="149" t="s">
        <v>728</v>
      </c>
      <c r="K13" s="151">
        <v>46466</v>
      </c>
      <c r="L13" s="149">
        <f>IF(invoice[[#This Row],[سال]]=year,1,0)</f>
        <v>0</v>
      </c>
      <c r="M13" s="148"/>
      <c r="N13" s="149"/>
      <c r="O13" s="194">
        <f>SUMIF(bargiri[شماره پیش فاکتور],invoice[[#This Row],[شماره پیش فاکتور]],bargiri[میزان بارگیری شده])/invoice[[#This Row],[میزان سفارش]]</f>
        <v>1</v>
      </c>
      <c r="P13" s="149" t="str">
        <f>IF(invoice[[#This Row],[نوع سفارش]]="غیرفعال","عادی",invoice[[#This Row],[نوع سفارش]])</f>
        <v>عادی</v>
      </c>
      <c r="Q13" s="149">
        <f>SUMIFS('جزییات بارگیری'!D:D,'جزییات بارگیری'!C:C,invoice[[#This Row],[شماره پیش فاکتور]])</f>
        <v>3550</v>
      </c>
      <c r="R13" s="149">
        <f>IF(invoice[[#This Row],[میزان سفارش]]-invoice[[#This Row],[میزان حمل شده ]]&lt;0,0,invoice[[#This Row],[میزان سفارش]]-invoice[[#This Row],[میزان حمل شده ]])</f>
        <v>0</v>
      </c>
      <c r="S13" s="149">
        <f>invoice[[#This Row],[میزان حمل نشده ]]*invoice[[#This Row],[فی]]</f>
        <v>0</v>
      </c>
    </row>
    <row r="14" spans="1:19" ht="30.6" customHeight="1">
      <c r="A14" s="150" t="s">
        <v>59</v>
      </c>
      <c r="B14" s="150" t="s">
        <v>111</v>
      </c>
      <c r="C14" s="150" t="s">
        <v>139</v>
      </c>
      <c r="D14" s="151" t="s">
        <v>211</v>
      </c>
      <c r="E14" s="243">
        <v>150000</v>
      </c>
      <c r="F14" s="148">
        <v>80000</v>
      </c>
      <c r="G14" s="149" t="str">
        <f>CHOOSE(MID(invoice[[#This Row],[تاریخ]],6,2),"فروردین","اردیبهشت","خرداد","تیر","مرداد","شهریور","مهر","آبان","آذر","دی","بهمن","اسفند")</f>
        <v>فروردین</v>
      </c>
      <c r="H14" s="149">
        <f>_xlfn.NUMBERVALUE(MID(invoice[[#This Row],[تاریخ]],1,4))</f>
        <v>1403</v>
      </c>
      <c r="I14" s="149" t="s">
        <v>243</v>
      </c>
      <c r="J14" s="149" t="s">
        <v>728</v>
      </c>
      <c r="K14" s="151">
        <v>46466</v>
      </c>
      <c r="L14" s="149">
        <f>IF(invoice[[#This Row],[سال]]=year,1,0)</f>
        <v>0</v>
      </c>
      <c r="M14" s="148"/>
      <c r="N14" s="149"/>
      <c r="O14" s="194">
        <f>SUMIF(bargiri[شماره پیش فاکتور],invoice[[#This Row],[شماره پیش فاکتور]],bargiri[میزان بارگیری شده])/invoice[[#This Row],[میزان سفارش]]</f>
        <v>1</v>
      </c>
      <c r="P14" s="149" t="str">
        <f>IF(invoice[[#This Row],[نوع سفارش]]="غیرفعال","عادی",invoice[[#This Row],[نوع سفارش]])</f>
        <v>عادی</v>
      </c>
      <c r="Q14" s="149">
        <f>SUMIFS('جزییات بارگیری'!D:D,'جزییات بارگیری'!C:C,invoice[[#This Row],[شماره پیش فاکتور]])</f>
        <v>150000</v>
      </c>
      <c r="R14" s="149">
        <f>IF(invoice[[#This Row],[میزان سفارش]]-invoice[[#This Row],[میزان حمل شده ]]&lt;0,0,invoice[[#This Row],[میزان سفارش]]-invoice[[#This Row],[میزان حمل شده ]])</f>
        <v>0</v>
      </c>
      <c r="S14" s="149">
        <f>invoice[[#This Row],[میزان حمل نشده ]]*invoice[[#This Row],[فی]]</f>
        <v>0</v>
      </c>
    </row>
    <row r="15" spans="1:19" ht="30.6" customHeight="1">
      <c r="A15" s="150" t="s">
        <v>66</v>
      </c>
      <c r="B15" s="150" t="s">
        <v>115</v>
      </c>
      <c r="C15" s="150" t="s">
        <v>139</v>
      </c>
      <c r="D15" s="151" t="s">
        <v>216</v>
      </c>
      <c r="E15" s="243">
        <v>323670</v>
      </c>
      <c r="F15" s="148">
        <v>45000</v>
      </c>
      <c r="G15" s="149" t="str">
        <f>CHOOSE(MID(invoice[[#This Row],[تاریخ]],6,2),"فروردین","اردیبهشت","خرداد","تیر","مرداد","شهریور","مهر","آبان","آذر","دی","بهمن","اسفند")</f>
        <v>فروردین</v>
      </c>
      <c r="H15" s="149">
        <f>_xlfn.NUMBERVALUE(MID(invoice[[#This Row],[تاریخ]],1,4))</f>
        <v>1403</v>
      </c>
      <c r="I15" s="149" t="s">
        <v>554</v>
      </c>
      <c r="J15" s="149" t="s">
        <v>728</v>
      </c>
      <c r="K15" s="151">
        <v>46466</v>
      </c>
      <c r="L15" s="149">
        <f>IF(invoice[[#This Row],[سال]]=year,1,0)</f>
        <v>0</v>
      </c>
      <c r="M15" s="148"/>
      <c r="N15" s="149"/>
      <c r="O15" s="194">
        <f>SUMIF(bargiri[شماره پیش فاکتور],invoice[[#This Row],[شماره پیش فاکتور]],bargiri[میزان بارگیری شده])/invoice[[#This Row],[میزان سفارش]]</f>
        <v>1</v>
      </c>
      <c r="P15" s="149" t="str">
        <f>IF(invoice[[#This Row],[نوع سفارش]]="غیرفعال","عادی",invoice[[#This Row],[نوع سفارش]])</f>
        <v>عادی</v>
      </c>
      <c r="Q15" s="149">
        <f>SUMIFS('جزییات بارگیری'!D:D,'جزییات بارگیری'!C:C,invoice[[#This Row],[شماره پیش فاکتور]])</f>
        <v>323670</v>
      </c>
      <c r="R15" s="149">
        <f>IF(invoice[[#This Row],[میزان سفارش]]-invoice[[#This Row],[میزان حمل شده ]]&lt;0,0,invoice[[#This Row],[میزان سفارش]]-invoice[[#This Row],[میزان حمل شده ]])</f>
        <v>0</v>
      </c>
      <c r="S15" s="149">
        <f>invoice[[#This Row],[میزان حمل نشده ]]*invoice[[#This Row],[فی]]</f>
        <v>0</v>
      </c>
    </row>
    <row r="16" spans="1:19" ht="30.6" customHeight="1">
      <c r="A16" s="150" t="s">
        <v>77</v>
      </c>
      <c r="B16" s="150" t="s">
        <v>116</v>
      </c>
      <c r="C16" s="150" t="s">
        <v>139</v>
      </c>
      <c r="D16" s="151" t="s">
        <v>222</v>
      </c>
      <c r="E16" s="243">
        <v>3084015</v>
      </c>
      <c r="F16" s="148">
        <v>68500</v>
      </c>
      <c r="G16" s="149" t="str">
        <f>CHOOSE(MID(invoice[[#This Row],[تاریخ]],6,2),"فروردین","اردیبهشت","خرداد","تیر","مرداد","شهریور","مهر","آبان","آذر","دی","بهمن","اسفند")</f>
        <v>فروردین</v>
      </c>
      <c r="H16" s="149">
        <f>_xlfn.NUMBERVALUE(MID(invoice[[#This Row],[تاریخ]],1,4))</f>
        <v>1403</v>
      </c>
      <c r="I16" s="149" t="s">
        <v>243</v>
      </c>
      <c r="J16" s="149" t="s">
        <v>504</v>
      </c>
      <c r="K16" s="151">
        <v>46466</v>
      </c>
      <c r="L16" s="149">
        <f>IF(invoice[[#This Row],[سال]]=year,1,0)</f>
        <v>0</v>
      </c>
      <c r="M16" s="148"/>
      <c r="N16" s="149"/>
      <c r="O16" s="194">
        <f>SUMIF(bargiri[شماره پیش فاکتور],invoice[[#This Row],[شماره پیش فاکتور]],bargiri[میزان بارگیری شده])/invoice[[#This Row],[میزان سفارش]]</f>
        <v>1</v>
      </c>
      <c r="P16" s="149" t="str">
        <f>IF(invoice[[#This Row],[نوع سفارش]]="غیرفعال","عادی",invoice[[#This Row],[نوع سفارش]])</f>
        <v>عادی</v>
      </c>
      <c r="Q16" s="149">
        <f>SUMIFS('جزییات بارگیری'!D:D,'جزییات بارگیری'!C:C,invoice[[#This Row],[شماره پیش فاکتور]])</f>
        <v>3084015</v>
      </c>
      <c r="R16" s="149">
        <f>IF(invoice[[#This Row],[میزان سفارش]]-invoice[[#This Row],[میزان حمل شده ]]&lt;0,0,invoice[[#This Row],[میزان سفارش]]-invoice[[#This Row],[میزان حمل شده ]])</f>
        <v>0</v>
      </c>
      <c r="S16" s="149">
        <f>invoice[[#This Row],[میزان حمل نشده ]]*invoice[[#This Row],[فی]]</f>
        <v>0</v>
      </c>
    </row>
    <row r="17" spans="1:19" ht="30.6" customHeight="1">
      <c r="A17" s="150" t="s">
        <v>82</v>
      </c>
      <c r="B17" s="150" t="s">
        <v>117</v>
      </c>
      <c r="C17" s="150" t="s">
        <v>139</v>
      </c>
      <c r="D17" s="151" t="s">
        <v>188</v>
      </c>
      <c r="E17" s="243">
        <v>500000</v>
      </c>
      <c r="F17" s="148">
        <v>70000</v>
      </c>
      <c r="G17" s="149" t="str">
        <f>CHOOSE(MID(invoice[[#This Row],[تاریخ]],6,2),"فروردین","اردیبهشت","خرداد","تیر","مرداد","شهریور","مهر","آبان","آذر","دی","بهمن","اسفند")</f>
        <v>فروردین</v>
      </c>
      <c r="H17" s="149">
        <f>_xlfn.NUMBERVALUE(MID(invoice[[#This Row],[تاریخ]],1,4))</f>
        <v>1403</v>
      </c>
      <c r="I17" s="149" t="s">
        <v>243</v>
      </c>
      <c r="J17" s="149" t="s">
        <v>504</v>
      </c>
      <c r="K17" s="151">
        <v>46466</v>
      </c>
      <c r="L17" s="149">
        <f>IF(invoice[[#This Row],[سال]]=year,1,0)</f>
        <v>0</v>
      </c>
      <c r="M17" s="148"/>
      <c r="N17" s="149"/>
      <c r="O17" s="194">
        <f>SUMIF(bargiri[شماره پیش فاکتور],invoice[[#This Row],[شماره پیش فاکتور]],bargiri[میزان بارگیری شده])/invoice[[#This Row],[میزان سفارش]]</f>
        <v>1</v>
      </c>
      <c r="P17" s="149" t="str">
        <f>IF(invoice[[#This Row],[نوع سفارش]]="غیرفعال","عادی",invoice[[#This Row],[نوع سفارش]])</f>
        <v>عادی</v>
      </c>
      <c r="Q17" s="149">
        <f>SUMIFS('جزییات بارگیری'!D:D,'جزییات بارگیری'!C:C,invoice[[#This Row],[شماره پیش فاکتور]])</f>
        <v>500000</v>
      </c>
      <c r="R17" s="149">
        <f>IF(invoice[[#This Row],[میزان سفارش]]-invoice[[#This Row],[میزان حمل شده ]]&lt;0,0,invoice[[#This Row],[میزان سفارش]]-invoice[[#This Row],[میزان حمل شده ]])</f>
        <v>0</v>
      </c>
      <c r="S17" s="149">
        <f>invoice[[#This Row],[میزان حمل نشده ]]*invoice[[#This Row],[فی]]</f>
        <v>0</v>
      </c>
    </row>
    <row r="18" spans="1:19" ht="30.6" customHeight="1">
      <c r="A18" s="150" t="s">
        <v>83</v>
      </c>
      <c r="B18" s="150" t="s">
        <v>117</v>
      </c>
      <c r="C18" s="150" t="s">
        <v>139</v>
      </c>
      <c r="D18" s="151" t="s">
        <v>204</v>
      </c>
      <c r="E18" s="243">
        <v>137590</v>
      </c>
      <c r="F18" s="148">
        <v>55000</v>
      </c>
      <c r="G18" s="149" t="str">
        <f>CHOOSE(MID(invoice[[#This Row],[تاریخ]],6,2),"فروردین","اردیبهشت","خرداد","تیر","مرداد","شهریور","مهر","آبان","آذر","دی","بهمن","اسفند")</f>
        <v>فروردین</v>
      </c>
      <c r="H18" s="149">
        <f>_xlfn.NUMBERVALUE(MID(invoice[[#This Row],[تاریخ]],1,4))</f>
        <v>1403</v>
      </c>
      <c r="I18" s="149" t="s">
        <v>243</v>
      </c>
      <c r="J18" s="149" t="s">
        <v>504</v>
      </c>
      <c r="K18" s="151">
        <v>46466</v>
      </c>
      <c r="L18" s="149">
        <f>IF(invoice[[#This Row],[سال]]=year,1,0)</f>
        <v>0</v>
      </c>
      <c r="M18" s="148"/>
      <c r="N18" s="149"/>
      <c r="O18" s="194">
        <f>SUMIF(bargiri[شماره پیش فاکتور],invoice[[#This Row],[شماره پیش فاکتور]],bargiri[میزان بارگیری شده])/invoice[[#This Row],[میزان سفارش]]</f>
        <v>1</v>
      </c>
      <c r="P18" s="149" t="str">
        <f>IF(invoice[[#This Row],[نوع سفارش]]="غیرفعال","عادی",invoice[[#This Row],[نوع سفارش]])</f>
        <v>عادی</v>
      </c>
      <c r="Q18" s="149">
        <f>SUMIFS('جزییات بارگیری'!D:D,'جزییات بارگیری'!C:C,invoice[[#This Row],[شماره پیش فاکتور]])</f>
        <v>137590</v>
      </c>
      <c r="R18" s="149">
        <f>IF(invoice[[#This Row],[میزان سفارش]]-invoice[[#This Row],[میزان حمل شده ]]&lt;0,0,invoice[[#This Row],[میزان سفارش]]-invoice[[#This Row],[میزان حمل شده ]])</f>
        <v>0</v>
      </c>
      <c r="S18" s="149">
        <f>invoice[[#This Row],[میزان حمل نشده ]]*invoice[[#This Row],[فی]]</f>
        <v>0</v>
      </c>
    </row>
    <row r="19" spans="1:19" ht="30.6" customHeight="1">
      <c r="A19" s="150" t="s">
        <v>84</v>
      </c>
      <c r="B19" s="150" t="s">
        <v>118</v>
      </c>
      <c r="C19" s="150" t="s">
        <v>139</v>
      </c>
      <c r="D19" s="151" t="s">
        <v>225</v>
      </c>
      <c r="E19" s="243">
        <v>6500000</v>
      </c>
      <c r="F19" s="148">
        <v>57273</v>
      </c>
      <c r="G19" s="149" t="str">
        <f>CHOOSE(MID(invoice[[#This Row],[تاریخ]],6,2),"فروردین","اردیبهشت","خرداد","تیر","مرداد","شهریور","مهر","آبان","آذر","دی","بهمن","اسفند")</f>
        <v>فروردین</v>
      </c>
      <c r="H19" s="149">
        <f>_xlfn.NUMBERVALUE(MID(invoice[[#This Row],[تاریخ]],1,4))</f>
        <v>1403</v>
      </c>
      <c r="I19" s="149" t="s">
        <v>243</v>
      </c>
      <c r="J19" s="149" t="s">
        <v>504</v>
      </c>
      <c r="K19" s="151">
        <v>46466</v>
      </c>
      <c r="L19" s="149">
        <f>IF(invoice[[#This Row],[سال]]=year,1,0)</f>
        <v>0</v>
      </c>
      <c r="M19" s="148"/>
      <c r="N19" s="149"/>
      <c r="O19" s="194">
        <f>SUMIF(bargiri[شماره پیش فاکتور],invoice[[#This Row],[شماره پیش فاکتور]],bargiri[میزان بارگیری شده])/invoice[[#This Row],[میزان سفارش]]</f>
        <v>1</v>
      </c>
      <c r="P19" s="149" t="str">
        <f>IF(invoice[[#This Row],[نوع سفارش]]="غیرفعال","عادی",invoice[[#This Row],[نوع سفارش]])</f>
        <v>عادی</v>
      </c>
      <c r="Q19" s="149">
        <f>SUMIFS('جزییات بارگیری'!D:D,'جزییات بارگیری'!C:C,invoice[[#This Row],[شماره پیش فاکتور]])</f>
        <v>6500000</v>
      </c>
      <c r="R19" s="149">
        <f>IF(invoice[[#This Row],[میزان سفارش]]-invoice[[#This Row],[میزان حمل شده ]]&lt;0,0,invoice[[#This Row],[میزان سفارش]]-invoice[[#This Row],[میزان حمل شده ]])</f>
        <v>0</v>
      </c>
      <c r="S19" s="149">
        <f>invoice[[#This Row],[میزان حمل نشده ]]*invoice[[#This Row],[فی]]</f>
        <v>0</v>
      </c>
    </row>
    <row r="20" spans="1:19" ht="30.6" customHeight="1">
      <c r="A20" s="150" t="s">
        <v>85</v>
      </c>
      <c r="B20" s="150" t="s">
        <v>118</v>
      </c>
      <c r="C20" s="150" t="s">
        <v>139</v>
      </c>
      <c r="D20" s="151" t="s">
        <v>226</v>
      </c>
      <c r="E20" s="243">
        <v>1882350</v>
      </c>
      <c r="F20" s="148">
        <v>56881</v>
      </c>
      <c r="G20" s="149" t="str">
        <f>CHOOSE(MID(invoice[[#This Row],[تاریخ]],6,2),"فروردین","اردیبهشت","خرداد","تیر","مرداد","شهریور","مهر","آبان","آذر","دی","بهمن","اسفند")</f>
        <v>فروردین</v>
      </c>
      <c r="H20" s="149">
        <f>_xlfn.NUMBERVALUE(MID(invoice[[#This Row],[تاریخ]],1,4))</f>
        <v>1403</v>
      </c>
      <c r="I20" s="149" t="s">
        <v>243</v>
      </c>
      <c r="J20" s="149" t="s">
        <v>504</v>
      </c>
      <c r="K20" s="151">
        <v>46466</v>
      </c>
      <c r="L20" s="149">
        <f>IF(invoice[[#This Row],[سال]]=year,1,0)</f>
        <v>0</v>
      </c>
      <c r="M20" s="148"/>
      <c r="N20" s="149"/>
      <c r="O20" s="194">
        <f>SUMIF(bargiri[شماره پیش فاکتور],invoice[[#This Row],[شماره پیش فاکتور]],bargiri[میزان بارگیری شده])/invoice[[#This Row],[میزان سفارش]]</f>
        <v>1</v>
      </c>
      <c r="P20" s="149" t="str">
        <f>IF(invoice[[#This Row],[نوع سفارش]]="غیرفعال","عادی",invoice[[#This Row],[نوع سفارش]])</f>
        <v>عادی</v>
      </c>
      <c r="Q20" s="149">
        <f>SUMIFS('جزییات بارگیری'!D:D,'جزییات بارگیری'!C:C,invoice[[#This Row],[شماره پیش فاکتور]])</f>
        <v>1882350</v>
      </c>
      <c r="R20" s="149">
        <f>IF(invoice[[#This Row],[میزان سفارش]]-invoice[[#This Row],[میزان حمل شده ]]&lt;0,0,invoice[[#This Row],[میزان سفارش]]-invoice[[#This Row],[میزان حمل شده ]])</f>
        <v>0</v>
      </c>
      <c r="S20" s="149">
        <f>invoice[[#This Row],[میزان حمل نشده ]]*invoice[[#This Row],[فی]]</f>
        <v>0</v>
      </c>
    </row>
    <row r="21" spans="1:19" ht="30.6" customHeight="1">
      <c r="A21" s="150" t="s">
        <v>95</v>
      </c>
      <c r="B21" s="150" t="s">
        <v>124</v>
      </c>
      <c r="C21" s="150" t="s">
        <v>139</v>
      </c>
      <c r="D21" s="151" t="s">
        <v>216</v>
      </c>
      <c r="E21" s="243">
        <v>44910</v>
      </c>
      <c r="F21" s="148">
        <v>75000</v>
      </c>
      <c r="G21" s="149" t="str">
        <f>CHOOSE(MID(invoice[[#This Row],[تاریخ]],6,2),"فروردین","اردیبهشت","خرداد","تیر","مرداد","شهریور","مهر","آبان","آذر","دی","بهمن","اسفند")</f>
        <v>فروردین</v>
      </c>
      <c r="H21" s="149">
        <f>_xlfn.NUMBERVALUE(MID(invoice[[#This Row],[تاریخ]],1,4))</f>
        <v>1403</v>
      </c>
      <c r="I21" s="149" t="s">
        <v>243</v>
      </c>
      <c r="J21" s="149" t="s">
        <v>504</v>
      </c>
      <c r="K21" s="151">
        <v>46466</v>
      </c>
      <c r="L21" s="149">
        <f>IF(invoice[[#This Row],[سال]]=year,1,0)</f>
        <v>0</v>
      </c>
      <c r="M21" s="148"/>
      <c r="N21" s="149"/>
      <c r="O21" s="194">
        <f>SUMIF(bargiri[شماره پیش فاکتور],invoice[[#This Row],[شماره پیش فاکتور]],bargiri[میزان بارگیری شده])/invoice[[#This Row],[میزان سفارش]]</f>
        <v>1</v>
      </c>
      <c r="P21" s="149" t="str">
        <f>IF(invoice[[#This Row],[نوع سفارش]]="غیرفعال","عادی",invoice[[#This Row],[نوع سفارش]])</f>
        <v>عادی</v>
      </c>
      <c r="Q21" s="149">
        <f>SUMIFS('جزییات بارگیری'!D:D,'جزییات بارگیری'!C:C,invoice[[#This Row],[شماره پیش فاکتور]])</f>
        <v>44910</v>
      </c>
      <c r="R21" s="149">
        <f>IF(invoice[[#This Row],[میزان سفارش]]-invoice[[#This Row],[میزان حمل شده ]]&lt;0,0,invoice[[#This Row],[میزان سفارش]]-invoice[[#This Row],[میزان حمل شده ]])</f>
        <v>0</v>
      </c>
      <c r="S21" s="149">
        <f>invoice[[#This Row],[میزان حمل نشده ]]*invoice[[#This Row],[فی]]</f>
        <v>0</v>
      </c>
    </row>
    <row r="22" spans="1:19" ht="30.6" customHeight="1">
      <c r="A22" s="150" t="s">
        <v>55</v>
      </c>
      <c r="B22" s="150" t="s">
        <v>108</v>
      </c>
      <c r="C22" s="150" t="s">
        <v>162</v>
      </c>
      <c r="D22" s="151" t="s">
        <v>209</v>
      </c>
      <c r="E22" s="243">
        <v>20000</v>
      </c>
      <c r="F22" s="148">
        <v>80000</v>
      </c>
      <c r="G22" s="149" t="str">
        <f>CHOOSE(MID(invoice[[#This Row],[تاریخ]],6,2),"فروردین","اردیبهشت","خرداد","تیر","مرداد","شهریور","مهر","آبان","آذر","دی","بهمن","اسفند")</f>
        <v>فروردین</v>
      </c>
      <c r="H22" s="149">
        <f>_xlfn.NUMBERVALUE(MID(invoice[[#This Row],[تاریخ]],1,4))</f>
        <v>1403</v>
      </c>
      <c r="I22" s="149" t="s">
        <v>243</v>
      </c>
      <c r="J22" s="149" t="s">
        <v>728</v>
      </c>
      <c r="K22" s="151">
        <v>46466</v>
      </c>
      <c r="L22" s="149">
        <f>IF(invoice[[#This Row],[سال]]=year,1,0)</f>
        <v>0</v>
      </c>
      <c r="M22" s="148"/>
      <c r="N22" s="149"/>
      <c r="O22" s="194">
        <f>SUMIF(bargiri[شماره پیش فاکتور],invoice[[#This Row],[شماره پیش فاکتور]],bargiri[میزان بارگیری شده])/invoice[[#This Row],[میزان سفارش]]</f>
        <v>1.0105</v>
      </c>
      <c r="P22" s="149" t="str">
        <f>IF(invoice[[#This Row],[نوع سفارش]]="غیرفعال","عادی",invoice[[#This Row],[نوع سفارش]])</f>
        <v>عادی</v>
      </c>
      <c r="Q22" s="149">
        <f>SUMIFS('جزییات بارگیری'!D:D,'جزییات بارگیری'!C:C,invoice[[#This Row],[شماره پیش فاکتور]])</f>
        <v>20210</v>
      </c>
      <c r="R22" s="149">
        <f>IF(invoice[[#This Row],[میزان سفارش]]-invoice[[#This Row],[میزان حمل شده ]]&lt;0,0,invoice[[#This Row],[میزان سفارش]]-invoice[[#This Row],[میزان حمل شده ]])</f>
        <v>0</v>
      </c>
      <c r="S22" s="149">
        <f>invoice[[#This Row],[میزان حمل نشده ]]*invoice[[#This Row],[فی]]</f>
        <v>0</v>
      </c>
    </row>
    <row r="23" spans="1:19" ht="30.6" customHeight="1">
      <c r="A23" s="150" t="s">
        <v>46</v>
      </c>
      <c r="B23" s="150" t="s">
        <v>106</v>
      </c>
      <c r="C23" s="150" t="s">
        <v>158</v>
      </c>
      <c r="D23" s="151" t="s">
        <v>167</v>
      </c>
      <c r="E23" s="243">
        <v>200000</v>
      </c>
      <c r="F23" s="148">
        <v>70000</v>
      </c>
      <c r="G23" s="149" t="str">
        <f>CHOOSE(MID(invoice[[#This Row],[تاریخ]],6,2),"فروردین","اردیبهشت","خرداد","تیر","مرداد","شهریور","مهر","آبان","آذر","دی","بهمن","اسفند")</f>
        <v>فروردین</v>
      </c>
      <c r="H23" s="149">
        <f>_xlfn.NUMBERVALUE(MID(invoice[[#This Row],[تاریخ]],1,4))</f>
        <v>1403</v>
      </c>
      <c r="I23" s="149" t="s">
        <v>243</v>
      </c>
      <c r="J23" s="149" t="s">
        <v>504</v>
      </c>
      <c r="K23" s="151">
        <v>46466</v>
      </c>
      <c r="L23" s="149">
        <f>IF(invoice[[#This Row],[سال]]=year,1,0)</f>
        <v>0</v>
      </c>
      <c r="M23" s="148"/>
      <c r="N23" s="149"/>
      <c r="O23" s="194">
        <f>SUMIF(bargiri[شماره پیش فاکتور],invoice[[#This Row],[شماره پیش فاکتور]],bargiri[میزان بارگیری شده])/invoice[[#This Row],[میزان سفارش]]</f>
        <v>1</v>
      </c>
      <c r="P23" s="149" t="str">
        <f>IF(invoice[[#This Row],[نوع سفارش]]="غیرفعال","عادی",invoice[[#This Row],[نوع سفارش]])</f>
        <v>عادی</v>
      </c>
      <c r="Q23" s="149">
        <f>SUMIFS('جزییات بارگیری'!D:D,'جزییات بارگیری'!C:C,invoice[[#This Row],[شماره پیش فاکتور]])</f>
        <v>200000</v>
      </c>
      <c r="R23" s="149">
        <f>IF(invoice[[#This Row],[میزان سفارش]]-invoice[[#This Row],[میزان حمل شده ]]&lt;0,0,invoice[[#This Row],[میزان سفارش]]-invoice[[#This Row],[میزان حمل شده ]])</f>
        <v>0</v>
      </c>
      <c r="S23" s="149">
        <f>invoice[[#This Row],[میزان حمل نشده ]]*invoice[[#This Row],[فی]]</f>
        <v>0</v>
      </c>
    </row>
    <row r="24" spans="1:19" ht="30.6" customHeight="1">
      <c r="A24" s="150" t="s">
        <v>32</v>
      </c>
      <c r="B24" s="150" t="s">
        <v>103</v>
      </c>
      <c r="C24" s="150" t="s">
        <v>151</v>
      </c>
      <c r="D24" s="151" t="s">
        <v>151</v>
      </c>
      <c r="E24" s="243">
        <v>50000</v>
      </c>
      <c r="F24" s="148">
        <v>80000</v>
      </c>
      <c r="G24" s="149" t="str">
        <f>CHOOSE(MID(invoice[[#This Row],[تاریخ]],6,2),"فروردین","اردیبهشت","خرداد","تیر","مرداد","شهریور","مهر","آبان","آذر","دی","بهمن","اسفند")</f>
        <v>فروردین</v>
      </c>
      <c r="H24" s="149">
        <f>_xlfn.NUMBERVALUE(MID(invoice[[#This Row],[تاریخ]],1,4))</f>
        <v>1403</v>
      </c>
      <c r="I24" s="149" t="s">
        <v>243</v>
      </c>
      <c r="J24" s="149" t="s">
        <v>504</v>
      </c>
      <c r="K24" s="151">
        <v>46466</v>
      </c>
      <c r="L24" s="149">
        <f>IF(invoice[[#This Row],[سال]]=year,1,0)</f>
        <v>0</v>
      </c>
      <c r="M24" s="148"/>
      <c r="N24" s="149"/>
      <c r="O24" s="194">
        <f>SUMIF(bargiri[شماره پیش فاکتور],invoice[[#This Row],[شماره پیش فاکتور]],bargiri[میزان بارگیری شده])/invoice[[#This Row],[میزان سفارش]]</f>
        <v>1</v>
      </c>
      <c r="P24" s="149" t="str">
        <f>IF(invoice[[#This Row],[نوع سفارش]]="غیرفعال","عادی",invoice[[#This Row],[نوع سفارش]])</f>
        <v>عادی</v>
      </c>
      <c r="Q24" s="149">
        <f>SUMIFS('جزییات بارگیری'!D:D,'جزییات بارگیری'!C:C,invoice[[#This Row],[شماره پیش فاکتور]])</f>
        <v>50000</v>
      </c>
      <c r="R24" s="149">
        <f>IF(invoice[[#This Row],[میزان سفارش]]-invoice[[#This Row],[میزان حمل شده ]]&lt;0,0,invoice[[#This Row],[میزان سفارش]]-invoice[[#This Row],[میزان حمل شده ]])</f>
        <v>0</v>
      </c>
      <c r="S24" s="149">
        <f>invoice[[#This Row],[میزان حمل نشده ]]*invoice[[#This Row],[فی]]</f>
        <v>0</v>
      </c>
    </row>
    <row r="25" spans="1:19" ht="30.6" customHeight="1">
      <c r="A25" s="150" t="s">
        <v>54</v>
      </c>
      <c r="B25" s="150" t="s">
        <v>108</v>
      </c>
      <c r="C25" s="150" t="s">
        <v>151</v>
      </c>
      <c r="D25" s="151" t="s">
        <v>150</v>
      </c>
      <c r="E25" s="243">
        <v>20000</v>
      </c>
      <c r="F25" s="148">
        <v>80000</v>
      </c>
      <c r="G25" s="149" t="str">
        <f>CHOOSE(MID(invoice[[#This Row],[تاریخ]],6,2),"فروردین","اردیبهشت","خرداد","تیر","مرداد","شهریور","مهر","آبان","آذر","دی","بهمن","اسفند")</f>
        <v>فروردین</v>
      </c>
      <c r="H25" s="149">
        <f>_xlfn.NUMBERVALUE(MID(invoice[[#This Row],[تاریخ]],1,4))</f>
        <v>1403</v>
      </c>
      <c r="I25" s="149" t="s">
        <v>243</v>
      </c>
      <c r="J25" s="149" t="s">
        <v>728</v>
      </c>
      <c r="K25" s="151">
        <v>46466</v>
      </c>
      <c r="L25" s="149">
        <f>IF(invoice[[#This Row],[سال]]=year,1,0)</f>
        <v>0</v>
      </c>
      <c r="M25" s="148"/>
      <c r="N25" s="149"/>
      <c r="O25" s="194">
        <f>SUMIF(bargiri[شماره پیش فاکتور],invoice[[#This Row],[شماره پیش فاکتور]],bargiri[میزان بارگیری شده])/invoice[[#This Row],[میزان سفارش]]</f>
        <v>1.0035000000000001</v>
      </c>
      <c r="P25" s="149" t="str">
        <f>IF(invoice[[#This Row],[نوع سفارش]]="غیرفعال","عادی",invoice[[#This Row],[نوع سفارش]])</f>
        <v>عادی</v>
      </c>
      <c r="Q25" s="149">
        <f>SUMIFS('جزییات بارگیری'!D:D,'جزییات بارگیری'!C:C,invoice[[#This Row],[شماره پیش فاکتور]])</f>
        <v>20070</v>
      </c>
      <c r="R25" s="149">
        <f>IF(invoice[[#This Row],[میزان سفارش]]-invoice[[#This Row],[میزان حمل شده ]]&lt;0,0,invoice[[#This Row],[میزان سفارش]]-invoice[[#This Row],[میزان حمل شده ]])</f>
        <v>0</v>
      </c>
      <c r="S25" s="149">
        <f>invoice[[#This Row],[میزان حمل نشده ]]*invoice[[#This Row],[فی]]</f>
        <v>0</v>
      </c>
    </row>
    <row r="26" spans="1:19" ht="30.6" customHeight="1">
      <c r="A26" s="150" t="s">
        <v>26</v>
      </c>
      <c r="B26" s="150" t="s">
        <v>102</v>
      </c>
      <c r="C26" s="150" t="s">
        <v>147</v>
      </c>
      <c r="D26" s="151" t="s">
        <v>188</v>
      </c>
      <c r="E26" s="243">
        <v>400000</v>
      </c>
      <c r="F26" s="148">
        <v>70000</v>
      </c>
      <c r="G26" s="149" t="str">
        <f>CHOOSE(MID(invoice[[#This Row],[تاریخ]],6,2),"فروردین","اردیبهشت","خرداد","تیر","مرداد","شهریور","مهر","آبان","آذر","دی","بهمن","اسفند")</f>
        <v>فروردین</v>
      </c>
      <c r="H26" s="149">
        <f>_xlfn.NUMBERVALUE(MID(invoice[[#This Row],[تاریخ]],1,4))</f>
        <v>1403</v>
      </c>
      <c r="I26" s="149" t="s">
        <v>243</v>
      </c>
      <c r="J26" s="149" t="s">
        <v>504</v>
      </c>
      <c r="K26" s="151">
        <v>46466</v>
      </c>
      <c r="L26" s="149">
        <f>IF(invoice[[#This Row],[سال]]=year,1,0)</f>
        <v>0</v>
      </c>
      <c r="M26" s="148"/>
      <c r="N26" s="149"/>
      <c r="O26" s="194">
        <f>SUMIF(bargiri[شماره پیش فاکتور],invoice[[#This Row],[شماره پیش فاکتور]],bargiri[میزان بارگیری شده])/invoice[[#This Row],[میزان سفارش]]</f>
        <v>1</v>
      </c>
      <c r="P26" s="149" t="str">
        <f>IF(invoice[[#This Row],[نوع سفارش]]="غیرفعال","عادی",invoice[[#This Row],[نوع سفارش]])</f>
        <v>عادی</v>
      </c>
      <c r="Q26" s="149">
        <f>SUMIFS('جزییات بارگیری'!D:D,'جزییات بارگیری'!C:C,invoice[[#This Row],[شماره پیش فاکتور]])</f>
        <v>400000</v>
      </c>
      <c r="R26" s="149">
        <f>IF(invoice[[#This Row],[میزان سفارش]]-invoice[[#This Row],[میزان حمل شده ]]&lt;0,0,invoice[[#This Row],[میزان سفارش]]-invoice[[#This Row],[میزان حمل شده ]])</f>
        <v>0</v>
      </c>
      <c r="S26" s="149">
        <f>invoice[[#This Row],[میزان حمل نشده ]]*invoice[[#This Row],[فی]]</f>
        <v>0</v>
      </c>
    </row>
    <row r="27" spans="1:19" ht="30.6" customHeight="1">
      <c r="A27" s="150" t="s">
        <v>31</v>
      </c>
      <c r="B27" s="150" t="s">
        <v>103</v>
      </c>
      <c r="C27" s="150" t="s">
        <v>150</v>
      </c>
      <c r="D27" s="151" t="s">
        <v>200</v>
      </c>
      <c r="E27" s="243">
        <v>100000</v>
      </c>
      <c r="F27" s="148">
        <v>90000</v>
      </c>
      <c r="G27" s="149" t="str">
        <f>CHOOSE(MID(invoice[[#This Row],[تاریخ]],6,2),"فروردین","اردیبهشت","خرداد","تیر","مرداد","شهریور","مهر","آبان","آذر","دی","بهمن","اسفند")</f>
        <v>اردیبهشت</v>
      </c>
      <c r="H27" s="149">
        <f>_xlfn.NUMBERVALUE(MID(invoice[[#This Row],[تاریخ]],1,4))</f>
        <v>1403</v>
      </c>
      <c r="I27" s="149" t="s">
        <v>243</v>
      </c>
      <c r="J27" s="149" t="s">
        <v>504</v>
      </c>
      <c r="K27" s="151">
        <v>46466</v>
      </c>
      <c r="L27" s="149">
        <f>IF(invoice[[#This Row],[سال]]=year,1,0)</f>
        <v>0</v>
      </c>
      <c r="M27" s="148"/>
      <c r="N27" s="149"/>
      <c r="O27" s="194">
        <f>SUMIF(bargiri[شماره پیش فاکتور],invoice[[#This Row],[شماره پیش فاکتور]],bargiri[میزان بارگیری شده])/invoice[[#This Row],[میزان سفارش]]</f>
        <v>1</v>
      </c>
      <c r="P27" s="149" t="str">
        <f>IF(invoice[[#This Row],[نوع سفارش]]="غیرفعال","عادی",invoice[[#This Row],[نوع سفارش]])</f>
        <v>عادی</v>
      </c>
      <c r="Q27" s="149">
        <f>SUMIFS('جزییات بارگیری'!D:D,'جزییات بارگیری'!C:C,invoice[[#This Row],[شماره پیش فاکتور]])</f>
        <v>100000</v>
      </c>
      <c r="R27" s="149">
        <f>IF(invoice[[#This Row],[میزان سفارش]]-invoice[[#This Row],[میزان حمل شده ]]&lt;0,0,invoice[[#This Row],[میزان سفارش]]-invoice[[#This Row],[میزان حمل شده ]])</f>
        <v>0</v>
      </c>
      <c r="S27" s="149">
        <f>invoice[[#This Row],[میزان حمل نشده ]]*invoice[[#This Row],[فی]]</f>
        <v>0</v>
      </c>
    </row>
    <row r="28" spans="1:19" ht="30.6" customHeight="1">
      <c r="A28" s="150" t="s">
        <v>53</v>
      </c>
      <c r="B28" s="150" t="s">
        <v>108</v>
      </c>
      <c r="C28" s="150" t="s">
        <v>161</v>
      </c>
      <c r="D28" s="151" t="s">
        <v>208</v>
      </c>
      <c r="E28" s="243">
        <v>250000</v>
      </c>
      <c r="F28" s="148">
        <v>70000</v>
      </c>
      <c r="G28" s="149" t="str">
        <f>CHOOSE(MID(invoice[[#This Row],[تاریخ]],6,2),"فروردین","اردیبهشت","خرداد","تیر","مرداد","شهریور","مهر","آبان","آذر","دی","بهمن","اسفند")</f>
        <v>اردیبهشت</v>
      </c>
      <c r="H28" s="149">
        <f>_xlfn.NUMBERVALUE(MID(invoice[[#This Row],[تاریخ]],1,4))</f>
        <v>1403</v>
      </c>
      <c r="I28" s="149" t="s">
        <v>243</v>
      </c>
      <c r="J28" s="149" t="s">
        <v>728</v>
      </c>
      <c r="K28" s="151">
        <v>46466</v>
      </c>
      <c r="L28" s="149">
        <f>IF(invoice[[#This Row],[سال]]=year,1,0)</f>
        <v>0</v>
      </c>
      <c r="M28" s="148"/>
      <c r="N28" s="149"/>
      <c r="O28" s="194">
        <f>SUMIF(bargiri[شماره پیش فاکتور],invoice[[#This Row],[شماره پیش فاکتور]],bargiri[میزان بارگیری شده])/invoice[[#This Row],[میزان سفارش]]</f>
        <v>1</v>
      </c>
      <c r="P28" s="149" t="str">
        <f>IF(invoice[[#This Row],[نوع سفارش]]="غیرفعال","عادی",invoice[[#This Row],[نوع سفارش]])</f>
        <v>عادی</v>
      </c>
      <c r="Q28" s="149">
        <f>SUMIFS('جزییات بارگیری'!D:D,'جزییات بارگیری'!C:C,invoice[[#This Row],[شماره پیش فاکتور]])</f>
        <v>250000</v>
      </c>
      <c r="R28" s="149">
        <f>IF(invoice[[#This Row],[میزان سفارش]]-invoice[[#This Row],[میزان حمل شده ]]&lt;0,0,invoice[[#This Row],[میزان سفارش]]-invoice[[#This Row],[میزان حمل شده ]])</f>
        <v>0</v>
      </c>
      <c r="S28" s="149">
        <f>invoice[[#This Row],[میزان حمل نشده ]]*invoice[[#This Row],[فی]]</f>
        <v>0</v>
      </c>
    </row>
    <row r="29" spans="1:19" ht="30.6" customHeight="1">
      <c r="A29" s="150" t="s">
        <v>30</v>
      </c>
      <c r="B29" s="150" t="s">
        <v>103</v>
      </c>
      <c r="C29" s="150" t="s">
        <v>149</v>
      </c>
      <c r="D29" s="151" t="s">
        <v>199</v>
      </c>
      <c r="E29" s="243">
        <v>250000</v>
      </c>
      <c r="F29" s="148">
        <v>70000</v>
      </c>
      <c r="G29" s="149" t="str">
        <f>CHOOSE(MID(invoice[[#This Row],[تاریخ]],6,2),"فروردین","اردیبهشت","خرداد","تیر","مرداد","شهریور","مهر","آبان","آذر","دی","بهمن","اسفند")</f>
        <v>اردیبهشت</v>
      </c>
      <c r="H29" s="149">
        <f>_xlfn.NUMBERVALUE(MID(invoice[[#This Row],[تاریخ]],1,4))</f>
        <v>1403</v>
      </c>
      <c r="I29" s="149" t="s">
        <v>243</v>
      </c>
      <c r="J29" s="149" t="s">
        <v>504</v>
      </c>
      <c r="K29" s="151">
        <v>46466</v>
      </c>
      <c r="L29" s="149">
        <f>IF(invoice[[#This Row],[سال]]=year,1,0)</f>
        <v>0</v>
      </c>
      <c r="M29" s="148"/>
      <c r="N29" s="149"/>
      <c r="O29" s="194">
        <f>SUMIF(bargiri[شماره پیش فاکتور],invoice[[#This Row],[شماره پیش فاکتور]],bargiri[میزان بارگیری شده])/invoice[[#This Row],[میزان سفارش]]</f>
        <v>1</v>
      </c>
      <c r="P29" s="149" t="str">
        <f>IF(invoice[[#This Row],[نوع سفارش]]="غیرفعال","عادی",invoice[[#This Row],[نوع سفارش]])</f>
        <v>عادی</v>
      </c>
      <c r="Q29" s="149">
        <f>SUMIFS('جزییات بارگیری'!D:D,'جزییات بارگیری'!C:C,invoice[[#This Row],[شماره پیش فاکتور]])</f>
        <v>250000</v>
      </c>
      <c r="R29" s="149">
        <f>IF(invoice[[#This Row],[میزان سفارش]]-invoice[[#This Row],[میزان حمل شده ]]&lt;0,0,invoice[[#This Row],[میزان سفارش]]-invoice[[#This Row],[میزان حمل شده ]])</f>
        <v>0</v>
      </c>
      <c r="S29" s="149">
        <f>invoice[[#This Row],[میزان حمل نشده ]]*invoice[[#This Row],[فی]]</f>
        <v>0</v>
      </c>
    </row>
    <row r="30" spans="1:19" ht="30.6" customHeight="1">
      <c r="A30" s="150" t="s">
        <v>10</v>
      </c>
      <c r="B30" s="150" t="s">
        <v>98</v>
      </c>
      <c r="C30" s="150" t="s">
        <v>138</v>
      </c>
      <c r="D30" s="151" t="s">
        <v>187</v>
      </c>
      <c r="E30" s="243">
        <v>100000</v>
      </c>
      <c r="F30" s="148">
        <v>70000</v>
      </c>
      <c r="G30" s="149" t="str">
        <f>CHOOSE(MID(invoice[[#This Row],[تاریخ]],6,2),"فروردین","اردیبهشت","خرداد","تیر","مرداد","شهریور","مهر","آبان","آذر","دی","بهمن","اسفند")</f>
        <v>اردیبهشت</v>
      </c>
      <c r="H30" s="149">
        <f>_xlfn.NUMBERVALUE(MID(invoice[[#This Row],[تاریخ]],1,4))</f>
        <v>1403</v>
      </c>
      <c r="I30" s="149" t="s">
        <v>243</v>
      </c>
      <c r="J30" s="149" t="s">
        <v>504</v>
      </c>
      <c r="K30" s="151">
        <v>46466</v>
      </c>
      <c r="L30" s="149">
        <f>IF(invoice[[#This Row],[سال]]=year,1,0)</f>
        <v>0</v>
      </c>
      <c r="M30" s="148"/>
      <c r="N30" s="149"/>
      <c r="O30" s="194">
        <f>SUMIF(bargiri[شماره پیش فاکتور],invoice[[#This Row],[شماره پیش فاکتور]],bargiri[میزان بارگیری شده])/invoice[[#This Row],[میزان سفارش]]</f>
        <v>1</v>
      </c>
      <c r="P30" s="149" t="str">
        <f>IF(invoice[[#This Row],[نوع سفارش]]="غیرفعال","عادی",invoice[[#This Row],[نوع سفارش]])</f>
        <v>عادی</v>
      </c>
      <c r="Q30" s="149">
        <f>SUMIFS('جزییات بارگیری'!D:D,'جزییات بارگیری'!C:C,invoice[[#This Row],[شماره پیش فاکتور]])</f>
        <v>100000</v>
      </c>
      <c r="R30" s="149">
        <f>IF(invoice[[#This Row],[میزان سفارش]]-invoice[[#This Row],[میزان حمل شده ]]&lt;0,0,invoice[[#This Row],[میزان سفارش]]-invoice[[#This Row],[میزان حمل شده ]])</f>
        <v>0</v>
      </c>
      <c r="S30" s="149">
        <f>invoice[[#This Row],[میزان حمل نشده ]]*invoice[[#This Row],[فی]]</f>
        <v>0</v>
      </c>
    </row>
    <row r="31" spans="1:19" ht="30.6" customHeight="1">
      <c r="A31" s="150" t="s">
        <v>57</v>
      </c>
      <c r="B31" s="150" t="s">
        <v>110</v>
      </c>
      <c r="C31" s="150" t="s">
        <v>163</v>
      </c>
      <c r="D31" s="151" t="s">
        <v>210</v>
      </c>
      <c r="E31" s="243">
        <v>415775</v>
      </c>
      <c r="F31" s="148">
        <v>78000</v>
      </c>
      <c r="G31" s="149" t="str">
        <f>CHOOSE(MID(invoice[[#This Row],[تاریخ]],6,2),"فروردین","اردیبهشت","خرداد","تیر","مرداد","شهریور","مهر","آبان","آذر","دی","بهمن","اسفند")</f>
        <v>خرداد</v>
      </c>
      <c r="H31" s="149">
        <f>_xlfn.NUMBERVALUE(MID(invoice[[#This Row],[تاریخ]],1,4))</f>
        <v>1403</v>
      </c>
      <c r="I31" s="149" t="s">
        <v>243</v>
      </c>
      <c r="J31" s="149" t="s">
        <v>728</v>
      </c>
      <c r="K31" s="151">
        <v>46466</v>
      </c>
      <c r="L31" s="149">
        <f>IF(invoice[[#This Row],[سال]]=year,1,0)</f>
        <v>0</v>
      </c>
      <c r="M31" s="148"/>
      <c r="N31" s="149"/>
      <c r="O31" s="194">
        <f>SUMIF(bargiri[شماره پیش فاکتور],invoice[[#This Row],[شماره پیش فاکتور]],bargiri[میزان بارگیری شده])/invoice[[#This Row],[میزان سفارش]]</f>
        <v>1</v>
      </c>
      <c r="P31" s="149" t="str">
        <f>IF(invoice[[#This Row],[نوع سفارش]]="غیرفعال","عادی",invoice[[#This Row],[نوع سفارش]])</f>
        <v>عادی</v>
      </c>
      <c r="Q31" s="149">
        <f>SUMIFS('جزییات بارگیری'!D:D,'جزییات بارگیری'!C:C,invoice[[#This Row],[شماره پیش فاکتور]])</f>
        <v>415775</v>
      </c>
      <c r="R31" s="149">
        <f>IF(invoice[[#This Row],[میزان سفارش]]-invoice[[#This Row],[میزان حمل شده ]]&lt;0,0,invoice[[#This Row],[میزان سفارش]]-invoice[[#This Row],[میزان حمل شده ]])</f>
        <v>0</v>
      </c>
      <c r="S31" s="149">
        <f>invoice[[#This Row],[میزان حمل نشده ]]*invoice[[#This Row],[فی]]</f>
        <v>0</v>
      </c>
    </row>
    <row r="32" spans="1:19" ht="30.6" customHeight="1">
      <c r="A32" s="150" t="s">
        <v>25</v>
      </c>
      <c r="B32" s="150" t="s">
        <v>102</v>
      </c>
      <c r="C32" s="150" t="s">
        <v>146</v>
      </c>
      <c r="D32" s="151" t="s">
        <v>196</v>
      </c>
      <c r="E32" s="243">
        <v>200000</v>
      </c>
      <c r="F32" s="148">
        <v>65000</v>
      </c>
      <c r="G32" s="149" t="str">
        <f>CHOOSE(MID(invoice[[#This Row],[تاریخ]],6,2),"فروردین","اردیبهشت","خرداد","تیر","مرداد","شهریور","مهر","آبان","آذر","دی","بهمن","اسفند")</f>
        <v>خرداد</v>
      </c>
      <c r="H32" s="149">
        <f>_xlfn.NUMBERVALUE(MID(invoice[[#This Row],[تاریخ]],1,4))</f>
        <v>1403</v>
      </c>
      <c r="I32" s="149" t="s">
        <v>243</v>
      </c>
      <c r="J32" s="149" t="s">
        <v>504</v>
      </c>
      <c r="K32" s="151">
        <v>46466</v>
      </c>
      <c r="L32" s="149">
        <f>IF(invoice[[#This Row],[سال]]=year,1,0)</f>
        <v>0</v>
      </c>
      <c r="M32" s="148"/>
      <c r="N32" s="149"/>
      <c r="O32" s="194">
        <f>SUMIF(bargiri[شماره پیش فاکتور],invoice[[#This Row],[شماره پیش فاکتور]],bargiri[میزان بارگیری شده])/invoice[[#This Row],[میزان سفارش]]</f>
        <v>1</v>
      </c>
      <c r="P32" s="149" t="str">
        <f>IF(invoice[[#This Row],[نوع سفارش]]="غیرفعال","عادی",invoice[[#This Row],[نوع سفارش]])</f>
        <v>عادی</v>
      </c>
      <c r="Q32" s="149">
        <f>SUMIFS('جزییات بارگیری'!D:D,'جزییات بارگیری'!C:C,invoice[[#This Row],[شماره پیش فاکتور]])</f>
        <v>200000</v>
      </c>
      <c r="R32" s="149">
        <f>IF(invoice[[#This Row],[میزان سفارش]]-invoice[[#This Row],[میزان حمل شده ]]&lt;0,0,invoice[[#This Row],[میزان سفارش]]-invoice[[#This Row],[میزان حمل شده ]])</f>
        <v>0</v>
      </c>
      <c r="S32" s="149">
        <f>invoice[[#This Row],[میزان حمل نشده ]]*invoice[[#This Row],[فی]]</f>
        <v>0</v>
      </c>
    </row>
    <row r="33" spans="1:19" ht="30.6" customHeight="1">
      <c r="A33" s="150" t="s">
        <v>94</v>
      </c>
      <c r="B33" s="150" t="s">
        <v>124</v>
      </c>
      <c r="C33" s="150" t="s">
        <v>183</v>
      </c>
      <c r="D33" s="151" t="s">
        <v>200</v>
      </c>
      <c r="E33" s="243">
        <v>249655</v>
      </c>
      <c r="F33" s="148">
        <v>70000</v>
      </c>
      <c r="G33" s="149" t="str">
        <f>CHOOSE(MID(invoice[[#This Row],[تاریخ]],6,2),"فروردین","اردیبهشت","خرداد","تیر","مرداد","شهریور","مهر","آبان","آذر","دی","بهمن","اسفند")</f>
        <v>خرداد</v>
      </c>
      <c r="H33" s="149">
        <f>_xlfn.NUMBERVALUE(MID(invoice[[#This Row],[تاریخ]],1,4))</f>
        <v>1403</v>
      </c>
      <c r="I33" s="149" t="s">
        <v>554</v>
      </c>
      <c r="J33" s="149" t="s">
        <v>504</v>
      </c>
      <c r="K33" s="151">
        <v>46466</v>
      </c>
      <c r="L33" s="149">
        <f>IF(invoice[[#This Row],[سال]]=year,1,0)</f>
        <v>0</v>
      </c>
      <c r="M33" s="148"/>
      <c r="N33" s="149"/>
      <c r="O33" s="194">
        <f>SUMIF(bargiri[شماره پیش فاکتور],invoice[[#This Row],[شماره پیش فاکتور]],bargiri[میزان بارگیری شده])/invoice[[#This Row],[میزان سفارش]]</f>
        <v>1</v>
      </c>
      <c r="P33" s="149" t="str">
        <f>IF(invoice[[#This Row],[نوع سفارش]]="غیرفعال","عادی",invoice[[#This Row],[نوع سفارش]])</f>
        <v>عادی</v>
      </c>
      <c r="Q33" s="149">
        <f>SUMIFS('جزییات بارگیری'!D:D,'جزییات بارگیری'!C:C,invoice[[#This Row],[شماره پیش فاکتور]])</f>
        <v>249655</v>
      </c>
      <c r="R33" s="149">
        <f>IF(invoice[[#This Row],[میزان سفارش]]-invoice[[#This Row],[میزان حمل شده ]]&lt;0,0,invoice[[#This Row],[میزان سفارش]]-invoice[[#This Row],[میزان حمل شده ]])</f>
        <v>0</v>
      </c>
      <c r="S33" s="149">
        <f>invoice[[#This Row],[میزان حمل نشده ]]*invoice[[#This Row],[فی]]</f>
        <v>0</v>
      </c>
    </row>
    <row r="34" spans="1:19" ht="30.6" customHeight="1">
      <c r="A34" s="150" t="s">
        <v>81</v>
      </c>
      <c r="B34" s="150" t="s">
        <v>117</v>
      </c>
      <c r="C34" s="150" t="s">
        <v>179</v>
      </c>
      <c r="D34" s="151" t="s">
        <v>200</v>
      </c>
      <c r="E34" s="243">
        <v>54710</v>
      </c>
      <c r="F34" s="148">
        <v>70000</v>
      </c>
      <c r="G34" s="149" t="str">
        <f>CHOOSE(MID(invoice[[#This Row],[تاریخ]],6,2),"فروردین","اردیبهشت","خرداد","تیر","مرداد","شهریور","مهر","آبان","آذر","دی","بهمن","اسفند")</f>
        <v>خرداد</v>
      </c>
      <c r="H34" s="149">
        <f>_xlfn.NUMBERVALUE(MID(invoice[[#This Row],[تاریخ]],1,4))</f>
        <v>1403</v>
      </c>
      <c r="I34" s="149" t="s">
        <v>243</v>
      </c>
      <c r="J34" s="149" t="s">
        <v>504</v>
      </c>
      <c r="K34" s="151">
        <v>46466</v>
      </c>
      <c r="L34" s="149">
        <f>IF(invoice[[#This Row],[سال]]=year,1,0)</f>
        <v>0</v>
      </c>
      <c r="M34" s="148"/>
      <c r="N34" s="149"/>
      <c r="O34" s="194">
        <f>SUMIF(bargiri[شماره پیش فاکتور],invoice[[#This Row],[شماره پیش فاکتور]],bargiri[میزان بارگیری شده])/invoice[[#This Row],[میزان سفارش]]</f>
        <v>1</v>
      </c>
      <c r="P34" s="149" t="str">
        <f>IF(invoice[[#This Row],[نوع سفارش]]="غیرفعال","عادی",invoice[[#This Row],[نوع سفارش]])</f>
        <v>عادی</v>
      </c>
      <c r="Q34" s="149">
        <f>SUMIFS('جزییات بارگیری'!D:D,'جزییات بارگیری'!C:C,invoice[[#This Row],[شماره پیش فاکتور]])</f>
        <v>54710</v>
      </c>
      <c r="R34" s="149">
        <f>IF(invoice[[#This Row],[میزان سفارش]]-invoice[[#This Row],[میزان حمل شده ]]&lt;0,0,invoice[[#This Row],[میزان سفارش]]-invoice[[#This Row],[میزان حمل شده ]])</f>
        <v>0</v>
      </c>
      <c r="S34" s="149">
        <f>invoice[[#This Row],[میزان حمل نشده ]]*invoice[[#This Row],[فی]]</f>
        <v>0</v>
      </c>
    </row>
    <row r="35" spans="1:19" ht="30.6" customHeight="1">
      <c r="A35" s="150" t="s">
        <v>41</v>
      </c>
      <c r="B35" s="150" t="s">
        <v>104</v>
      </c>
      <c r="C35" s="150" t="s">
        <v>156</v>
      </c>
      <c r="D35" s="151" t="s">
        <v>156</v>
      </c>
      <c r="E35" s="243">
        <v>599930</v>
      </c>
      <c r="F35" s="148">
        <v>85000</v>
      </c>
      <c r="G35" s="149" t="str">
        <f>CHOOSE(MID(invoice[[#This Row],[تاریخ]],6,2),"فروردین","اردیبهشت","خرداد","تیر","مرداد","شهریور","مهر","آبان","آذر","دی","بهمن","اسفند")</f>
        <v>تیر</v>
      </c>
      <c r="H35" s="149">
        <f>_xlfn.NUMBERVALUE(MID(invoice[[#This Row],[تاریخ]],1,4))</f>
        <v>1403</v>
      </c>
      <c r="I35" s="149" t="s">
        <v>243</v>
      </c>
      <c r="J35" s="149" t="s">
        <v>504</v>
      </c>
      <c r="K35" s="151">
        <v>46466</v>
      </c>
      <c r="L35" s="149">
        <f>IF(invoice[[#This Row],[سال]]=year,1,0)</f>
        <v>0</v>
      </c>
      <c r="M35" s="148"/>
      <c r="N35" s="149"/>
      <c r="O35" s="194">
        <f>SUMIF(bargiri[شماره پیش فاکتور],invoice[[#This Row],[شماره پیش فاکتور]],bargiri[میزان بارگیری شده])/invoice[[#This Row],[میزان سفارش]]</f>
        <v>1</v>
      </c>
      <c r="P35" s="149" t="str">
        <f>IF(invoice[[#This Row],[نوع سفارش]]="غیرفعال","عادی",invoice[[#This Row],[نوع سفارش]])</f>
        <v>عادی</v>
      </c>
      <c r="Q35" s="149">
        <f>SUMIFS('جزییات بارگیری'!D:D,'جزییات بارگیری'!C:C,invoice[[#This Row],[شماره پیش فاکتور]])</f>
        <v>599930</v>
      </c>
      <c r="R35" s="149">
        <f>IF(invoice[[#This Row],[میزان سفارش]]-invoice[[#This Row],[میزان حمل شده ]]&lt;0,0,invoice[[#This Row],[میزان سفارش]]-invoice[[#This Row],[میزان حمل شده ]])</f>
        <v>0</v>
      </c>
      <c r="S35" s="149">
        <f>invoice[[#This Row],[میزان حمل نشده ]]*invoice[[#This Row],[فی]]</f>
        <v>0</v>
      </c>
    </row>
    <row r="36" spans="1:19" ht="30.6" customHeight="1">
      <c r="A36" s="150" t="s">
        <v>9</v>
      </c>
      <c r="B36" s="150" t="s">
        <v>98</v>
      </c>
      <c r="C36" s="150" t="s">
        <v>137</v>
      </c>
      <c r="D36" s="151" t="s">
        <v>168</v>
      </c>
      <c r="E36" s="243">
        <v>20000</v>
      </c>
      <c r="F36" s="148">
        <v>105000</v>
      </c>
      <c r="G36" s="149" t="str">
        <f>CHOOSE(MID(invoice[[#This Row],[تاریخ]],6,2),"فروردین","اردیبهشت","خرداد","تیر","مرداد","شهریور","مهر","آبان","آذر","دی","بهمن","اسفند")</f>
        <v>تیر</v>
      </c>
      <c r="H36" s="149">
        <f>_xlfn.NUMBERVALUE(MID(invoice[[#This Row],[تاریخ]],1,4))</f>
        <v>1403</v>
      </c>
      <c r="I36" s="149" t="s">
        <v>243</v>
      </c>
      <c r="J36" s="149" t="s">
        <v>504</v>
      </c>
      <c r="K36" s="151">
        <v>46466</v>
      </c>
      <c r="L36" s="149">
        <f>IF(invoice[[#This Row],[سال]]=year,1,0)</f>
        <v>0</v>
      </c>
      <c r="M36" s="148"/>
      <c r="N36" s="149"/>
      <c r="O36" s="194">
        <f>SUMIF(bargiri[شماره پیش فاکتور],invoice[[#This Row],[شماره پیش فاکتور]],bargiri[میزان بارگیری شده])/invoice[[#This Row],[میزان سفارش]]</f>
        <v>1.1579999999999999</v>
      </c>
      <c r="P36" s="149" t="str">
        <f>IF(invoice[[#This Row],[نوع سفارش]]="غیرفعال","عادی",invoice[[#This Row],[نوع سفارش]])</f>
        <v>عادی</v>
      </c>
      <c r="Q36" s="149">
        <f>SUMIFS('جزییات بارگیری'!D:D,'جزییات بارگیری'!C:C,invoice[[#This Row],[شماره پیش فاکتور]])</f>
        <v>23160</v>
      </c>
      <c r="R36" s="149">
        <f>IF(invoice[[#This Row],[میزان سفارش]]-invoice[[#This Row],[میزان حمل شده ]]&lt;0,0,invoice[[#This Row],[میزان سفارش]]-invoice[[#This Row],[میزان حمل شده ]])</f>
        <v>0</v>
      </c>
      <c r="S36" s="149">
        <f>invoice[[#This Row],[میزان حمل نشده ]]*invoice[[#This Row],[فی]]</f>
        <v>0</v>
      </c>
    </row>
    <row r="37" spans="1:19" ht="30.6" customHeight="1">
      <c r="A37" s="150" t="s">
        <v>65</v>
      </c>
      <c r="B37" s="150" t="s">
        <v>115</v>
      </c>
      <c r="C37" s="150" t="s">
        <v>168</v>
      </c>
      <c r="D37" s="151" t="s">
        <v>215</v>
      </c>
      <c r="E37" s="243">
        <v>500000</v>
      </c>
      <c r="F37" s="148">
        <v>75000</v>
      </c>
      <c r="G37" s="149" t="str">
        <f>CHOOSE(MID(invoice[[#This Row],[تاریخ]],6,2),"فروردین","اردیبهشت","خرداد","تیر","مرداد","شهریور","مهر","آبان","آذر","دی","بهمن","اسفند")</f>
        <v>تیر</v>
      </c>
      <c r="H37" s="149">
        <f>_xlfn.NUMBERVALUE(MID(invoice[[#This Row],[تاریخ]],1,4))</f>
        <v>1403</v>
      </c>
      <c r="I37" s="149" t="s">
        <v>554</v>
      </c>
      <c r="J37" s="149" t="s">
        <v>728</v>
      </c>
      <c r="K37" s="151">
        <v>46466</v>
      </c>
      <c r="L37" s="149">
        <f>IF(invoice[[#This Row],[سال]]=year,1,0)</f>
        <v>0</v>
      </c>
      <c r="M37" s="148"/>
      <c r="N37" s="149"/>
      <c r="O37" s="194">
        <f>SUMIF(bargiri[شماره پیش فاکتور],invoice[[#This Row],[شماره پیش فاکتور]],bargiri[میزان بارگیری شده])/invoice[[#This Row],[میزان سفارش]]</f>
        <v>1</v>
      </c>
      <c r="P37" s="149" t="str">
        <f>IF(invoice[[#This Row],[نوع سفارش]]="غیرفعال","عادی",invoice[[#This Row],[نوع سفارش]])</f>
        <v>عادی</v>
      </c>
      <c r="Q37" s="149">
        <f>SUMIFS('جزییات بارگیری'!D:D,'جزییات بارگیری'!C:C,invoice[[#This Row],[شماره پیش فاکتور]])</f>
        <v>500000</v>
      </c>
      <c r="R37" s="149">
        <f>IF(invoice[[#This Row],[میزان سفارش]]-invoice[[#This Row],[میزان حمل شده ]]&lt;0,0,invoice[[#This Row],[میزان سفارش]]-invoice[[#This Row],[میزان حمل شده ]])</f>
        <v>0</v>
      </c>
      <c r="S37" s="149">
        <f>invoice[[#This Row],[میزان حمل نشده ]]*invoice[[#This Row],[فی]]</f>
        <v>0</v>
      </c>
    </row>
    <row r="38" spans="1:19" ht="30.6" customHeight="1">
      <c r="A38" s="150" t="s">
        <v>97</v>
      </c>
      <c r="B38" s="150" t="s">
        <v>126</v>
      </c>
      <c r="C38" s="150" t="s">
        <v>168</v>
      </c>
      <c r="D38" s="151" t="s">
        <v>231</v>
      </c>
      <c r="E38" s="243">
        <v>9720</v>
      </c>
      <c r="F38" s="148">
        <v>110000</v>
      </c>
      <c r="G38" s="149" t="str">
        <f>CHOOSE(MID(invoice[[#This Row],[تاریخ]],6,2),"فروردین","اردیبهشت","خرداد","تیر","مرداد","شهریور","مهر","آبان","آذر","دی","بهمن","اسفند")</f>
        <v>تیر</v>
      </c>
      <c r="H38" s="149">
        <f>_xlfn.NUMBERVALUE(MID(invoice[[#This Row],[تاریخ]],1,4))</f>
        <v>1403</v>
      </c>
      <c r="I38" s="149" t="s">
        <v>554</v>
      </c>
      <c r="J38" s="149" t="s">
        <v>728</v>
      </c>
      <c r="K38" s="151">
        <v>46466</v>
      </c>
      <c r="L38" s="149">
        <f>IF(invoice[[#This Row],[سال]]=year,1,0)</f>
        <v>0</v>
      </c>
      <c r="M38" s="148"/>
      <c r="N38" s="149"/>
      <c r="O38" s="194">
        <f>SUMIF(bargiri[شماره پیش فاکتور],invoice[[#This Row],[شماره پیش فاکتور]],bargiri[میزان بارگیری شده])/invoice[[#This Row],[میزان سفارش]]</f>
        <v>1</v>
      </c>
      <c r="P38" s="149" t="str">
        <f>IF(invoice[[#This Row],[نوع سفارش]]="غیرفعال","عادی",invoice[[#This Row],[نوع سفارش]])</f>
        <v>عادی</v>
      </c>
      <c r="Q38" s="149">
        <f>SUMIFS('جزییات بارگیری'!D:D,'جزییات بارگیری'!C:C,invoice[[#This Row],[شماره پیش فاکتور]])</f>
        <v>9720</v>
      </c>
      <c r="R38" s="149">
        <f>IF(invoice[[#This Row],[میزان سفارش]]-invoice[[#This Row],[میزان حمل شده ]]&lt;0,0,invoice[[#This Row],[میزان سفارش]]-invoice[[#This Row],[میزان حمل شده ]])</f>
        <v>0</v>
      </c>
      <c r="S38" s="149">
        <f>invoice[[#This Row],[میزان حمل نشده ]]*invoice[[#This Row],[فی]]</f>
        <v>0</v>
      </c>
    </row>
    <row r="39" spans="1:19" ht="30.6" customHeight="1">
      <c r="A39" s="150" t="s">
        <v>8</v>
      </c>
      <c r="B39" s="150" t="s">
        <v>98</v>
      </c>
      <c r="C39" s="150" t="s">
        <v>136</v>
      </c>
      <c r="D39" s="151" t="s">
        <v>186</v>
      </c>
      <c r="E39" s="243">
        <v>100000</v>
      </c>
      <c r="F39" s="148">
        <v>72000</v>
      </c>
      <c r="G39" s="149" t="str">
        <f>CHOOSE(MID(invoice[[#This Row],[تاریخ]],6,2),"فروردین","اردیبهشت","خرداد","تیر","مرداد","شهریور","مهر","آبان","آذر","دی","بهمن","اسفند")</f>
        <v>مرداد</v>
      </c>
      <c r="H39" s="149">
        <f>_xlfn.NUMBERVALUE(MID(invoice[[#This Row],[تاریخ]],1,4))</f>
        <v>1403</v>
      </c>
      <c r="I39" s="149" t="s">
        <v>243</v>
      </c>
      <c r="J39" s="149" t="s">
        <v>504</v>
      </c>
      <c r="K39" s="151">
        <v>46466</v>
      </c>
      <c r="L39" s="149">
        <f>IF(invoice[[#This Row],[سال]]=year,1,0)</f>
        <v>0</v>
      </c>
      <c r="M39" s="148"/>
      <c r="N39" s="149"/>
      <c r="O39" s="194">
        <f>SUMIF(bargiri[شماره پیش فاکتور],invoice[[#This Row],[شماره پیش فاکتور]],bargiri[میزان بارگیری شده])/invoice[[#This Row],[میزان سفارش]]</f>
        <v>1</v>
      </c>
      <c r="P39" s="149" t="str">
        <f>IF(invoice[[#This Row],[نوع سفارش]]="غیرفعال","عادی",invoice[[#This Row],[نوع سفارش]])</f>
        <v>عادی</v>
      </c>
      <c r="Q39" s="149">
        <f>SUMIFS('جزییات بارگیری'!D:D,'جزییات بارگیری'!C:C,invoice[[#This Row],[شماره پیش فاکتور]])</f>
        <v>100000</v>
      </c>
      <c r="R39" s="149">
        <f>IF(invoice[[#This Row],[میزان سفارش]]-invoice[[#This Row],[میزان حمل شده ]]&lt;0,0,invoice[[#This Row],[میزان سفارش]]-invoice[[#This Row],[میزان حمل شده ]])</f>
        <v>0</v>
      </c>
      <c r="S39" s="149">
        <f>invoice[[#This Row],[میزان حمل نشده ]]*invoice[[#This Row],[فی]]</f>
        <v>0</v>
      </c>
    </row>
    <row r="40" spans="1:19" ht="30.6" customHeight="1">
      <c r="A40" s="150" t="s">
        <v>51</v>
      </c>
      <c r="B40" s="150" t="s">
        <v>107</v>
      </c>
      <c r="C40" s="150" t="s">
        <v>159</v>
      </c>
      <c r="D40" s="151" t="s">
        <v>206</v>
      </c>
      <c r="E40" s="243">
        <v>15000</v>
      </c>
      <c r="F40" s="148">
        <v>74000</v>
      </c>
      <c r="G40" s="149" t="str">
        <f>CHOOSE(MID(invoice[[#This Row],[تاریخ]],6,2),"فروردین","اردیبهشت","خرداد","تیر","مرداد","شهریور","مهر","آبان","آذر","دی","بهمن","اسفند")</f>
        <v>شهریور</v>
      </c>
      <c r="H40" s="149">
        <f>_xlfn.NUMBERVALUE(MID(invoice[[#This Row],[تاریخ]],1,4))</f>
        <v>1403</v>
      </c>
      <c r="I40" s="149" t="s">
        <v>243</v>
      </c>
      <c r="J40" s="149" t="s">
        <v>504</v>
      </c>
      <c r="K40" s="151">
        <v>46466</v>
      </c>
      <c r="L40" s="149">
        <f>IF(invoice[[#This Row],[سال]]=year,1,0)</f>
        <v>0</v>
      </c>
      <c r="M40" s="148"/>
      <c r="N40" s="149"/>
      <c r="O40" s="194">
        <f>SUMIF(bargiri[شماره پیش فاکتور],invoice[[#This Row],[شماره پیش فاکتور]],bargiri[میزان بارگیری شده])/invoice[[#This Row],[میزان سفارش]]</f>
        <v>1.0049999999999999</v>
      </c>
      <c r="P40" s="149" t="str">
        <f>IF(invoice[[#This Row],[نوع سفارش]]="غیرفعال","عادی",invoice[[#This Row],[نوع سفارش]])</f>
        <v>عادی</v>
      </c>
      <c r="Q40" s="149">
        <f>SUMIFS('جزییات بارگیری'!D:D,'جزییات بارگیری'!C:C,invoice[[#This Row],[شماره پیش فاکتور]])</f>
        <v>15075</v>
      </c>
      <c r="R40" s="149">
        <f>IF(invoice[[#This Row],[میزان سفارش]]-invoice[[#This Row],[میزان حمل شده ]]&lt;0,0,invoice[[#This Row],[میزان سفارش]]-invoice[[#This Row],[میزان حمل شده ]])</f>
        <v>0</v>
      </c>
      <c r="S40" s="149">
        <f>invoice[[#This Row],[میزان حمل نشده ]]*invoice[[#This Row],[فی]]</f>
        <v>0</v>
      </c>
    </row>
    <row r="41" spans="1:19" ht="30.6" customHeight="1">
      <c r="A41" s="150" t="s">
        <v>24</v>
      </c>
      <c r="B41" s="150" t="s">
        <v>102</v>
      </c>
      <c r="C41" s="150" t="s">
        <v>145</v>
      </c>
      <c r="D41" s="151" t="s">
        <v>195</v>
      </c>
      <c r="E41" s="243">
        <v>500000</v>
      </c>
      <c r="F41" s="148">
        <v>70000</v>
      </c>
      <c r="G41" s="149" t="str">
        <f>CHOOSE(MID(invoice[[#This Row],[تاریخ]],6,2),"فروردین","اردیبهشت","خرداد","تیر","مرداد","شهریور","مهر","آبان","آذر","دی","بهمن","اسفند")</f>
        <v>شهریور</v>
      </c>
      <c r="H41" s="149">
        <f>_xlfn.NUMBERVALUE(MID(invoice[[#This Row],[تاریخ]],1,4))</f>
        <v>1403</v>
      </c>
      <c r="I41" s="149" t="s">
        <v>243</v>
      </c>
      <c r="J41" s="149" t="s">
        <v>504</v>
      </c>
      <c r="K41" s="151">
        <v>46466</v>
      </c>
      <c r="L41" s="149">
        <f>IF(invoice[[#This Row],[سال]]=year,1,0)</f>
        <v>0</v>
      </c>
      <c r="M41" s="148"/>
      <c r="N41" s="149"/>
      <c r="O41" s="194">
        <f>SUMIF(bargiri[شماره پیش فاکتور],invoice[[#This Row],[شماره پیش فاکتور]],bargiri[میزان بارگیری شده])/invoice[[#This Row],[میزان سفارش]]</f>
        <v>1</v>
      </c>
      <c r="P41" s="149" t="str">
        <f>IF(invoice[[#This Row],[نوع سفارش]]="غیرفعال","عادی",invoice[[#This Row],[نوع سفارش]])</f>
        <v>عادی</v>
      </c>
      <c r="Q41" s="149">
        <f>SUMIFS('جزییات بارگیری'!D:D,'جزییات بارگیری'!C:C,invoice[[#This Row],[شماره پیش فاکتور]])</f>
        <v>500000</v>
      </c>
      <c r="R41" s="149">
        <f>IF(invoice[[#This Row],[میزان سفارش]]-invoice[[#This Row],[میزان حمل شده ]]&lt;0,0,invoice[[#This Row],[میزان سفارش]]-invoice[[#This Row],[میزان حمل شده ]])</f>
        <v>0</v>
      </c>
      <c r="S41" s="149">
        <f>invoice[[#This Row],[میزان حمل نشده ]]*invoice[[#This Row],[فی]]</f>
        <v>0</v>
      </c>
    </row>
    <row r="42" spans="1:19" ht="30.6" customHeight="1">
      <c r="A42" s="150" t="s">
        <v>50</v>
      </c>
      <c r="B42" s="150" t="s">
        <v>107</v>
      </c>
      <c r="C42" s="150" t="s">
        <v>145</v>
      </c>
      <c r="D42" s="151" t="s">
        <v>205</v>
      </c>
      <c r="E42" s="243">
        <v>1822365</v>
      </c>
      <c r="F42" s="148">
        <v>70000</v>
      </c>
      <c r="G42" s="149" t="str">
        <f>CHOOSE(MID(invoice[[#This Row],[تاریخ]],6,2),"فروردین","اردیبهشت","خرداد","تیر","مرداد","شهریور","مهر","آبان","آذر","دی","بهمن","اسفند")</f>
        <v>شهریور</v>
      </c>
      <c r="H42" s="149">
        <f>_xlfn.NUMBERVALUE(MID(invoice[[#This Row],[تاریخ]],1,4))</f>
        <v>1403</v>
      </c>
      <c r="I42" s="149" t="s">
        <v>243</v>
      </c>
      <c r="J42" s="149" t="s">
        <v>504</v>
      </c>
      <c r="K42" s="151">
        <v>46466</v>
      </c>
      <c r="L42" s="149">
        <f>IF(invoice[[#This Row],[سال]]=year,1,0)</f>
        <v>0</v>
      </c>
      <c r="M42" s="148"/>
      <c r="N42" s="149"/>
      <c r="O42" s="194">
        <f>SUMIF(bargiri[شماره پیش فاکتور],invoice[[#This Row],[شماره پیش فاکتور]],bargiri[میزان بارگیری شده])/invoice[[#This Row],[میزان سفارش]]</f>
        <v>1</v>
      </c>
      <c r="P42" s="149" t="str">
        <f>IF(invoice[[#This Row],[نوع سفارش]]="غیرفعال","عادی",invoice[[#This Row],[نوع سفارش]])</f>
        <v>عادی</v>
      </c>
      <c r="Q42" s="149">
        <f>SUMIFS('جزییات بارگیری'!D:D,'جزییات بارگیری'!C:C,invoice[[#This Row],[شماره پیش فاکتور]])</f>
        <v>1822365</v>
      </c>
      <c r="R42" s="149">
        <f>IF(invoice[[#This Row],[میزان سفارش]]-invoice[[#This Row],[میزان حمل شده ]]&lt;0,0,invoice[[#This Row],[میزان سفارش]]-invoice[[#This Row],[میزان حمل شده ]])</f>
        <v>0</v>
      </c>
      <c r="S42" s="149">
        <f>invoice[[#This Row],[میزان حمل نشده ]]*invoice[[#This Row],[فی]]</f>
        <v>0</v>
      </c>
    </row>
    <row r="43" spans="1:19" ht="30.6" customHeight="1">
      <c r="A43" s="150" t="s">
        <v>61</v>
      </c>
      <c r="B43" s="150" t="s">
        <v>113</v>
      </c>
      <c r="C43" s="150" t="s">
        <v>165</v>
      </c>
      <c r="D43" s="151" t="s">
        <v>213</v>
      </c>
      <c r="E43" s="243">
        <v>999320</v>
      </c>
      <c r="F43" s="148">
        <v>75000</v>
      </c>
      <c r="G43" s="149" t="str">
        <f>CHOOSE(MID(invoice[[#This Row],[تاریخ]],6,2),"فروردین","اردیبهشت","خرداد","تیر","مرداد","شهریور","مهر","آبان","آذر","دی","بهمن","اسفند")</f>
        <v>شهریور</v>
      </c>
      <c r="H43" s="149">
        <f>_xlfn.NUMBERVALUE(MID(invoice[[#This Row],[تاریخ]],1,4))</f>
        <v>1403</v>
      </c>
      <c r="I43" s="149" t="s">
        <v>243</v>
      </c>
      <c r="J43" s="149" t="s">
        <v>504</v>
      </c>
      <c r="K43" s="151">
        <v>46466</v>
      </c>
      <c r="L43" s="149">
        <f>IF(invoice[[#This Row],[سال]]=year,1,0)</f>
        <v>0</v>
      </c>
      <c r="M43" s="148"/>
      <c r="N43" s="149"/>
      <c r="O43" s="194">
        <f>SUMIF(bargiri[شماره پیش فاکتور],invoice[[#This Row],[شماره پیش فاکتور]],bargiri[میزان بارگیری شده])/invoice[[#This Row],[میزان سفارش]]</f>
        <v>1</v>
      </c>
      <c r="P43" s="149" t="str">
        <f>IF(invoice[[#This Row],[نوع سفارش]]="غیرفعال","عادی",invoice[[#This Row],[نوع سفارش]])</f>
        <v>عادی</v>
      </c>
      <c r="Q43" s="149">
        <f>SUMIFS('جزییات بارگیری'!D:D,'جزییات بارگیری'!C:C,invoice[[#This Row],[شماره پیش فاکتور]])</f>
        <v>999320</v>
      </c>
      <c r="R43" s="149">
        <f>IF(invoice[[#This Row],[میزان سفارش]]-invoice[[#This Row],[میزان حمل شده ]]&lt;0,0,invoice[[#This Row],[میزان سفارش]]-invoice[[#This Row],[میزان حمل شده ]])</f>
        <v>0</v>
      </c>
      <c r="S43" s="149">
        <f>invoice[[#This Row],[میزان حمل نشده ]]*invoice[[#This Row],[فی]]</f>
        <v>0</v>
      </c>
    </row>
    <row r="44" spans="1:19" ht="30.6" customHeight="1">
      <c r="A44" s="150" t="s">
        <v>87</v>
      </c>
      <c r="B44" s="150" t="s">
        <v>119</v>
      </c>
      <c r="C44" s="150" t="s">
        <v>180</v>
      </c>
      <c r="D44" s="151" t="s">
        <v>228</v>
      </c>
      <c r="E44" s="243">
        <v>50000</v>
      </c>
      <c r="F44" s="148">
        <v>75000</v>
      </c>
      <c r="G44" s="149" t="str">
        <f>CHOOSE(MID(invoice[[#This Row],[تاریخ]],6,2),"فروردین","اردیبهشت","خرداد","تیر","مرداد","شهریور","مهر","آبان","آذر","دی","بهمن","اسفند")</f>
        <v>مهر</v>
      </c>
      <c r="H44" s="149">
        <f>_xlfn.NUMBERVALUE(MID(invoice[[#This Row],[تاریخ]],1,4))</f>
        <v>1403</v>
      </c>
      <c r="I44" s="149" t="s">
        <v>242</v>
      </c>
      <c r="J44" s="149" t="s">
        <v>504</v>
      </c>
      <c r="K44" s="151">
        <v>46466</v>
      </c>
      <c r="L44" s="149">
        <f>IF(invoice[[#This Row],[سال]]=year,1,0)</f>
        <v>0</v>
      </c>
      <c r="M44" s="148"/>
      <c r="N44" s="149"/>
      <c r="O44" s="194">
        <f>SUMIF(bargiri[شماره پیش فاکتور],invoice[[#This Row],[شماره پیش فاکتور]],bargiri[میزان بارگیری شده])/invoice[[#This Row],[میزان سفارش]]</f>
        <v>1</v>
      </c>
      <c r="P44" s="149" t="str">
        <f>IF(invoice[[#This Row],[نوع سفارش]]="غیرفعال","عادی",invoice[[#This Row],[نوع سفارش]])</f>
        <v>بورس</v>
      </c>
      <c r="Q44" s="149">
        <f>SUMIFS('جزییات بارگیری'!D:D,'جزییات بارگیری'!C:C,invoice[[#This Row],[شماره پیش فاکتور]])</f>
        <v>50000</v>
      </c>
      <c r="R44" s="149">
        <f>IF(invoice[[#This Row],[میزان سفارش]]-invoice[[#This Row],[میزان حمل شده ]]&lt;0,0,invoice[[#This Row],[میزان سفارش]]-invoice[[#This Row],[میزان حمل شده ]])</f>
        <v>0</v>
      </c>
      <c r="S44" s="149">
        <f>invoice[[#This Row],[میزان حمل نشده ]]*invoice[[#This Row],[فی]]</f>
        <v>0</v>
      </c>
    </row>
    <row r="45" spans="1:19" ht="30.6" customHeight="1">
      <c r="A45" s="150" t="s">
        <v>19</v>
      </c>
      <c r="B45" s="150" t="s">
        <v>101</v>
      </c>
      <c r="C45" s="150" t="s">
        <v>143</v>
      </c>
      <c r="D45" s="151" t="s">
        <v>192</v>
      </c>
      <c r="E45" s="243">
        <v>500000</v>
      </c>
      <c r="F45" s="148">
        <v>75000</v>
      </c>
      <c r="G45" s="149" t="str">
        <f>CHOOSE(MID(invoice[[#This Row],[تاریخ]],6,2),"فروردین","اردیبهشت","خرداد","تیر","مرداد","شهریور","مهر","آبان","آذر","دی","بهمن","اسفند")</f>
        <v>مهر</v>
      </c>
      <c r="H45" s="149">
        <f>_xlfn.NUMBERVALUE(MID(invoice[[#This Row],[تاریخ]],1,4))</f>
        <v>1403</v>
      </c>
      <c r="I45" s="149" t="s">
        <v>243</v>
      </c>
      <c r="J45" s="149" t="s">
        <v>504</v>
      </c>
      <c r="K45" s="151">
        <v>46466</v>
      </c>
      <c r="L45" s="149">
        <f>IF(invoice[[#This Row],[سال]]=year,1,0)</f>
        <v>0</v>
      </c>
      <c r="M45" s="148"/>
      <c r="N45" s="149"/>
      <c r="O45" s="194">
        <f>SUMIF(bargiri[شماره پیش فاکتور],invoice[[#This Row],[شماره پیش فاکتور]],bargiri[میزان بارگیری شده])/invoice[[#This Row],[میزان سفارش]]</f>
        <v>1</v>
      </c>
      <c r="P45" s="149" t="str">
        <f>IF(invoice[[#This Row],[نوع سفارش]]="غیرفعال","عادی",invoice[[#This Row],[نوع سفارش]])</f>
        <v>عادی</v>
      </c>
      <c r="Q45" s="149">
        <f>SUMIFS('جزییات بارگیری'!D:D,'جزییات بارگیری'!C:C,invoice[[#This Row],[شماره پیش فاکتور]])</f>
        <v>500000</v>
      </c>
      <c r="R45" s="149">
        <f>IF(invoice[[#This Row],[میزان سفارش]]-invoice[[#This Row],[میزان حمل شده ]]&lt;0,0,invoice[[#This Row],[میزان سفارش]]-invoice[[#This Row],[میزان حمل شده ]])</f>
        <v>0</v>
      </c>
      <c r="S45" s="149">
        <f>invoice[[#This Row],[میزان حمل نشده ]]*invoice[[#This Row],[فی]]</f>
        <v>0</v>
      </c>
    </row>
    <row r="46" spans="1:19" ht="30.6" customHeight="1">
      <c r="A46" s="150" t="s">
        <v>88</v>
      </c>
      <c r="B46" s="150" t="s">
        <v>120</v>
      </c>
      <c r="C46" s="150" t="s">
        <v>181</v>
      </c>
      <c r="D46" s="151" t="s">
        <v>229</v>
      </c>
      <c r="E46" s="243">
        <v>417970</v>
      </c>
      <c r="F46" s="148">
        <v>80000</v>
      </c>
      <c r="G46" s="149" t="str">
        <f>CHOOSE(MID(invoice[[#This Row],[تاریخ]],6,2),"فروردین","اردیبهشت","خرداد","تیر","مرداد","شهریور","مهر","آبان","آذر","دی","بهمن","اسفند")</f>
        <v>مهر</v>
      </c>
      <c r="H46" s="149">
        <f>_xlfn.NUMBERVALUE(MID(invoice[[#This Row],[تاریخ]],1,4))</f>
        <v>1403</v>
      </c>
      <c r="I46" s="149" t="s">
        <v>243</v>
      </c>
      <c r="J46" s="149" t="s">
        <v>728</v>
      </c>
      <c r="K46" s="151">
        <v>46466</v>
      </c>
      <c r="L46" s="149">
        <f>IF(invoice[[#This Row],[سال]]=year,1,0)</f>
        <v>0</v>
      </c>
      <c r="M46" s="148"/>
      <c r="N46" s="149"/>
      <c r="O46" s="194">
        <f>SUMIF(bargiri[شماره پیش فاکتور],invoice[[#This Row],[شماره پیش فاکتور]],bargiri[میزان بارگیری شده])/invoice[[#This Row],[میزان سفارش]]</f>
        <v>1</v>
      </c>
      <c r="P46" s="149" t="str">
        <f>IF(invoice[[#This Row],[نوع سفارش]]="غیرفعال","عادی",invoice[[#This Row],[نوع سفارش]])</f>
        <v>عادی</v>
      </c>
      <c r="Q46" s="149">
        <f>SUMIFS('جزییات بارگیری'!D:D,'جزییات بارگیری'!C:C,invoice[[#This Row],[شماره پیش فاکتور]])</f>
        <v>417970</v>
      </c>
      <c r="R46" s="149">
        <f>IF(invoice[[#This Row],[میزان سفارش]]-invoice[[#This Row],[میزان حمل شده ]]&lt;0,0,invoice[[#This Row],[میزان سفارش]]-invoice[[#This Row],[میزان حمل شده ]])</f>
        <v>0</v>
      </c>
      <c r="S46" s="149">
        <f>invoice[[#This Row],[میزان حمل نشده ]]*invoice[[#This Row],[فی]]</f>
        <v>0</v>
      </c>
    </row>
    <row r="47" spans="1:19" ht="30.6" customHeight="1">
      <c r="A47" s="150" t="s">
        <v>76</v>
      </c>
      <c r="B47" s="150" t="s">
        <v>116</v>
      </c>
      <c r="C47" s="150" t="s">
        <v>176</v>
      </c>
      <c r="D47" s="151" t="s">
        <v>221</v>
      </c>
      <c r="E47" s="243">
        <v>50000</v>
      </c>
      <c r="F47" s="148">
        <v>75000</v>
      </c>
      <c r="G47" s="149" t="str">
        <f>CHOOSE(MID(invoice[[#This Row],[تاریخ]],6,2),"فروردین","اردیبهشت","خرداد","تیر","مرداد","شهریور","مهر","آبان","آذر","دی","بهمن","اسفند")</f>
        <v>مهر</v>
      </c>
      <c r="H47" s="149">
        <f>_xlfn.NUMBERVALUE(MID(invoice[[#This Row],[تاریخ]],1,4))</f>
        <v>1403</v>
      </c>
      <c r="I47" s="149" t="s">
        <v>242</v>
      </c>
      <c r="J47" s="149" t="s">
        <v>504</v>
      </c>
      <c r="K47" s="151">
        <v>46466</v>
      </c>
      <c r="L47" s="149">
        <f>IF(invoice[[#This Row],[سال]]=year,1,0)</f>
        <v>0</v>
      </c>
      <c r="M47" s="148"/>
      <c r="N47" s="149"/>
      <c r="O47" s="194">
        <f>SUMIF(bargiri[شماره پیش فاکتور],invoice[[#This Row],[شماره پیش فاکتور]],bargiri[میزان بارگیری شده])/invoice[[#This Row],[میزان سفارش]]</f>
        <v>1.0044999999999999</v>
      </c>
      <c r="P47" s="149" t="str">
        <f>IF(invoice[[#This Row],[نوع سفارش]]="غیرفعال","عادی",invoice[[#This Row],[نوع سفارش]])</f>
        <v>بورس</v>
      </c>
      <c r="Q47" s="149">
        <f>SUMIFS('جزییات بارگیری'!D:D,'جزییات بارگیری'!C:C,invoice[[#This Row],[شماره پیش فاکتور]])</f>
        <v>50225</v>
      </c>
      <c r="R47" s="149">
        <f>IF(invoice[[#This Row],[میزان سفارش]]-invoice[[#This Row],[میزان حمل شده ]]&lt;0,0,invoice[[#This Row],[میزان سفارش]]-invoice[[#This Row],[میزان حمل شده ]])</f>
        <v>0</v>
      </c>
      <c r="S47" s="149">
        <f>invoice[[#This Row],[میزان حمل نشده ]]*invoice[[#This Row],[فی]]</f>
        <v>0</v>
      </c>
    </row>
    <row r="48" spans="1:19" ht="30.6" customHeight="1">
      <c r="A48" s="150" t="s">
        <v>75</v>
      </c>
      <c r="B48" s="150" t="s">
        <v>116</v>
      </c>
      <c r="C48" s="150" t="s">
        <v>175</v>
      </c>
      <c r="D48" s="151" t="s">
        <v>220</v>
      </c>
      <c r="E48" s="243">
        <v>25000</v>
      </c>
      <c r="F48" s="148">
        <v>78999</v>
      </c>
      <c r="G48" s="149" t="str">
        <f>CHOOSE(MID(invoice[[#This Row],[تاریخ]],6,2),"فروردین","اردیبهشت","خرداد","تیر","مرداد","شهریور","مهر","آبان","آذر","دی","بهمن","اسفند")</f>
        <v>آبان</v>
      </c>
      <c r="H48" s="149">
        <f>_xlfn.NUMBERVALUE(MID(invoice[[#This Row],[تاریخ]],1,4))</f>
        <v>1403</v>
      </c>
      <c r="I48" s="149" t="s">
        <v>242</v>
      </c>
      <c r="J48" s="149" t="s">
        <v>504</v>
      </c>
      <c r="K48" s="151">
        <v>46466</v>
      </c>
      <c r="L48" s="149">
        <f>IF(invoice[[#This Row],[سال]]=year,1,0)</f>
        <v>0</v>
      </c>
      <c r="M48" s="148"/>
      <c r="N48" s="149"/>
      <c r="O48" s="194">
        <f>SUMIF(bargiri[شماره پیش فاکتور],invoice[[#This Row],[شماره پیش فاکتور]],bargiri[میزان بارگیری شده])/invoice[[#This Row],[میزان سفارش]]</f>
        <v>1</v>
      </c>
      <c r="P48" s="149" t="str">
        <f>IF(invoice[[#This Row],[نوع سفارش]]="غیرفعال","عادی",invoice[[#This Row],[نوع سفارش]])</f>
        <v>بورس</v>
      </c>
      <c r="Q48" s="149">
        <f>SUMIFS('جزییات بارگیری'!D:D,'جزییات بارگیری'!C:C,invoice[[#This Row],[شماره پیش فاکتور]])</f>
        <v>25000</v>
      </c>
      <c r="R48" s="149">
        <f>IF(invoice[[#This Row],[میزان سفارش]]-invoice[[#This Row],[میزان حمل شده ]]&lt;0,0,invoice[[#This Row],[میزان سفارش]]-invoice[[#This Row],[میزان حمل شده ]])</f>
        <v>0</v>
      </c>
      <c r="S48" s="149">
        <f>invoice[[#This Row],[میزان حمل نشده ]]*invoice[[#This Row],[فی]]</f>
        <v>0</v>
      </c>
    </row>
    <row r="49" spans="1:19" ht="30.6" customHeight="1">
      <c r="A49" s="150" t="s">
        <v>86</v>
      </c>
      <c r="B49" s="150" t="s">
        <v>119</v>
      </c>
      <c r="C49" s="150" t="s">
        <v>175</v>
      </c>
      <c r="D49" s="151" t="s">
        <v>227</v>
      </c>
      <c r="E49" s="243">
        <v>24870</v>
      </c>
      <c r="F49" s="148">
        <v>79301</v>
      </c>
      <c r="G49" s="149" t="str">
        <f>CHOOSE(MID(invoice[[#This Row],[تاریخ]],6,2),"فروردین","اردیبهشت","خرداد","تیر","مرداد","شهریور","مهر","آبان","آذر","دی","بهمن","اسفند")</f>
        <v>آبان</v>
      </c>
      <c r="H49" s="149">
        <f>_xlfn.NUMBERVALUE(MID(invoice[[#This Row],[تاریخ]],1,4))</f>
        <v>1403</v>
      </c>
      <c r="I49" s="149" t="s">
        <v>242</v>
      </c>
      <c r="J49" s="149" t="s">
        <v>504</v>
      </c>
      <c r="K49" s="151">
        <v>46466</v>
      </c>
      <c r="L49" s="149">
        <f>IF(invoice[[#This Row],[سال]]=year,1,0)</f>
        <v>0</v>
      </c>
      <c r="M49" s="148"/>
      <c r="N49" s="149"/>
      <c r="O49" s="194">
        <f>SUMIF(bargiri[شماره پیش فاکتور],invoice[[#This Row],[شماره پیش فاکتور]],bargiri[میزان بارگیری شده])/invoice[[#This Row],[میزان سفارش]]</f>
        <v>1</v>
      </c>
      <c r="P49" s="149" t="str">
        <f>IF(invoice[[#This Row],[نوع سفارش]]="غیرفعال","عادی",invoice[[#This Row],[نوع سفارش]])</f>
        <v>بورس</v>
      </c>
      <c r="Q49" s="149">
        <f>SUMIFS('جزییات بارگیری'!D:D,'جزییات بارگیری'!C:C,invoice[[#This Row],[شماره پیش فاکتور]])</f>
        <v>24870</v>
      </c>
      <c r="R49" s="149">
        <f>IF(invoice[[#This Row],[میزان سفارش]]-invoice[[#This Row],[میزان حمل شده ]]&lt;0,0,invoice[[#This Row],[میزان سفارش]]-invoice[[#This Row],[میزان حمل شده ]])</f>
        <v>0</v>
      </c>
      <c r="S49" s="149">
        <f>invoice[[#This Row],[میزان حمل نشده ]]*invoice[[#This Row],[فی]]</f>
        <v>0</v>
      </c>
    </row>
    <row r="50" spans="1:19" ht="30.6" customHeight="1">
      <c r="A50" s="150" t="s">
        <v>60</v>
      </c>
      <c r="B50" s="150" t="s">
        <v>112</v>
      </c>
      <c r="C50" s="150" t="s">
        <v>164</v>
      </c>
      <c r="D50" s="151" t="s">
        <v>212</v>
      </c>
      <c r="E50" s="243">
        <v>18375</v>
      </c>
      <c r="F50" s="148">
        <v>73000</v>
      </c>
      <c r="G50" s="149" t="str">
        <f>CHOOSE(MID(invoice[[#This Row],[تاریخ]],6,2),"فروردین","اردیبهشت","خرداد","تیر","مرداد","شهریور","مهر","آبان","آذر","دی","بهمن","اسفند")</f>
        <v>آبان</v>
      </c>
      <c r="H50" s="149">
        <f>_xlfn.NUMBERVALUE(MID(invoice[[#This Row],[تاریخ]],1,4))</f>
        <v>1403</v>
      </c>
      <c r="I50" s="149" t="s">
        <v>242</v>
      </c>
      <c r="J50" s="149" t="s">
        <v>504</v>
      </c>
      <c r="K50" s="151">
        <v>46466</v>
      </c>
      <c r="L50" s="149">
        <f>IF(invoice[[#This Row],[سال]]=year,1,0)</f>
        <v>0</v>
      </c>
      <c r="M50" s="148"/>
      <c r="N50" s="149"/>
      <c r="O50" s="194">
        <f>SUMIF(bargiri[شماره پیش فاکتور],invoice[[#This Row],[شماره پیش فاکتور]],bargiri[میزان بارگیری شده])/invoice[[#This Row],[میزان سفارش]]</f>
        <v>1</v>
      </c>
      <c r="P50" s="149" t="str">
        <f>IF(invoice[[#This Row],[نوع سفارش]]="غیرفعال","عادی",invoice[[#This Row],[نوع سفارش]])</f>
        <v>بورس</v>
      </c>
      <c r="Q50" s="149">
        <f>SUMIFS('جزییات بارگیری'!D:D,'جزییات بارگیری'!C:C,invoice[[#This Row],[شماره پیش فاکتور]])</f>
        <v>18375</v>
      </c>
      <c r="R50" s="149">
        <f>IF(invoice[[#This Row],[میزان سفارش]]-invoice[[#This Row],[میزان حمل شده ]]&lt;0,0,invoice[[#This Row],[میزان سفارش]]-invoice[[#This Row],[میزان حمل شده ]])</f>
        <v>0</v>
      </c>
      <c r="S50" s="149">
        <f>invoice[[#This Row],[میزان حمل نشده ]]*invoice[[#This Row],[فی]]</f>
        <v>0</v>
      </c>
    </row>
    <row r="51" spans="1:19" ht="30.6" customHeight="1">
      <c r="A51" s="150" t="s">
        <v>80</v>
      </c>
      <c r="B51" s="150" t="s">
        <v>117</v>
      </c>
      <c r="C51" s="150" t="s">
        <v>178</v>
      </c>
      <c r="D51" s="151" t="s">
        <v>224</v>
      </c>
      <c r="E51" s="243">
        <v>30000</v>
      </c>
      <c r="F51" s="148">
        <v>73000</v>
      </c>
      <c r="G51" s="149" t="str">
        <f>CHOOSE(MID(invoice[[#This Row],[تاریخ]],6,2),"فروردین","اردیبهشت","خرداد","تیر","مرداد","شهریور","مهر","آبان","آذر","دی","بهمن","اسفند")</f>
        <v>آبان</v>
      </c>
      <c r="H51" s="149">
        <f>_xlfn.NUMBERVALUE(MID(invoice[[#This Row],[تاریخ]],1,4))</f>
        <v>1403</v>
      </c>
      <c r="I51" s="149" t="s">
        <v>242</v>
      </c>
      <c r="J51" s="149" t="s">
        <v>504</v>
      </c>
      <c r="K51" s="151">
        <v>46466</v>
      </c>
      <c r="L51" s="149">
        <f>IF(invoice[[#This Row],[سال]]=year,1,0)</f>
        <v>0</v>
      </c>
      <c r="M51" s="148"/>
      <c r="N51" s="149"/>
      <c r="O51" s="194">
        <f>SUMIF(bargiri[شماره پیش فاکتور],invoice[[#This Row],[شماره پیش فاکتور]],bargiri[میزان بارگیری شده])/invoice[[#This Row],[میزان سفارش]]</f>
        <v>1</v>
      </c>
      <c r="P51" s="149" t="str">
        <f>IF(invoice[[#This Row],[نوع سفارش]]="غیرفعال","عادی",invoice[[#This Row],[نوع سفارش]])</f>
        <v>بورس</v>
      </c>
      <c r="Q51" s="149">
        <f>SUMIFS('جزییات بارگیری'!D:D,'جزییات بارگیری'!C:C,invoice[[#This Row],[شماره پیش فاکتور]])</f>
        <v>30000</v>
      </c>
      <c r="R51" s="149">
        <f>IF(invoice[[#This Row],[میزان سفارش]]-invoice[[#This Row],[میزان حمل شده ]]&lt;0,0,invoice[[#This Row],[میزان سفارش]]-invoice[[#This Row],[میزان حمل شده ]])</f>
        <v>0</v>
      </c>
      <c r="S51" s="149">
        <f>invoice[[#This Row],[میزان حمل نشده ]]*invoice[[#This Row],[فی]]</f>
        <v>0</v>
      </c>
    </row>
    <row r="52" spans="1:19" ht="30.6" customHeight="1">
      <c r="A52" s="150" t="s">
        <v>74</v>
      </c>
      <c r="B52" s="150" t="s">
        <v>116</v>
      </c>
      <c r="C52" s="150" t="s">
        <v>174</v>
      </c>
      <c r="D52" s="151" t="s">
        <v>219</v>
      </c>
      <c r="E52" s="243">
        <v>50000</v>
      </c>
      <c r="F52" s="148">
        <v>75000</v>
      </c>
      <c r="G52" s="149" t="str">
        <f>CHOOSE(MID(invoice[[#This Row],[تاریخ]],6,2),"فروردین","اردیبهشت","خرداد","تیر","مرداد","شهریور","مهر","آبان","آذر","دی","بهمن","اسفند")</f>
        <v>آذر</v>
      </c>
      <c r="H52" s="149">
        <f>_xlfn.NUMBERVALUE(MID(invoice[[#This Row],[تاریخ]],1,4))</f>
        <v>1403</v>
      </c>
      <c r="I52" s="149" t="s">
        <v>242</v>
      </c>
      <c r="J52" s="149" t="s">
        <v>504</v>
      </c>
      <c r="K52" s="151">
        <v>46466</v>
      </c>
      <c r="L52" s="149">
        <f>IF(invoice[[#This Row],[سال]]=year,1,0)</f>
        <v>0</v>
      </c>
      <c r="M52" s="148"/>
      <c r="N52" s="149"/>
      <c r="O52" s="194">
        <f>SUMIF(bargiri[شماره پیش فاکتور],invoice[[#This Row],[شماره پیش فاکتور]],bargiri[میزان بارگیری شده])/invoice[[#This Row],[میزان سفارش]]</f>
        <v>1</v>
      </c>
      <c r="P52" s="149" t="str">
        <f>IF(invoice[[#This Row],[نوع سفارش]]="غیرفعال","عادی",invoice[[#This Row],[نوع سفارش]])</f>
        <v>بورس</v>
      </c>
      <c r="Q52" s="149">
        <f>SUMIFS('جزییات بارگیری'!D:D,'جزییات بارگیری'!C:C,invoice[[#This Row],[شماره پیش فاکتور]])</f>
        <v>50000</v>
      </c>
      <c r="R52" s="149">
        <f>IF(invoice[[#This Row],[میزان سفارش]]-invoice[[#This Row],[میزان حمل شده ]]&lt;0,0,invoice[[#This Row],[میزان سفارش]]-invoice[[#This Row],[میزان حمل شده ]])</f>
        <v>0</v>
      </c>
      <c r="S52" s="149">
        <f>invoice[[#This Row],[میزان حمل نشده ]]*invoice[[#This Row],[فی]]</f>
        <v>0</v>
      </c>
    </row>
    <row r="53" spans="1:19" ht="30.6" customHeight="1">
      <c r="A53" s="150" t="s">
        <v>18</v>
      </c>
      <c r="B53" s="150" t="s">
        <v>101</v>
      </c>
      <c r="C53" s="150" t="s">
        <v>142</v>
      </c>
      <c r="D53" s="151" t="s">
        <v>141</v>
      </c>
      <c r="E53" s="243">
        <v>50000</v>
      </c>
      <c r="F53" s="148">
        <v>92000</v>
      </c>
      <c r="G53" s="149" t="str">
        <f>CHOOSE(MID(invoice[[#This Row],[تاریخ]],6,2),"فروردین","اردیبهشت","خرداد","تیر","مرداد","شهریور","مهر","آبان","آذر","دی","بهمن","اسفند")</f>
        <v>آذر</v>
      </c>
      <c r="H53" s="149">
        <f>_xlfn.NUMBERVALUE(MID(invoice[[#This Row],[تاریخ]],1,4))</f>
        <v>1403</v>
      </c>
      <c r="I53" s="149" t="s">
        <v>242</v>
      </c>
      <c r="J53" s="149" t="s">
        <v>504</v>
      </c>
      <c r="K53" s="151">
        <v>46466</v>
      </c>
      <c r="L53" s="149">
        <f>IF(invoice[[#This Row],[سال]]=year,1,0)</f>
        <v>0</v>
      </c>
      <c r="M53" s="148"/>
      <c r="N53" s="149"/>
      <c r="O53" s="194">
        <f>SUMIF(bargiri[شماره پیش فاکتور],invoice[[#This Row],[شماره پیش فاکتور]],bargiri[میزان بارگیری شده])/invoice[[#This Row],[میزان سفارش]]</f>
        <v>1</v>
      </c>
      <c r="P53" s="149" t="str">
        <f>IF(invoice[[#This Row],[نوع سفارش]]="غیرفعال","عادی",invoice[[#This Row],[نوع سفارش]])</f>
        <v>بورس</v>
      </c>
      <c r="Q53" s="149">
        <f>SUMIFS('جزییات بارگیری'!D:D,'جزییات بارگیری'!C:C,invoice[[#This Row],[شماره پیش فاکتور]])</f>
        <v>50000</v>
      </c>
      <c r="R53" s="149">
        <f>IF(invoice[[#This Row],[میزان سفارش]]-invoice[[#This Row],[میزان حمل شده ]]&lt;0,0,invoice[[#This Row],[میزان سفارش]]-invoice[[#This Row],[میزان حمل شده ]])</f>
        <v>0</v>
      </c>
      <c r="S53" s="149">
        <f>invoice[[#This Row],[میزان حمل نشده ]]*invoice[[#This Row],[فی]]</f>
        <v>0</v>
      </c>
    </row>
    <row r="54" spans="1:19" ht="30.6" customHeight="1">
      <c r="A54" s="150" t="s">
        <v>29</v>
      </c>
      <c r="B54" s="150" t="s">
        <v>103</v>
      </c>
      <c r="C54" s="150" t="s">
        <v>148</v>
      </c>
      <c r="D54" s="151" t="s">
        <v>198</v>
      </c>
      <c r="E54" s="243">
        <v>299978</v>
      </c>
      <c r="F54" s="148">
        <v>75000</v>
      </c>
      <c r="G54" s="149" t="str">
        <f>CHOOSE(MID(invoice[[#This Row],[تاریخ]],6,2),"فروردین","اردیبهشت","خرداد","تیر","مرداد","شهریور","مهر","آبان","آذر","دی","بهمن","اسفند")</f>
        <v>آذر</v>
      </c>
      <c r="H54" s="149">
        <f>_xlfn.NUMBERVALUE(MID(invoice[[#This Row],[تاریخ]],1,4))</f>
        <v>1403</v>
      </c>
      <c r="I54" s="149" t="s">
        <v>243</v>
      </c>
      <c r="J54" s="149" t="s">
        <v>504</v>
      </c>
      <c r="K54" s="151">
        <v>46466</v>
      </c>
      <c r="L54" s="149">
        <f>IF(invoice[[#This Row],[سال]]=year,1,0)</f>
        <v>0</v>
      </c>
      <c r="M54" s="148"/>
      <c r="N54" s="149"/>
      <c r="O54" s="194">
        <f>SUMIF(bargiri[شماره پیش فاکتور],invoice[[#This Row],[شماره پیش فاکتور]],bargiri[میزان بارگیری شده])/invoice[[#This Row],[میزان سفارش]]</f>
        <v>1</v>
      </c>
      <c r="P54" s="149" t="str">
        <f>IF(invoice[[#This Row],[نوع سفارش]]="غیرفعال","عادی",invoice[[#This Row],[نوع سفارش]])</f>
        <v>عادی</v>
      </c>
      <c r="Q54" s="149">
        <f>SUMIFS('جزییات بارگیری'!D:D,'جزییات بارگیری'!C:C,invoice[[#This Row],[شماره پیش فاکتور]])</f>
        <v>299978</v>
      </c>
      <c r="R54" s="149">
        <f>IF(invoice[[#This Row],[میزان سفارش]]-invoice[[#This Row],[میزان حمل شده ]]&lt;0,0,invoice[[#This Row],[میزان سفارش]]-invoice[[#This Row],[میزان حمل شده ]])</f>
        <v>0</v>
      </c>
      <c r="S54" s="149">
        <f>invoice[[#This Row],[میزان حمل نشده ]]*invoice[[#This Row],[فی]]</f>
        <v>0</v>
      </c>
    </row>
    <row r="55" spans="1:19" ht="30.6" customHeight="1">
      <c r="A55" s="150" t="s">
        <v>91</v>
      </c>
      <c r="B55" s="150" t="s">
        <v>122</v>
      </c>
      <c r="C55" s="150" t="s">
        <v>148</v>
      </c>
      <c r="D55" s="151" t="s">
        <v>230</v>
      </c>
      <c r="E55" s="243">
        <v>400000</v>
      </c>
      <c r="F55" s="148">
        <v>75000</v>
      </c>
      <c r="G55" s="149" t="str">
        <f>CHOOSE(MID(invoice[[#This Row],[تاریخ]],6,2),"فروردین","اردیبهشت","خرداد","تیر","مرداد","شهریور","مهر","آبان","آذر","دی","بهمن","اسفند")</f>
        <v>آذر</v>
      </c>
      <c r="H55" s="149">
        <f>_xlfn.NUMBERVALUE(MID(invoice[[#This Row],[تاریخ]],1,4))</f>
        <v>1403</v>
      </c>
      <c r="I55" s="149" t="s">
        <v>243</v>
      </c>
      <c r="J55" s="149" t="s">
        <v>504</v>
      </c>
      <c r="K55" s="151">
        <v>46466</v>
      </c>
      <c r="L55" s="149">
        <f>IF(invoice[[#This Row],[سال]]=year,1,0)</f>
        <v>0</v>
      </c>
      <c r="M55" s="148"/>
      <c r="N55" s="149"/>
      <c r="O55" s="194">
        <f>SUMIF(bargiri[شماره پیش فاکتور],invoice[[#This Row],[شماره پیش فاکتور]],bargiri[میزان بارگیری شده])/invoice[[#This Row],[میزان سفارش]]</f>
        <v>1</v>
      </c>
      <c r="P55" s="149" t="str">
        <f>IF(invoice[[#This Row],[نوع سفارش]]="غیرفعال","عادی",invoice[[#This Row],[نوع سفارش]])</f>
        <v>عادی</v>
      </c>
      <c r="Q55" s="149">
        <f>SUMIFS('جزییات بارگیری'!D:D,'جزییات بارگیری'!C:C,invoice[[#This Row],[شماره پیش فاکتور]])</f>
        <v>400000</v>
      </c>
      <c r="R55" s="149">
        <f>IF(invoice[[#This Row],[میزان سفارش]]-invoice[[#This Row],[میزان حمل شده ]]&lt;0,0,invoice[[#This Row],[میزان سفارش]]-invoice[[#This Row],[میزان حمل شده ]])</f>
        <v>0</v>
      </c>
      <c r="S55" s="149">
        <f>invoice[[#This Row],[میزان حمل نشده ]]*invoice[[#This Row],[فی]]</f>
        <v>0</v>
      </c>
    </row>
    <row r="56" spans="1:19" ht="30.6" customHeight="1">
      <c r="A56" s="150" t="s">
        <v>17</v>
      </c>
      <c r="B56" s="150" t="s">
        <v>101</v>
      </c>
      <c r="C56" s="150" t="s">
        <v>141</v>
      </c>
      <c r="D56" s="151" t="s">
        <v>191</v>
      </c>
      <c r="E56" s="243">
        <v>85900</v>
      </c>
      <c r="F56" s="148">
        <v>65000</v>
      </c>
      <c r="G56" s="149" t="str">
        <f>CHOOSE(MID(invoice[[#This Row],[تاریخ]],6,2),"فروردین","اردیبهشت","خرداد","تیر","مرداد","شهریور","مهر","آبان","آذر","دی","بهمن","اسفند")</f>
        <v>آذر</v>
      </c>
      <c r="H56" s="149">
        <f>_xlfn.NUMBERVALUE(MID(invoice[[#This Row],[تاریخ]],1,4))</f>
        <v>1403</v>
      </c>
      <c r="I56" s="149" t="s">
        <v>240</v>
      </c>
      <c r="J56" s="149" t="s">
        <v>504</v>
      </c>
      <c r="K56" s="151">
        <v>46466</v>
      </c>
      <c r="L56" s="149">
        <f>IF(invoice[[#This Row],[سال]]=year,1,0)</f>
        <v>0</v>
      </c>
      <c r="M56" s="148"/>
      <c r="N56" s="149"/>
      <c r="O56" s="194">
        <f>SUMIF(bargiri[شماره پیش فاکتور],invoice[[#This Row],[شماره پیش فاکتور]],bargiri[میزان بارگیری شده])/invoice[[#This Row],[میزان سفارش]]</f>
        <v>1</v>
      </c>
      <c r="P56" s="149" t="str">
        <f>IF(invoice[[#This Row],[نوع سفارش]]="غیرفعال","عادی",invoice[[#This Row],[نوع سفارش]])</f>
        <v>تعادلی</v>
      </c>
      <c r="Q56" s="149">
        <f>SUMIFS('جزییات بارگیری'!D:D,'جزییات بارگیری'!C:C,invoice[[#This Row],[شماره پیش فاکتور]])</f>
        <v>85900</v>
      </c>
      <c r="R56" s="149">
        <f>IF(invoice[[#This Row],[میزان سفارش]]-invoice[[#This Row],[میزان حمل شده ]]&lt;0,0,invoice[[#This Row],[میزان سفارش]]-invoice[[#This Row],[میزان حمل شده ]])</f>
        <v>0</v>
      </c>
      <c r="S56" s="149">
        <f>invoice[[#This Row],[میزان حمل نشده ]]*invoice[[#This Row],[فی]]</f>
        <v>0</v>
      </c>
    </row>
    <row r="57" spans="1:19" ht="30.6" customHeight="1">
      <c r="A57" s="150" t="s">
        <v>93</v>
      </c>
      <c r="B57" s="150" t="s">
        <v>123</v>
      </c>
      <c r="C57" s="150" t="s">
        <v>182</v>
      </c>
      <c r="D57" s="151" t="s">
        <v>220</v>
      </c>
      <c r="E57" s="243">
        <v>68110</v>
      </c>
      <c r="F57" s="148">
        <v>75000</v>
      </c>
      <c r="G57" s="149" t="str">
        <f>CHOOSE(MID(invoice[[#This Row],[تاریخ]],6,2),"فروردین","اردیبهشت","خرداد","تیر","مرداد","شهریور","مهر","آبان","آذر","دی","بهمن","اسفند")</f>
        <v>دی</v>
      </c>
      <c r="H57" s="149">
        <f>_xlfn.NUMBERVALUE(MID(invoice[[#This Row],[تاریخ]],1,4))</f>
        <v>1403</v>
      </c>
      <c r="I57" s="149" t="s">
        <v>243</v>
      </c>
      <c r="J57" s="149" t="s">
        <v>728</v>
      </c>
      <c r="K57" s="151">
        <v>46466</v>
      </c>
      <c r="L57" s="149">
        <f>IF(invoice[[#This Row],[سال]]=year,1,0)</f>
        <v>0</v>
      </c>
      <c r="M57" s="148"/>
      <c r="N57" s="149"/>
      <c r="O57" s="194">
        <f>SUMIF(bargiri[شماره پیش فاکتور],invoice[[#This Row],[شماره پیش فاکتور]],bargiri[میزان بارگیری شده])/invoice[[#This Row],[میزان سفارش]]</f>
        <v>1</v>
      </c>
      <c r="P57" s="149" t="str">
        <f>IF(invoice[[#This Row],[نوع سفارش]]="غیرفعال","عادی",invoice[[#This Row],[نوع سفارش]])</f>
        <v>عادی</v>
      </c>
      <c r="Q57" s="149">
        <f>SUMIFS('جزییات بارگیری'!D:D,'جزییات بارگیری'!C:C,invoice[[#This Row],[شماره پیش فاکتور]])</f>
        <v>68110</v>
      </c>
      <c r="R57" s="149">
        <f>IF(invoice[[#This Row],[میزان سفارش]]-invoice[[#This Row],[میزان حمل شده ]]&lt;0,0,invoice[[#This Row],[میزان سفارش]]-invoice[[#This Row],[میزان حمل شده ]])</f>
        <v>0</v>
      </c>
      <c r="S57" s="149">
        <f>invoice[[#This Row],[میزان حمل نشده ]]*invoice[[#This Row],[فی]]</f>
        <v>0</v>
      </c>
    </row>
    <row r="58" spans="1:19" ht="30.6" customHeight="1">
      <c r="A58" s="150" t="s">
        <v>40</v>
      </c>
      <c r="B58" s="150" t="s">
        <v>104</v>
      </c>
      <c r="C58" s="150" t="s">
        <v>155</v>
      </c>
      <c r="D58" s="151" t="s">
        <v>133</v>
      </c>
      <c r="E58" s="243">
        <v>50000</v>
      </c>
      <c r="F58" s="148">
        <v>92180</v>
      </c>
      <c r="G58" s="149" t="str">
        <f>CHOOSE(MID(invoice[[#This Row],[تاریخ]],6,2),"فروردین","اردیبهشت","خرداد","تیر","مرداد","شهریور","مهر","آبان","آذر","دی","بهمن","اسفند")</f>
        <v>دی</v>
      </c>
      <c r="H58" s="149">
        <f>_xlfn.NUMBERVALUE(MID(invoice[[#This Row],[تاریخ]],1,4))</f>
        <v>1403</v>
      </c>
      <c r="I58" s="149" t="s">
        <v>242</v>
      </c>
      <c r="J58" s="149" t="s">
        <v>504</v>
      </c>
      <c r="K58" s="151">
        <v>46466</v>
      </c>
      <c r="L58" s="149">
        <f>IF(invoice[[#This Row],[سال]]=year,1,0)</f>
        <v>0</v>
      </c>
      <c r="M58" s="148"/>
      <c r="N58" s="149"/>
      <c r="O58" s="194">
        <f>SUMIF(bargiri[شماره پیش فاکتور],invoice[[#This Row],[شماره پیش فاکتور]],bargiri[میزان بارگیری شده])/invoice[[#This Row],[میزان سفارش]]</f>
        <v>1</v>
      </c>
      <c r="P58" s="149" t="str">
        <f>IF(invoice[[#This Row],[نوع سفارش]]="غیرفعال","عادی",invoice[[#This Row],[نوع سفارش]])</f>
        <v>بورس</v>
      </c>
      <c r="Q58" s="149">
        <f>SUMIFS('جزییات بارگیری'!D:D,'جزییات بارگیری'!C:C,invoice[[#This Row],[شماره پیش فاکتور]])</f>
        <v>50000</v>
      </c>
      <c r="R58" s="149">
        <f>IF(invoice[[#This Row],[میزان سفارش]]-invoice[[#This Row],[میزان حمل شده ]]&lt;0,0,invoice[[#This Row],[میزان سفارش]]-invoice[[#This Row],[میزان حمل شده ]])</f>
        <v>0</v>
      </c>
      <c r="S58" s="149">
        <f>invoice[[#This Row],[میزان حمل نشده ]]*invoice[[#This Row],[فی]]</f>
        <v>0</v>
      </c>
    </row>
    <row r="59" spans="1:19" ht="30.6" customHeight="1">
      <c r="A59" s="150" t="s">
        <v>52</v>
      </c>
      <c r="B59" s="150" t="s">
        <v>108</v>
      </c>
      <c r="C59" s="150" t="s">
        <v>160</v>
      </c>
      <c r="D59" s="151" t="s">
        <v>207</v>
      </c>
      <c r="E59" s="243">
        <v>39915</v>
      </c>
      <c r="F59" s="148">
        <v>90000</v>
      </c>
      <c r="G59" s="149" t="str">
        <f>CHOOSE(MID(invoice[[#This Row],[تاریخ]],6,2),"فروردین","اردیبهشت","خرداد","تیر","مرداد","شهریور","مهر","آبان","آذر","دی","بهمن","اسفند")</f>
        <v>دی</v>
      </c>
      <c r="H59" s="149">
        <f>_xlfn.NUMBERVALUE(MID(invoice[[#This Row],[تاریخ]],1,4))</f>
        <v>1403</v>
      </c>
      <c r="I59" s="149" t="s">
        <v>243</v>
      </c>
      <c r="J59" s="149" t="s">
        <v>728</v>
      </c>
      <c r="K59" s="151">
        <v>46466</v>
      </c>
      <c r="L59" s="149">
        <f>IF(invoice[[#This Row],[سال]]=year,1,0)</f>
        <v>0</v>
      </c>
      <c r="M59" s="148"/>
      <c r="N59" s="149"/>
      <c r="O59" s="194">
        <f>SUMIF(bargiri[شماره پیش فاکتور],invoice[[#This Row],[شماره پیش فاکتور]],bargiri[میزان بارگیری شده])/invoice[[#This Row],[میزان سفارش]]</f>
        <v>1</v>
      </c>
      <c r="P59" s="149" t="str">
        <f>IF(invoice[[#This Row],[نوع سفارش]]="غیرفعال","عادی",invoice[[#This Row],[نوع سفارش]])</f>
        <v>عادی</v>
      </c>
      <c r="Q59" s="149">
        <f>SUMIFS('جزییات بارگیری'!D:D,'جزییات بارگیری'!C:C,invoice[[#This Row],[شماره پیش فاکتور]])</f>
        <v>39915</v>
      </c>
      <c r="R59" s="149">
        <f>IF(invoice[[#This Row],[میزان سفارش]]-invoice[[#This Row],[میزان حمل شده ]]&lt;0,0,invoice[[#This Row],[میزان سفارش]]-invoice[[#This Row],[میزان حمل شده ]])</f>
        <v>0</v>
      </c>
      <c r="S59" s="149">
        <f>invoice[[#This Row],[میزان حمل نشده ]]*invoice[[#This Row],[فی]]</f>
        <v>0</v>
      </c>
    </row>
    <row r="60" spans="1:19" ht="30.6" customHeight="1">
      <c r="A60" s="150" t="s">
        <v>63</v>
      </c>
      <c r="B60" s="150" t="s">
        <v>114</v>
      </c>
      <c r="C60" s="150" t="s">
        <v>160</v>
      </c>
      <c r="D60" s="151" t="s">
        <v>214</v>
      </c>
      <c r="E60" s="243">
        <v>300000</v>
      </c>
      <c r="F60" s="148">
        <v>75000</v>
      </c>
      <c r="G60" s="149" t="str">
        <f>CHOOSE(MID(invoice[[#This Row],[تاریخ]],6,2),"فروردین","اردیبهشت","خرداد","تیر","مرداد","شهریور","مهر","آبان","آذر","دی","بهمن","اسفند")</f>
        <v>دی</v>
      </c>
      <c r="H60" s="149">
        <f>_xlfn.NUMBERVALUE(MID(invoice[[#This Row],[تاریخ]],1,4))</f>
        <v>1403</v>
      </c>
      <c r="I60" s="149" t="s">
        <v>243</v>
      </c>
      <c r="J60" s="149" t="s">
        <v>728</v>
      </c>
      <c r="K60" s="151">
        <v>46466</v>
      </c>
      <c r="L60" s="149">
        <f>IF(invoice[[#This Row],[سال]]=year,1,0)</f>
        <v>0</v>
      </c>
      <c r="M60" s="148"/>
      <c r="N60" s="149"/>
      <c r="O60" s="194">
        <f>SUMIF(bargiri[شماره پیش فاکتور],invoice[[#This Row],[شماره پیش فاکتور]],bargiri[میزان بارگیری شده])/invoice[[#This Row],[میزان سفارش]]</f>
        <v>1</v>
      </c>
      <c r="P60" s="149" t="str">
        <f>IF(invoice[[#This Row],[نوع سفارش]]="غیرفعال","عادی",invoice[[#This Row],[نوع سفارش]])</f>
        <v>عادی</v>
      </c>
      <c r="Q60" s="149">
        <f>SUMIFS('جزییات بارگیری'!D:D,'جزییات بارگیری'!C:C,invoice[[#This Row],[شماره پیش فاکتور]])</f>
        <v>300000</v>
      </c>
      <c r="R60" s="149">
        <f>IF(invoice[[#This Row],[میزان سفارش]]-invoice[[#This Row],[میزان حمل شده ]]&lt;0,0,invoice[[#This Row],[میزان سفارش]]-invoice[[#This Row],[میزان حمل شده ]])</f>
        <v>0</v>
      </c>
      <c r="S60" s="149">
        <f>invoice[[#This Row],[میزان حمل نشده ]]*invoice[[#This Row],[فی]]</f>
        <v>0</v>
      </c>
    </row>
    <row r="61" spans="1:19" ht="30.6" customHeight="1">
      <c r="A61" s="150" t="s">
        <v>79</v>
      </c>
      <c r="B61" s="150" t="s">
        <v>117</v>
      </c>
      <c r="C61" s="150" t="s">
        <v>177</v>
      </c>
      <c r="D61" s="151" t="s">
        <v>223</v>
      </c>
      <c r="E61" s="243">
        <v>320000</v>
      </c>
      <c r="F61" s="148">
        <v>75000</v>
      </c>
      <c r="G61" s="149" t="str">
        <f>CHOOSE(MID(invoice[[#This Row],[تاریخ]],6,2),"فروردین","اردیبهشت","خرداد","تیر","مرداد","شهریور","مهر","آبان","آذر","دی","بهمن","اسفند")</f>
        <v>دی</v>
      </c>
      <c r="H61" s="149">
        <f>_xlfn.NUMBERVALUE(MID(invoice[[#This Row],[تاریخ]],1,4))</f>
        <v>1403</v>
      </c>
      <c r="I61" s="149" t="s">
        <v>243</v>
      </c>
      <c r="J61" s="149" t="s">
        <v>504</v>
      </c>
      <c r="K61" s="151">
        <v>46466</v>
      </c>
      <c r="L61" s="149">
        <f>IF(invoice[[#This Row],[سال]]=year,1,0)</f>
        <v>0</v>
      </c>
      <c r="M61" s="148"/>
      <c r="N61" s="149"/>
      <c r="O61" s="194">
        <f>SUMIF(bargiri[شماره پیش فاکتور],invoice[[#This Row],[شماره پیش فاکتور]],bargiri[میزان بارگیری شده])/invoice[[#This Row],[میزان سفارش]]</f>
        <v>1</v>
      </c>
      <c r="P61" s="149" t="str">
        <f>IF(invoice[[#This Row],[نوع سفارش]]="غیرفعال","عادی",invoice[[#This Row],[نوع سفارش]])</f>
        <v>عادی</v>
      </c>
      <c r="Q61" s="149">
        <f>SUMIFS('جزییات بارگیری'!D:D,'جزییات بارگیری'!C:C,invoice[[#This Row],[شماره پیش فاکتور]])</f>
        <v>320000</v>
      </c>
      <c r="R61" s="149">
        <f>IF(invoice[[#This Row],[میزان سفارش]]-invoice[[#This Row],[میزان حمل شده ]]&lt;0,0,invoice[[#This Row],[میزان سفارش]]-invoice[[#This Row],[میزان حمل شده ]])</f>
        <v>0</v>
      </c>
      <c r="S61" s="149">
        <f>invoice[[#This Row],[میزان حمل نشده ]]*invoice[[#This Row],[فی]]</f>
        <v>0</v>
      </c>
    </row>
    <row r="62" spans="1:19" ht="30.6" customHeight="1">
      <c r="A62" s="150" t="s">
        <v>7</v>
      </c>
      <c r="B62" s="150" t="s">
        <v>98</v>
      </c>
      <c r="C62" s="150" t="s">
        <v>135</v>
      </c>
      <c r="D62" s="151" t="s">
        <v>144</v>
      </c>
      <c r="E62" s="243">
        <v>50000</v>
      </c>
      <c r="F62" s="148">
        <v>92180</v>
      </c>
      <c r="G62" s="149" t="str">
        <f>CHOOSE(MID(invoice[[#This Row],[تاریخ]],6,2),"فروردین","اردیبهشت","خرداد","تیر","مرداد","شهریور","مهر","آبان","آذر","دی","بهمن","اسفند")</f>
        <v>دی</v>
      </c>
      <c r="H62" s="149">
        <f>_xlfn.NUMBERVALUE(MID(invoice[[#This Row],[تاریخ]],1,4))</f>
        <v>1403</v>
      </c>
      <c r="I62" s="149" t="s">
        <v>242</v>
      </c>
      <c r="J62" s="149" t="s">
        <v>504</v>
      </c>
      <c r="K62" s="151">
        <v>46466</v>
      </c>
      <c r="L62" s="149">
        <f>IF(invoice[[#This Row],[سال]]=year,1,0)</f>
        <v>0</v>
      </c>
      <c r="M62" s="148"/>
      <c r="N62" s="149"/>
      <c r="O62" s="194">
        <f>SUMIF(bargiri[شماره پیش فاکتور],invoice[[#This Row],[شماره پیش فاکتور]],bargiri[میزان بارگیری شده])/invoice[[#This Row],[میزان سفارش]]</f>
        <v>1</v>
      </c>
      <c r="P62" s="149" t="str">
        <f>IF(invoice[[#This Row],[نوع سفارش]]="غیرفعال","عادی",invoice[[#This Row],[نوع سفارش]])</f>
        <v>بورس</v>
      </c>
      <c r="Q62" s="149">
        <f>SUMIFS('جزییات بارگیری'!D:D,'جزییات بارگیری'!C:C,invoice[[#This Row],[شماره پیش فاکتور]])</f>
        <v>50000</v>
      </c>
      <c r="R62" s="149">
        <f>IF(invoice[[#This Row],[میزان سفارش]]-invoice[[#This Row],[میزان حمل شده ]]&lt;0,0,invoice[[#This Row],[میزان سفارش]]-invoice[[#This Row],[میزان حمل شده ]])</f>
        <v>0</v>
      </c>
      <c r="S62" s="149">
        <f>invoice[[#This Row],[میزان حمل نشده ]]*invoice[[#This Row],[فی]]</f>
        <v>0</v>
      </c>
    </row>
    <row r="63" spans="1:19" ht="30.6" customHeight="1">
      <c r="A63" s="150" t="s">
        <v>64</v>
      </c>
      <c r="B63" s="150" t="s">
        <v>115</v>
      </c>
      <c r="C63" s="150" t="s">
        <v>167</v>
      </c>
      <c r="D63" s="151" t="s">
        <v>167</v>
      </c>
      <c r="E63" s="243">
        <v>18725</v>
      </c>
      <c r="F63" s="148">
        <v>75000</v>
      </c>
      <c r="G63" s="149" t="str">
        <f>CHOOSE(MID(invoice[[#This Row],[تاریخ]],6,2),"فروردین","اردیبهشت","خرداد","تیر","مرداد","شهریور","مهر","آبان","آذر","دی","بهمن","اسفند")</f>
        <v>دی</v>
      </c>
      <c r="H63" s="149">
        <f>_xlfn.NUMBERVALUE(MID(invoice[[#This Row],[تاریخ]],1,4))</f>
        <v>1403</v>
      </c>
      <c r="I63" s="149" t="s">
        <v>554</v>
      </c>
      <c r="J63" s="149" t="s">
        <v>728</v>
      </c>
      <c r="K63" s="151">
        <v>46466</v>
      </c>
      <c r="L63" s="149">
        <f>IF(invoice[[#This Row],[سال]]=year,1,0)</f>
        <v>0</v>
      </c>
      <c r="M63" s="148"/>
      <c r="N63" s="149"/>
      <c r="O63" s="194">
        <f>SUMIF(bargiri[شماره پیش فاکتور],invoice[[#This Row],[شماره پیش فاکتور]],bargiri[میزان بارگیری شده])/invoice[[#This Row],[میزان سفارش]]</f>
        <v>1</v>
      </c>
      <c r="P63" s="149" t="str">
        <f>IF(invoice[[#This Row],[نوع سفارش]]="غیرفعال","عادی",invoice[[#This Row],[نوع سفارش]])</f>
        <v>عادی</v>
      </c>
      <c r="Q63" s="149">
        <f>SUMIFS('جزییات بارگیری'!D:D,'جزییات بارگیری'!C:C,invoice[[#This Row],[شماره پیش فاکتور]])</f>
        <v>18725</v>
      </c>
      <c r="R63" s="149">
        <f>IF(invoice[[#This Row],[میزان سفارش]]-invoice[[#This Row],[میزان حمل شده ]]&lt;0,0,invoice[[#This Row],[میزان سفارش]]-invoice[[#This Row],[میزان حمل شده ]])</f>
        <v>0</v>
      </c>
      <c r="S63" s="149">
        <f>invoice[[#This Row],[میزان حمل نشده ]]*invoice[[#This Row],[فی]]</f>
        <v>0</v>
      </c>
    </row>
    <row r="64" spans="1:19" ht="30.6" customHeight="1">
      <c r="A64" s="150" t="s">
        <v>39</v>
      </c>
      <c r="B64" s="150" t="s">
        <v>104</v>
      </c>
      <c r="C64" s="150" t="s">
        <v>154</v>
      </c>
      <c r="D64" s="151" t="s">
        <v>201</v>
      </c>
      <c r="E64" s="243">
        <v>85900</v>
      </c>
      <c r="F64" s="148">
        <v>65000</v>
      </c>
      <c r="G64" s="149" t="str">
        <f>CHOOSE(MID(invoice[[#This Row],[تاریخ]],6,2),"فروردین","اردیبهشت","خرداد","تیر","مرداد","شهریور","مهر","آبان","آذر","دی","بهمن","اسفند")</f>
        <v>دی</v>
      </c>
      <c r="H64" s="149">
        <f>_xlfn.NUMBERVALUE(MID(invoice[[#This Row],[تاریخ]],1,4))</f>
        <v>1403</v>
      </c>
      <c r="I64" s="149" t="s">
        <v>240</v>
      </c>
      <c r="J64" s="149" t="s">
        <v>504</v>
      </c>
      <c r="K64" s="151">
        <v>46466</v>
      </c>
      <c r="L64" s="149">
        <f>IF(invoice[[#This Row],[سال]]=year,1,0)</f>
        <v>0</v>
      </c>
      <c r="M64" s="148"/>
      <c r="N64" s="149"/>
      <c r="O64" s="194">
        <f>SUMIF(bargiri[شماره پیش فاکتور],invoice[[#This Row],[شماره پیش فاکتور]],bargiri[میزان بارگیری شده])/invoice[[#This Row],[میزان سفارش]]</f>
        <v>1</v>
      </c>
      <c r="P64" s="149" t="str">
        <f>IF(invoice[[#This Row],[نوع سفارش]]="غیرفعال","عادی",invoice[[#This Row],[نوع سفارش]])</f>
        <v>تعادلی</v>
      </c>
      <c r="Q64" s="149">
        <f>SUMIFS('جزییات بارگیری'!D:D,'جزییات بارگیری'!C:C,invoice[[#This Row],[شماره پیش فاکتور]])</f>
        <v>85900</v>
      </c>
      <c r="R64" s="149">
        <f>IF(invoice[[#This Row],[میزان سفارش]]-invoice[[#This Row],[میزان حمل شده ]]&lt;0,0,invoice[[#This Row],[میزان سفارش]]-invoice[[#This Row],[میزان حمل شده ]])</f>
        <v>0</v>
      </c>
      <c r="S64" s="149">
        <f>invoice[[#This Row],[میزان حمل نشده ]]*invoice[[#This Row],[فی]]</f>
        <v>0</v>
      </c>
    </row>
    <row r="65" spans="1:19" ht="30.6" customHeight="1">
      <c r="A65" s="150" t="s">
        <v>45</v>
      </c>
      <c r="B65" s="150" t="s">
        <v>106</v>
      </c>
      <c r="C65" s="150" t="s">
        <v>154</v>
      </c>
      <c r="D65" s="151" t="s">
        <v>203</v>
      </c>
      <c r="E65" s="243">
        <v>300000</v>
      </c>
      <c r="F65" s="148">
        <v>80000</v>
      </c>
      <c r="G65" s="149" t="str">
        <f>CHOOSE(MID(invoice[[#This Row],[تاریخ]],6,2),"فروردین","اردیبهشت","خرداد","تیر","مرداد","شهریور","مهر","آبان","آذر","دی","بهمن","اسفند")</f>
        <v>دی</v>
      </c>
      <c r="H65" s="149">
        <f>_xlfn.NUMBERVALUE(MID(invoice[[#This Row],[تاریخ]],1,4))</f>
        <v>1403</v>
      </c>
      <c r="I65" s="149" t="s">
        <v>243</v>
      </c>
      <c r="J65" s="149" t="s">
        <v>504</v>
      </c>
      <c r="K65" s="151">
        <v>46466</v>
      </c>
      <c r="L65" s="149">
        <f>IF(invoice[[#This Row],[سال]]=year,1,0)</f>
        <v>0</v>
      </c>
      <c r="M65" s="148"/>
      <c r="N65" s="149"/>
      <c r="O65" s="194">
        <f>SUMIF(bargiri[شماره پیش فاکتور],invoice[[#This Row],[شماره پیش فاکتور]],bargiri[میزان بارگیری شده])/invoice[[#This Row],[میزان سفارش]]</f>
        <v>1</v>
      </c>
      <c r="P65" s="149" t="str">
        <f>IF(invoice[[#This Row],[نوع سفارش]]="غیرفعال","عادی",invoice[[#This Row],[نوع سفارش]])</f>
        <v>عادی</v>
      </c>
      <c r="Q65" s="149">
        <f>SUMIFS('جزییات بارگیری'!D:D,'جزییات بارگیری'!C:C,invoice[[#This Row],[شماره پیش فاکتور]])</f>
        <v>300000</v>
      </c>
      <c r="R65" s="149">
        <f>IF(invoice[[#This Row],[میزان سفارش]]-invoice[[#This Row],[میزان حمل شده ]]&lt;0,0,invoice[[#This Row],[میزان سفارش]]-invoice[[#This Row],[میزان حمل شده ]])</f>
        <v>0</v>
      </c>
      <c r="S65" s="149">
        <f>invoice[[#This Row],[میزان حمل نشده ]]*invoice[[#This Row],[فی]]</f>
        <v>0</v>
      </c>
    </row>
    <row r="66" spans="1:19" ht="30.6" customHeight="1">
      <c r="A66" s="150" t="s">
        <v>73</v>
      </c>
      <c r="B66" s="150" t="s">
        <v>116</v>
      </c>
      <c r="C66" s="150" t="s">
        <v>173</v>
      </c>
      <c r="D66" s="151" t="s">
        <v>218</v>
      </c>
      <c r="E66" s="243">
        <v>50000</v>
      </c>
      <c r="F66" s="148">
        <v>92180</v>
      </c>
      <c r="G66" s="149" t="str">
        <f>CHOOSE(MID(invoice[[#This Row],[تاریخ]],6,2),"فروردین","اردیبهشت","خرداد","تیر","مرداد","شهریور","مهر","آبان","آذر","دی","بهمن","اسفند")</f>
        <v>بهمن</v>
      </c>
      <c r="H66" s="149">
        <f>_xlfn.NUMBERVALUE(MID(invoice[[#This Row],[تاریخ]],1,4))</f>
        <v>1403</v>
      </c>
      <c r="I66" s="149" t="s">
        <v>242</v>
      </c>
      <c r="J66" s="149" t="s">
        <v>504</v>
      </c>
      <c r="K66" s="151">
        <v>46466</v>
      </c>
      <c r="L66" s="149">
        <f>IF(invoice[[#This Row],[سال]]=year,1,0)</f>
        <v>0</v>
      </c>
      <c r="M66" s="148"/>
      <c r="N66" s="149"/>
      <c r="O66" s="194">
        <f>SUMIF(bargiri[شماره پیش فاکتور],invoice[[#This Row],[شماره پیش فاکتور]],bargiri[میزان بارگیری شده])/invoice[[#This Row],[میزان سفارش]]</f>
        <v>1</v>
      </c>
      <c r="P66" s="149" t="str">
        <f>IF(invoice[[#This Row],[نوع سفارش]]="غیرفعال","عادی",invoice[[#This Row],[نوع سفارش]])</f>
        <v>بورس</v>
      </c>
      <c r="Q66" s="149">
        <f>SUMIFS('جزییات بارگیری'!D:D,'جزییات بارگیری'!C:C,invoice[[#This Row],[شماره پیش فاکتور]])</f>
        <v>50000</v>
      </c>
      <c r="R66" s="149">
        <f>IF(invoice[[#This Row],[میزان سفارش]]-invoice[[#This Row],[میزان حمل شده ]]&lt;0,0,invoice[[#This Row],[میزان سفارش]]-invoice[[#This Row],[میزان حمل شده ]])</f>
        <v>0</v>
      </c>
      <c r="S66" s="149">
        <f>invoice[[#This Row],[میزان حمل نشده ]]*invoice[[#This Row],[فی]]</f>
        <v>0</v>
      </c>
    </row>
    <row r="67" spans="1:19" ht="30.6" customHeight="1">
      <c r="A67" s="150" t="s">
        <v>44</v>
      </c>
      <c r="B67" s="150" t="s">
        <v>106</v>
      </c>
      <c r="C67" s="150" t="s">
        <v>157</v>
      </c>
      <c r="D67" s="151" t="s">
        <v>157</v>
      </c>
      <c r="E67" s="243">
        <v>1000000</v>
      </c>
      <c r="F67" s="148">
        <v>80000</v>
      </c>
      <c r="G67" s="149" t="str">
        <f>CHOOSE(MID(invoice[[#This Row],[تاریخ]],6,2),"فروردین","اردیبهشت","خرداد","تیر","مرداد","شهریور","مهر","آبان","آذر","دی","بهمن","اسفند")</f>
        <v>بهمن</v>
      </c>
      <c r="H67" s="149">
        <f>_xlfn.NUMBERVALUE(MID(invoice[[#This Row],[تاریخ]],1,4))</f>
        <v>1403</v>
      </c>
      <c r="I67" s="149" t="s">
        <v>243</v>
      </c>
      <c r="J67" s="149" t="s">
        <v>504</v>
      </c>
      <c r="K67" s="151">
        <v>46466</v>
      </c>
      <c r="L67" s="149">
        <f>IF(invoice[[#This Row],[سال]]=year,1,0)</f>
        <v>0</v>
      </c>
      <c r="M67" s="148"/>
      <c r="N67" s="149"/>
      <c r="O67" s="194">
        <f>SUMIF(bargiri[شماره پیش فاکتور],invoice[[#This Row],[شماره پیش فاکتور]],bargiri[میزان بارگیری شده])/invoice[[#This Row],[میزان سفارش]]</f>
        <v>1</v>
      </c>
      <c r="P67" s="149" t="str">
        <f>IF(invoice[[#This Row],[نوع سفارش]]="غیرفعال","عادی",invoice[[#This Row],[نوع سفارش]])</f>
        <v>عادی</v>
      </c>
      <c r="Q67" s="149">
        <f>SUMIFS('جزییات بارگیری'!D:D,'جزییات بارگیری'!C:C,invoice[[#This Row],[شماره پیش فاکتور]])</f>
        <v>1000000</v>
      </c>
      <c r="R67" s="149">
        <f>IF(invoice[[#This Row],[میزان سفارش]]-invoice[[#This Row],[میزان حمل شده ]]&lt;0,0,invoice[[#This Row],[میزان سفارش]]-invoice[[#This Row],[میزان حمل شده ]])</f>
        <v>0</v>
      </c>
      <c r="S67" s="149">
        <f>invoice[[#This Row],[میزان حمل نشده ]]*invoice[[#This Row],[فی]]</f>
        <v>0</v>
      </c>
    </row>
    <row r="68" spans="1:19" ht="30.6" customHeight="1">
      <c r="A68" s="150" t="s">
        <v>72</v>
      </c>
      <c r="B68" s="150" t="s">
        <v>116</v>
      </c>
      <c r="C68" s="150" t="s">
        <v>172</v>
      </c>
      <c r="D68" s="151" t="s">
        <v>217</v>
      </c>
      <c r="E68" s="243">
        <v>85900</v>
      </c>
      <c r="F68" s="148">
        <v>65000</v>
      </c>
      <c r="G68" s="149" t="str">
        <f>CHOOSE(MID(invoice[[#This Row],[تاریخ]],6,2),"فروردین","اردیبهشت","خرداد","تیر","مرداد","شهریور","مهر","آبان","آذر","دی","بهمن","اسفند")</f>
        <v>بهمن</v>
      </c>
      <c r="H68" s="149">
        <f>_xlfn.NUMBERVALUE(MID(invoice[[#This Row],[تاریخ]],1,4))</f>
        <v>1403</v>
      </c>
      <c r="I68" s="149" t="s">
        <v>240</v>
      </c>
      <c r="J68" s="149" t="s">
        <v>504</v>
      </c>
      <c r="K68" s="151">
        <v>46466</v>
      </c>
      <c r="L68" s="149">
        <f>IF(invoice[[#This Row],[سال]]=year,1,0)</f>
        <v>0</v>
      </c>
      <c r="M68" s="148"/>
      <c r="N68" s="149"/>
      <c r="O68" s="194">
        <f>SUMIF(bargiri[شماره پیش فاکتور],invoice[[#This Row],[شماره پیش فاکتور]],bargiri[میزان بارگیری شده])/invoice[[#This Row],[میزان سفارش]]</f>
        <v>1</v>
      </c>
      <c r="P68" s="149" t="str">
        <f>IF(invoice[[#This Row],[نوع سفارش]]="غیرفعال","عادی",invoice[[#This Row],[نوع سفارش]])</f>
        <v>تعادلی</v>
      </c>
      <c r="Q68" s="149">
        <f>SUMIFS('جزییات بارگیری'!D:D,'جزییات بارگیری'!C:C,invoice[[#This Row],[شماره پیش فاکتور]])</f>
        <v>85900</v>
      </c>
      <c r="R68" s="149">
        <f>IF(invoice[[#This Row],[میزان سفارش]]-invoice[[#This Row],[میزان حمل شده ]]&lt;0,0,invoice[[#This Row],[میزان سفارش]]-invoice[[#This Row],[میزان حمل شده ]])</f>
        <v>0</v>
      </c>
      <c r="S68" s="149">
        <f>invoice[[#This Row],[میزان حمل نشده ]]*invoice[[#This Row],[فی]]</f>
        <v>0</v>
      </c>
    </row>
    <row r="69" spans="1:19" ht="30.6" customHeight="1">
      <c r="A69" s="150" t="s">
        <v>62</v>
      </c>
      <c r="B69" s="150" t="s">
        <v>114</v>
      </c>
      <c r="C69" s="150" t="s">
        <v>166</v>
      </c>
      <c r="D69" s="151" t="s">
        <v>166</v>
      </c>
      <c r="E69" s="243">
        <v>500000</v>
      </c>
      <c r="F69" s="148">
        <v>75000</v>
      </c>
      <c r="G69" s="149" t="str">
        <f>CHOOSE(MID(invoice[[#This Row],[تاریخ]],6,2),"فروردین","اردیبهشت","خرداد","تیر","مرداد","شهریور","مهر","آبان","آذر","دی","بهمن","اسفند")</f>
        <v>بهمن</v>
      </c>
      <c r="H69" s="149">
        <f>_xlfn.NUMBERVALUE(MID(invoice[[#This Row],[تاریخ]],1,4))</f>
        <v>1403</v>
      </c>
      <c r="I69" s="149" t="s">
        <v>243</v>
      </c>
      <c r="J69" s="149" t="s">
        <v>728</v>
      </c>
      <c r="K69" s="151">
        <v>46466</v>
      </c>
      <c r="L69" s="149">
        <f>IF(invoice[[#This Row],[سال]]=year,1,0)</f>
        <v>0</v>
      </c>
      <c r="M69" s="148"/>
      <c r="N69" s="149"/>
      <c r="O69" s="194">
        <f>SUMIF(bargiri[شماره پیش فاکتور],invoice[[#This Row],[شماره پیش فاکتور]],bargiri[میزان بارگیری شده])/invoice[[#This Row],[میزان سفارش]]</f>
        <v>1</v>
      </c>
      <c r="P69" s="149" t="str">
        <f>IF(invoice[[#This Row],[نوع سفارش]]="غیرفعال","عادی",invoice[[#This Row],[نوع سفارش]])</f>
        <v>عادی</v>
      </c>
      <c r="Q69" s="149">
        <f>SUMIFS('جزییات بارگیری'!D:D,'جزییات بارگیری'!C:C,invoice[[#This Row],[شماره پیش فاکتور]])</f>
        <v>500000</v>
      </c>
      <c r="R69" s="149">
        <f>IF(invoice[[#This Row],[میزان سفارش]]-invoice[[#This Row],[میزان حمل شده ]]&lt;0,0,invoice[[#This Row],[میزان سفارش]]-invoice[[#This Row],[میزان حمل شده ]])</f>
        <v>0</v>
      </c>
      <c r="S69" s="149">
        <f>invoice[[#This Row],[میزان حمل نشده ]]*invoice[[#This Row],[فی]]</f>
        <v>0</v>
      </c>
    </row>
    <row r="70" spans="1:19" ht="30.6" customHeight="1">
      <c r="A70" s="150" t="s">
        <v>38</v>
      </c>
      <c r="B70" s="150" t="s">
        <v>104</v>
      </c>
      <c r="C70" s="150" t="s">
        <v>153</v>
      </c>
      <c r="D70" s="151" t="s">
        <v>153</v>
      </c>
      <c r="E70" s="243">
        <v>50000</v>
      </c>
      <c r="F70" s="148">
        <v>83800</v>
      </c>
      <c r="G70" s="149" t="str">
        <f>CHOOSE(MID(invoice[[#This Row],[تاریخ]],6,2),"فروردین","اردیبهشت","خرداد","تیر","مرداد","شهریور","مهر","آبان","آذر","دی","بهمن","اسفند")</f>
        <v>بهمن</v>
      </c>
      <c r="H70" s="149">
        <f>_xlfn.NUMBERVALUE(MID(invoice[[#This Row],[تاریخ]],1,4))</f>
        <v>1403</v>
      </c>
      <c r="I70" s="149" t="s">
        <v>242</v>
      </c>
      <c r="J70" s="149" t="s">
        <v>504</v>
      </c>
      <c r="K70" s="151">
        <v>46466</v>
      </c>
      <c r="L70" s="149">
        <f>IF(invoice[[#This Row],[سال]]=year,1,0)</f>
        <v>0</v>
      </c>
      <c r="M70" s="148"/>
      <c r="N70" s="149"/>
      <c r="O70" s="194">
        <f>SUMIF(bargiri[شماره پیش فاکتور],invoice[[#This Row],[شماره پیش فاکتور]],bargiri[میزان بارگیری شده])/invoice[[#This Row],[میزان سفارش]]</f>
        <v>1</v>
      </c>
      <c r="P70" s="149" t="str">
        <f>IF(invoice[[#This Row],[نوع سفارش]]="غیرفعال","عادی",invoice[[#This Row],[نوع سفارش]])</f>
        <v>بورس</v>
      </c>
      <c r="Q70" s="149">
        <f>SUMIFS('جزییات بارگیری'!D:D,'جزییات بارگیری'!C:C,invoice[[#This Row],[شماره پیش فاکتور]])</f>
        <v>50000</v>
      </c>
      <c r="R70" s="149">
        <f>IF(invoice[[#This Row],[میزان سفارش]]-invoice[[#This Row],[میزان حمل شده ]]&lt;0,0,invoice[[#This Row],[میزان سفارش]]-invoice[[#This Row],[میزان حمل شده ]])</f>
        <v>0</v>
      </c>
      <c r="S70" s="149">
        <f>invoice[[#This Row],[میزان حمل نشده ]]*invoice[[#This Row],[فی]]</f>
        <v>0</v>
      </c>
    </row>
    <row r="71" spans="1:19" ht="30.6" customHeight="1">
      <c r="A71" s="150" t="s">
        <v>12</v>
      </c>
      <c r="B71" s="150" t="s">
        <v>99</v>
      </c>
      <c r="C71" s="150" t="s">
        <v>140</v>
      </c>
      <c r="D71" s="151" t="s">
        <v>140</v>
      </c>
      <c r="E71" s="243">
        <v>1000000</v>
      </c>
      <c r="F71" s="148">
        <v>86500</v>
      </c>
      <c r="G71" s="149" t="str">
        <f>CHOOSE(MID(invoice[[#This Row],[تاریخ]],6,2),"فروردین","اردیبهشت","خرداد","تیر","مرداد","شهریور","مهر","آبان","آذر","دی","بهمن","اسفند")</f>
        <v>بهمن</v>
      </c>
      <c r="H71" s="149">
        <f>_xlfn.NUMBERVALUE(MID(invoice[[#This Row],[تاریخ]],1,4))</f>
        <v>1403</v>
      </c>
      <c r="I71" s="149" t="s">
        <v>243</v>
      </c>
      <c r="J71" s="149" t="s">
        <v>504</v>
      </c>
      <c r="K71" s="151">
        <v>46466</v>
      </c>
      <c r="L71" s="149">
        <f>IF(invoice[[#This Row],[سال]]=year,1,0)</f>
        <v>0</v>
      </c>
      <c r="M71" s="148"/>
      <c r="N71" s="149"/>
      <c r="O71" s="194">
        <f>SUMIF(bargiri[شماره پیش فاکتور],invoice[[#This Row],[شماره پیش فاکتور]],bargiri[میزان بارگیری شده])/invoice[[#This Row],[میزان سفارش]]</f>
        <v>1.0018549999999999</v>
      </c>
      <c r="P71" s="149" t="str">
        <f>IF(invoice[[#This Row],[نوع سفارش]]="غیرفعال","عادی",invoice[[#This Row],[نوع سفارش]])</f>
        <v>عادی</v>
      </c>
      <c r="Q71" s="149">
        <f>SUMIFS('جزییات بارگیری'!D:D,'جزییات بارگیری'!C:C,invoice[[#This Row],[شماره پیش فاکتور]])</f>
        <v>1001855</v>
      </c>
      <c r="R71" s="149">
        <f>IF(invoice[[#This Row],[میزان سفارش]]-invoice[[#This Row],[میزان حمل شده ]]&lt;0,0,invoice[[#This Row],[میزان سفارش]]-invoice[[#This Row],[میزان حمل شده ]])</f>
        <v>0</v>
      </c>
      <c r="S71" s="149">
        <f>invoice[[#This Row],[میزان حمل نشده ]]*invoice[[#This Row],[فی]]</f>
        <v>0</v>
      </c>
    </row>
    <row r="72" spans="1:19" ht="30.6" customHeight="1">
      <c r="A72" s="150" t="s">
        <v>71</v>
      </c>
      <c r="B72" s="150" t="s">
        <v>116</v>
      </c>
      <c r="C72" s="150" t="s">
        <v>171</v>
      </c>
      <c r="D72" s="151" t="s">
        <v>171</v>
      </c>
      <c r="E72" s="243">
        <v>50000</v>
      </c>
      <c r="F72" s="148">
        <v>83800</v>
      </c>
      <c r="G72" s="149" t="str">
        <f>CHOOSE(MID(invoice[[#This Row],[تاریخ]],6,2),"فروردین","اردیبهشت","خرداد","تیر","مرداد","شهریور","مهر","آبان","آذر","دی","بهمن","اسفند")</f>
        <v>اسفند</v>
      </c>
      <c r="H72" s="149">
        <f>_xlfn.NUMBERVALUE(MID(invoice[[#This Row],[تاریخ]],1,4))</f>
        <v>1403</v>
      </c>
      <c r="I72" s="149" t="s">
        <v>242</v>
      </c>
      <c r="J72" s="149" t="s">
        <v>504</v>
      </c>
      <c r="K72" s="151">
        <v>46466</v>
      </c>
      <c r="L72" s="149">
        <f>IF(invoice[[#This Row],[سال]]=year,1,0)</f>
        <v>0</v>
      </c>
      <c r="M72" s="148"/>
      <c r="N72" s="149"/>
      <c r="O72" s="194">
        <f>SUMIF(bargiri[شماره پیش فاکتور],invoice[[#This Row],[شماره پیش فاکتور]],bargiri[میزان بارگیری شده])/invoice[[#This Row],[میزان سفارش]]</f>
        <v>1</v>
      </c>
      <c r="P72" s="149" t="str">
        <f>IF(invoice[[#This Row],[نوع سفارش]]="غیرفعال","عادی",invoice[[#This Row],[نوع سفارش]])</f>
        <v>بورس</v>
      </c>
      <c r="Q72" s="149">
        <f>SUMIFS('جزییات بارگیری'!D:D,'جزییات بارگیری'!C:C,invoice[[#This Row],[شماره پیش فاکتور]])</f>
        <v>50000</v>
      </c>
      <c r="R72" s="149">
        <f>IF(invoice[[#This Row],[میزان سفارش]]-invoice[[#This Row],[میزان حمل شده ]]&lt;0,0,invoice[[#This Row],[میزان سفارش]]-invoice[[#This Row],[میزان حمل شده ]])</f>
        <v>0</v>
      </c>
      <c r="S72" s="149">
        <f>invoice[[#This Row],[میزان حمل نشده ]]*invoice[[#This Row],[فی]]</f>
        <v>0</v>
      </c>
    </row>
    <row r="73" spans="1:19" ht="30.6" customHeight="1">
      <c r="A73" s="150" t="s">
        <v>555</v>
      </c>
      <c r="B73" s="150" t="s">
        <v>100</v>
      </c>
      <c r="C73" s="150" t="s">
        <v>549</v>
      </c>
      <c r="D73" s="150" t="s">
        <v>551</v>
      </c>
      <c r="E73" s="148">
        <v>217925</v>
      </c>
      <c r="F73" s="148">
        <v>142000</v>
      </c>
      <c r="G73" s="149" t="str">
        <f>CHOOSE(MID(invoice[[#This Row],[تاریخ]],6,2),"فروردین","اردیبهشت","خرداد","تیر","مرداد","شهریور","مهر","آبان","آذر","دی","بهمن","اسفند")</f>
        <v>اردیبهشت</v>
      </c>
      <c r="H73" s="149">
        <f>_xlfn.NUMBERVALUE(MID(invoice[[#This Row],[تاریخ]],1,4))</f>
        <v>1404</v>
      </c>
      <c r="I73" s="149" t="s">
        <v>241</v>
      </c>
      <c r="J73" s="149" t="s">
        <v>504</v>
      </c>
      <c r="K73" s="151">
        <v>46466</v>
      </c>
      <c r="L73" s="149">
        <f>IF(invoice[[#This Row],[سال]]=year,1,0)</f>
        <v>0</v>
      </c>
      <c r="M73" s="148"/>
      <c r="N73" s="149"/>
      <c r="O73" s="194">
        <f>SUMIF(bargiri[شماره پیش فاکتور],invoice[[#This Row],[شماره پیش فاکتور]],bargiri[میزان بارگیری شده])/invoice[[#This Row],[میزان سفارش]]</f>
        <v>1</v>
      </c>
      <c r="P73" s="149" t="str">
        <f>IF(invoice[[#This Row],[نوع سفارش]]="غیرفعال","عادی",invoice[[#This Row],[نوع سفارش]])</f>
        <v>انجمن</v>
      </c>
      <c r="Q73" s="149">
        <f>SUMIFS('جزییات بارگیری'!D:D,'جزییات بارگیری'!C:C,invoice[[#This Row],[شماره پیش فاکتور]])</f>
        <v>217925</v>
      </c>
      <c r="R73" s="149">
        <f>IF(invoice[[#This Row],[میزان سفارش]]-invoice[[#This Row],[میزان حمل شده ]]&lt;0,0,invoice[[#This Row],[میزان سفارش]]-invoice[[#This Row],[میزان حمل شده ]])</f>
        <v>0</v>
      </c>
      <c r="S73" s="149">
        <f>invoice[[#This Row],[میزان حمل نشده ]]*invoice[[#This Row],[فی]]</f>
        <v>0</v>
      </c>
    </row>
    <row r="74" spans="1:19" ht="30.6" customHeight="1">
      <c r="A74" s="150" t="s">
        <v>15</v>
      </c>
      <c r="B74" s="150" t="s">
        <v>100</v>
      </c>
      <c r="C74" s="150" t="s">
        <v>133</v>
      </c>
      <c r="D74" s="151" t="s">
        <v>185</v>
      </c>
      <c r="E74" s="243">
        <v>19975</v>
      </c>
      <c r="F74" s="148">
        <v>100000</v>
      </c>
      <c r="G74" s="149" t="str">
        <f>CHOOSE(MID(invoice[[#This Row],[تاریخ]],6,2),"فروردین","اردیبهشت","خرداد","تیر","مرداد","شهریور","مهر","آبان","آذر","دی","بهمن","اسفند")</f>
        <v>اسفند</v>
      </c>
      <c r="H74" s="149">
        <f>_xlfn.NUMBERVALUE(MID(invoice[[#This Row],[تاریخ]],1,4))</f>
        <v>1403</v>
      </c>
      <c r="I74" s="149" t="s">
        <v>241</v>
      </c>
      <c r="J74" s="149" t="s">
        <v>504</v>
      </c>
      <c r="K74" s="151">
        <v>46466</v>
      </c>
      <c r="L74" s="149">
        <f>IF(invoice[[#This Row],[سال]]=year,1,0)</f>
        <v>0</v>
      </c>
      <c r="M74" s="148"/>
      <c r="N74" s="149"/>
      <c r="O74" s="194">
        <f>SUMIF(bargiri[شماره پیش فاکتور],invoice[[#This Row],[شماره پیش فاکتور]],bargiri[میزان بارگیری شده])/invoice[[#This Row],[میزان سفارش]]</f>
        <v>1</v>
      </c>
      <c r="P74" s="149" t="str">
        <f>IF(invoice[[#This Row],[نوع سفارش]]="غیرفعال","عادی",invoice[[#This Row],[نوع سفارش]])</f>
        <v>انجمن</v>
      </c>
      <c r="Q74" s="149">
        <f>SUMIFS('جزییات بارگیری'!D:D,'جزییات بارگیری'!C:C,invoice[[#This Row],[شماره پیش فاکتور]])</f>
        <v>19975</v>
      </c>
      <c r="R74" s="149">
        <f>IF(invoice[[#This Row],[میزان سفارش]]-invoice[[#This Row],[میزان حمل شده ]]&lt;0,0,invoice[[#This Row],[میزان سفارش]]-invoice[[#This Row],[میزان حمل شده ]])</f>
        <v>0</v>
      </c>
      <c r="S74" s="149">
        <f>invoice[[#This Row],[میزان حمل نشده ]]*invoice[[#This Row],[فی]]</f>
        <v>0</v>
      </c>
    </row>
    <row r="75" spans="1:19" ht="30.6" customHeight="1">
      <c r="A75" s="150" t="s">
        <v>558</v>
      </c>
      <c r="B75" s="150" t="s">
        <v>101</v>
      </c>
      <c r="C75" s="150" t="s">
        <v>549</v>
      </c>
      <c r="D75" s="150" t="s">
        <v>551</v>
      </c>
      <c r="E75" s="243">
        <v>100000</v>
      </c>
      <c r="F75" s="148">
        <v>142000</v>
      </c>
      <c r="G75" s="149" t="str">
        <f>CHOOSE(MID(invoice[[#This Row],[تاریخ]],6,2),"فروردین","اردیبهشت","خرداد","تیر","مرداد","شهریور","مهر","آبان","آذر","دی","بهمن","اسفند")</f>
        <v>اردیبهشت</v>
      </c>
      <c r="H75" s="149">
        <f>_xlfn.NUMBERVALUE(MID(invoice[[#This Row],[تاریخ]],1,4))</f>
        <v>1404</v>
      </c>
      <c r="I75" s="149" t="s">
        <v>241</v>
      </c>
      <c r="J75" s="149" t="s">
        <v>504</v>
      </c>
      <c r="K75" s="151">
        <v>46466</v>
      </c>
      <c r="L75" s="149">
        <f>IF(invoice[[#This Row],[سال]]=year,1,0)</f>
        <v>0</v>
      </c>
      <c r="M75" s="148"/>
      <c r="N75" s="149"/>
      <c r="O75" s="194">
        <f>SUMIF(bargiri[شماره پیش فاکتور],invoice[[#This Row],[شماره پیش فاکتور]],bargiri[میزان بارگیری شده])/invoice[[#This Row],[میزان سفارش]]</f>
        <v>1</v>
      </c>
      <c r="P75" s="149" t="str">
        <f>IF(invoice[[#This Row],[نوع سفارش]]="غیرفعال","عادی",invoice[[#This Row],[نوع سفارش]])</f>
        <v>انجمن</v>
      </c>
      <c r="Q75" s="149">
        <f>SUMIFS('جزییات بارگیری'!D:D,'جزییات بارگیری'!C:C,invoice[[#This Row],[شماره پیش فاکتور]])</f>
        <v>100000</v>
      </c>
      <c r="R75" s="149">
        <f>IF(invoice[[#This Row],[میزان سفارش]]-invoice[[#This Row],[میزان حمل شده ]]&lt;0,0,invoice[[#This Row],[میزان سفارش]]-invoice[[#This Row],[میزان حمل شده ]])</f>
        <v>0</v>
      </c>
      <c r="S75" s="149">
        <f>invoice[[#This Row],[میزان حمل نشده ]]*invoice[[#This Row],[فی]]</f>
        <v>0</v>
      </c>
    </row>
    <row r="76" spans="1:19" ht="30.6" customHeight="1">
      <c r="A76" s="150" t="s">
        <v>559</v>
      </c>
      <c r="B76" s="150" t="s">
        <v>102</v>
      </c>
      <c r="C76" s="150" t="s">
        <v>549</v>
      </c>
      <c r="D76" s="150" t="s">
        <v>551</v>
      </c>
      <c r="E76" s="148">
        <v>144945</v>
      </c>
      <c r="F76" s="148">
        <v>142000</v>
      </c>
      <c r="G76" s="149" t="str">
        <f>CHOOSE(MID(invoice[[#This Row],[تاریخ]],6,2),"فروردین","اردیبهشت","خرداد","تیر","مرداد","شهریور","مهر","آبان","آذر","دی","بهمن","اسفند")</f>
        <v>اردیبهشت</v>
      </c>
      <c r="H76" s="149">
        <f>_xlfn.NUMBERVALUE(MID(invoice[[#This Row],[تاریخ]],1,4))</f>
        <v>1404</v>
      </c>
      <c r="I76" s="149" t="s">
        <v>241</v>
      </c>
      <c r="J76" s="149" t="s">
        <v>504</v>
      </c>
      <c r="K76" s="151">
        <v>46466</v>
      </c>
      <c r="L76" s="149">
        <f>IF(invoice[[#This Row],[سال]]=year,1,0)</f>
        <v>0</v>
      </c>
      <c r="M76" s="148"/>
      <c r="N76" s="149"/>
      <c r="O76" s="194">
        <f>SUMIF(bargiri[شماره پیش فاکتور],invoice[[#This Row],[شماره پیش فاکتور]],bargiri[میزان بارگیری شده])/invoice[[#This Row],[میزان سفارش]]</f>
        <v>1</v>
      </c>
      <c r="P76" s="149" t="str">
        <f>IF(invoice[[#This Row],[نوع سفارش]]="غیرفعال","عادی",invoice[[#This Row],[نوع سفارش]])</f>
        <v>انجمن</v>
      </c>
      <c r="Q76" s="149">
        <f>SUMIFS('جزییات بارگیری'!D:D,'جزییات بارگیری'!C:C,invoice[[#This Row],[شماره پیش فاکتور]])</f>
        <v>144945</v>
      </c>
      <c r="R76" s="149">
        <f>IF(invoice[[#This Row],[میزان سفارش]]-invoice[[#This Row],[میزان حمل شده ]]&lt;0,0,invoice[[#This Row],[میزان سفارش]]-invoice[[#This Row],[میزان حمل شده ]])</f>
        <v>0</v>
      </c>
      <c r="S76" s="149">
        <f>invoice[[#This Row],[میزان حمل نشده ]]*invoice[[#This Row],[فی]]</f>
        <v>0</v>
      </c>
    </row>
    <row r="77" spans="1:19" ht="30.6" customHeight="1">
      <c r="A77" s="150" t="s">
        <v>560</v>
      </c>
      <c r="B77" s="150" t="s">
        <v>103</v>
      </c>
      <c r="C77" s="150" t="s">
        <v>549</v>
      </c>
      <c r="D77" s="150" t="s">
        <v>551</v>
      </c>
      <c r="E77" s="148">
        <v>713932</v>
      </c>
      <c r="F77" s="148">
        <v>142000</v>
      </c>
      <c r="G77" s="149" t="str">
        <f>CHOOSE(MID(invoice[[#This Row],[تاریخ]],6,2),"فروردین","اردیبهشت","خرداد","تیر","مرداد","شهریور","مهر","آبان","آذر","دی","بهمن","اسفند")</f>
        <v>اردیبهشت</v>
      </c>
      <c r="H77" s="149">
        <f>_xlfn.NUMBERVALUE(MID(invoice[[#This Row],[تاریخ]],1,4))</f>
        <v>1404</v>
      </c>
      <c r="I77" s="149" t="s">
        <v>241</v>
      </c>
      <c r="J77" s="149" t="s">
        <v>504</v>
      </c>
      <c r="K77" s="151">
        <v>46466</v>
      </c>
      <c r="L77" s="149">
        <f>IF(invoice[[#This Row],[سال]]=year,1,0)</f>
        <v>0</v>
      </c>
      <c r="M77" s="148"/>
      <c r="N77" s="149"/>
      <c r="O77" s="194">
        <f>SUMIF(bargiri[شماره پیش فاکتور],invoice[[#This Row],[شماره پیش فاکتور]],bargiri[میزان بارگیری شده])/invoice[[#This Row],[میزان سفارش]]</f>
        <v>1</v>
      </c>
      <c r="P77" s="149" t="str">
        <f>IF(invoice[[#This Row],[نوع سفارش]]="غیرفعال","عادی",invoice[[#This Row],[نوع سفارش]])</f>
        <v>انجمن</v>
      </c>
      <c r="Q77" s="149">
        <f>SUMIFS('جزییات بارگیری'!D:D,'جزییات بارگیری'!C:C,invoice[[#This Row],[شماره پیش فاکتور]])</f>
        <v>713932</v>
      </c>
      <c r="R77" s="149">
        <f>IF(invoice[[#This Row],[میزان سفارش]]-invoice[[#This Row],[میزان حمل شده ]]&lt;0,0,invoice[[#This Row],[میزان سفارش]]-invoice[[#This Row],[میزان حمل شده ]])</f>
        <v>0</v>
      </c>
      <c r="S77" s="149">
        <f>invoice[[#This Row],[میزان حمل نشده ]]*invoice[[#This Row],[فی]]</f>
        <v>0</v>
      </c>
    </row>
    <row r="78" spans="1:19" ht="30.6" customHeight="1">
      <c r="A78" s="150" t="s">
        <v>561</v>
      </c>
      <c r="B78" s="150" t="s">
        <v>104</v>
      </c>
      <c r="C78" s="150" t="s">
        <v>549</v>
      </c>
      <c r="D78" s="150" t="s">
        <v>551</v>
      </c>
      <c r="E78" s="148">
        <v>58770</v>
      </c>
      <c r="F78" s="148">
        <v>142000</v>
      </c>
      <c r="G78" s="149" t="str">
        <f>CHOOSE(MID(invoice[[#This Row],[تاریخ]],6,2),"فروردین","اردیبهشت","خرداد","تیر","مرداد","شهریور","مهر","آبان","آذر","دی","بهمن","اسفند")</f>
        <v>اردیبهشت</v>
      </c>
      <c r="H78" s="149">
        <f>_xlfn.NUMBERVALUE(MID(invoice[[#This Row],[تاریخ]],1,4))</f>
        <v>1404</v>
      </c>
      <c r="I78" s="149" t="s">
        <v>241</v>
      </c>
      <c r="J78" s="149" t="s">
        <v>504</v>
      </c>
      <c r="K78" s="151">
        <v>46466</v>
      </c>
      <c r="L78" s="149">
        <f>IF(invoice[[#This Row],[سال]]=year,1,0)</f>
        <v>0</v>
      </c>
      <c r="M78" s="148"/>
      <c r="N78" s="149"/>
      <c r="O78" s="194">
        <f>SUMIF(bargiri[شماره پیش فاکتور],invoice[[#This Row],[شماره پیش فاکتور]],bargiri[میزان بارگیری شده])/invoice[[#This Row],[میزان سفارش]]</f>
        <v>1</v>
      </c>
      <c r="P78" s="149" t="str">
        <f>IF(invoice[[#This Row],[نوع سفارش]]="غیرفعال","عادی",invoice[[#This Row],[نوع سفارش]])</f>
        <v>انجمن</v>
      </c>
      <c r="Q78" s="149">
        <f>SUMIFS('جزییات بارگیری'!D:D,'جزییات بارگیری'!C:C,invoice[[#This Row],[شماره پیش فاکتور]])</f>
        <v>58770</v>
      </c>
      <c r="R78" s="149">
        <f>IF(invoice[[#This Row],[میزان سفارش]]-invoice[[#This Row],[میزان حمل شده ]]&lt;0,0,invoice[[#This Row],[میزان سفارش]]-invoice[[#This Row],[میزان حمل شده ]])</f>
        <v>0</v>
      </c>
      <c r="S78" s="149">
        <f>invoice[[#This Row],[میزان حمل نشده ]]*invoice[[#This Row],[فی]]</f>
        <v>0</v>
      </c>
    </row>
    <row r="79" spans="1:19" ht="30.6" customHeight="1">
      <c r="A79" s="150" t="s">
        <v>56</v>
      </c>
      <c r="B79" s="150" t="s">
        <v>109</v>
      </c>
      <c r="C79" s="150" t="s">
        <v>133</v>
      </c>
      <c r="D79" s="151" t="s">
        <v>185</v>
      </c>
      <c r="E79" s="243">
        <v>29755</v>
      </c>
      <c r="F79" s="148">
        <v>100000</v>
      </c>
      <c r="G79" s="149" t="str">
        <f>CHOOSE(MID(invoice[[#This Row],[تاریخ]],6,2),"فروردین","اردیبهشت","خرداد","تیر","مرداد","شهریور","مهر","آبان","آذر","دی","بهمن","اسفند")</f>
        <v>اسفند</v>
      </c>
      <c r="H79" s="149">
        <f>_xlfn.NUMBERVALUE(MID(invoice[[#This Row],[تاریخ]],1,4))</f>
        <v>1403</v>
      </c>
      <c r="I79" s="149" t="s">
        <v>241</v>
      </c>
      <c r="J79" s="149" t="s">
        <v>504</v>
      </c>
      <c r="K79" s="151">
        <v>46466</v>
      </c>
      <c r="L79" s="149">
        <f>IF(invoice[[#This Row],[سال]]=year,1,0)</f>
        <v>0</v>
      </c>
      <c r="M79" s="148"/>
      <c r="N79" s="149"/>
      <c r="O79" s="194">
        <f>SUMIF(bargiri[شماره پیش فاکتور],invoice[[#This Row],[شماره پیش فاکتور]],bargiri[میزان بارگیری شده])/invoice[[#This Row],[میزان سفارش]]</f>
        <v>1</v>
      </c>
      <c r="P79" s="149" t="str">
        <f>IF(invoice[[#This Row],[نوع سفارش]]="غیرفعال","عادی",invoice[[#This Row],[نوع سفارش]])</f>
        <v>انجمن</v>
      </c>
      <c r="Q79" s="149">
        <f>SUMIFS('جزییات بارگیری'!D:D,'جزییات بارگیری'!C:C,invoice[[#This Row],[شماره پیش فاکتور]])</f>
        <v>29755</v>
      </c>
      <c r="R79" s="149">
        <f>IF(invoice[[#This Row],[میزان سفارش]]-invoice[[#This Row],[میزان حمل شده ]]&lt;0,0,invoice[[#This Row],[میزان سفارش]]-invoice[[#This Row],[میزان حمل شده ]])</f>
        <v>0</v>
      </c>
      <c r="S79" s="149">
        <f>invoice[[#This Row],[میزان حمل نشده ]]*invoice[[#This Row],[فی]]</f>
        <v>0</v>
      </c>
    </row>
    <row r="80" spans="1:19" ht="30.6" customHeight="1">
      <c r="A80" s="150" t="s">
        <v>563</v>
      </c>
      <c r="B80" s="150" t="s">
        <v>109</v>
      </c>
      <c r="C80" s="150" t="s">
        <v>549</v>
      </c>
      <c r="D80" s="150" t="s">
        <v>551</v>
      </c>
      <c r="E80" s="148">
        <v>487745</v>
      </c>
      <c r="F80" s="148">
        <v>142000</v>
      </c>
      <c r="G80" s="149" t="str">
        <f>CHOOSE(MID(invoice[[#This Row],[تاریخ]],6,2),"فروردین","اردیبهشت","خرداد","تیر","مرداد","شهریور","مهر","آبان","آذر","دی","بهمن","اسفند")</f>
        <v>اردیبهشت</v>
      </c>
      <c r="H80" s="149">
        <f>_xlfn.NUMBERVALUE(MID(invoice[[#This Row],[تاریخ]],1,4))</f>
        <v>1404</v>
      </c>
      <c r="I80" s="149" t="s">
        <v>241</v>
      </c>
      <c r="J80" s="149" t="s">
        <v>504</v>
      </c>
      <c r="K80" s="151">
        <v>46466</v>
      </c>
      <c r="L80" s="149">
        <f>IF(invoice[[#This Row],[سال]]=year,1,0)</f>
        <v>0</v>
      </c>
      <c r="M80" s="148"/>
      <c r="N80" s="149"/>
      <c r="O80" s="194">
        <f>SUMIF(bargiri[شماره پیش فاکتور],invoice[[#This Row],[شماره پیش فاکتور]],bargiri[میزان بارگیری شده])/invoice[[#This Row],[میزان سفارش]]</f>
        <v>1</v>
      </c>
      <c r="P80" s="149" t="str">
        <f>IF(invoice[[#This Row],[نوع سفارش]]="غیرفعال","عادی",invoice[[#This Row],[نوع سفارش]])</f>
        <v>انجمن</v>
      </c>
      <c r="Q80" s="149">
        <f>SUMIFS('جزییات بارگیری'!D:D,'جزییات بارگیری'!C:C,invoice[[#This Row],[شماره پیش فاکتور]])</f>
        <v>487745</v>
      </c>
      <c r="R80" s="149">
        <f>IF(invoice[[#This Row],[میزان سفارش]]-invoice[[#This Row],[میزان حمل شده ]]&lt;0,0,invoice[[#This Row],[میزان سفارش]]-invoice[[#This Row],[میزان حمل شده ]])</f>
        <v>0</v>
      </c>
      <c r="S80" s="149">
        <f>invoice[[#This Row],[میزان حمل نشده ]]*invoice[[#This Row],[فی]]</f>
        <v>0</v>
      </c>
    </row>
    <row r="81" spans="1:19" ht="30.6" customHeight="1">
      <c r="A81" s="150" t="s">
        <v>564</v>
      </c>
      <c r="B81" s="150" t="s">
        <v>116</v>
      </c>
      <c r="C81" s="150" t="s">
        <v>549</v>
      </c>
      <c r="D81" s="150" t="s">
        <v>551</v>
      </c>
      <c r="E81" s="243">
        <v>300000</v>
      </c>
      <c r="F81" s="148">
        <v>142000</v>
      </c>
      <c r="G81" s="149" t="str">
        <f>CHOOSE(MID(invoice[[#This Row],[تاریخ]],6,2),"فروردین","اردیبهشت","خرداد","تیر","مرداد","شهریور","مهر","آبان","آذر","دی","بهمن","اسفند")</f>
        <v>اردیبهشت</v>
      </c>
      <c r="H81" s="149">
        <f>_xlfn.NUMBERVALUE(MID(invoice[[#This Row],[تاریخ]],1,4))</f>
        <v>1404</v>
      </c>
      <c r="I81" s="149" t="s">
        <v>241</v>
      </c>
      <c r="J81" s="149" t="s">
        <v>504</v>
      </c>
      <c r="K81" s="151">
        <v>46466</v>
      </c>
      <c r="L81" s="149">
        <f>IF(invoice[[#This Row],[سال]]=year,1,0)</f>
        <v>0</v>
      </c>
      <c r="M81" s="148"/>
      <c r="N81" s="149"/>
      <c r="O81" s="194">
        <f>SUMIF(bargiri[شماره پیش فاکتور],invoice[[#This Row],[شماره پیش فاکتور]],bargiri[میزان بارگیری شده])/invoice[[#This Row],[میزان سفارش]]</f>
        <v>1</v>
      </c>
      <c r="P81" s="149" t="str">
        <f>IF(invoice[[#This Row],[نوع سفارش]]="غیرفعال","عادی",invoice[[#This Row],[نوع سفارش]])</f>
        <v>انجمن</v>
      </c>
      <c r="Q81" s="149">
        <f>SUMIFS('جزییات بارگیری'!D:D,'جزییات بارگیری'!C:C,invoice[[#This Row],[شماره پیش فاکتور]])</f>
        <v>300000</v>
      </c>
      <c r="R81" s="149">
        <f>IF(invoice[[#This Row],[میزان سفارش]]-invoice[[#This Row],[میزان حمل شده ]]&lt;0,0,invoice[[#This Row],[میزان سفارش]]-invoice[[#This Row],[میزان حمل شده ]])</f>
        <v>0</v>
      </c>
      <c r="S81" s="149">
        <f>invoice[[#This Row],[میزان حمل نشده ]]*invoice[[#This Row],[فی]]</f>
        <v>0</v>
      </c>
    </row>
    <row r="82" spans="1:19" ht="30.6" customHeight="1">
      <c r="A82" s="150" t="s">
        <v>566</v>
      </c>
      <c r="B82" s="150" t="s">
        <v>117</v>
      </c>
      <c r="C82" s="150" t="s">
        <v>549</v>
      </c>
      <c r="D82" s="150" t="s">
        <v>551</v>
      </c>
      <c r="E82" s="243">
        <v>180000</v>
      </c>
      <c r="F82" s="148">
        <v>142000</v>
      </c>
      <c r="G82" s="149" t="str">
        <f>CHOOSE(MID(invoice[[#This Row],[تاریخ]],6,2),"فروردین","اردیبهشت","خرداد","تیر","مرداد","شهریور","مهر","آبان","آذر","دی","بهمن","اسفند")</f>
        <v>اردیبهشت</v>
      </c>
      <c r="H82" s="149">
        <f>_xlfn.NUMBERVALUE(MID(invoice[[#This Row],[تاریخ]],1,4))</f>
        <v>1404</v>
      </c>
      <c r="I82" s="149" t="s">
        <v>241</v>
      </c>
      <c r="J82" s="149" t="s">
        <v>504</v>
      </c>
      <c r="K82" s="151">
        <v>46466</v>
      </c>
      <c r="L82" s="149">
        <f>IF(invoice[[#This Row],[سال]]=year,1,0)</f>
        <v>0</v>
      </c>
      <c r="M82" s="148"/>
      <c r="N82" s="149"/>
      <c r="O82" s="194">
        <f>SUMIF(bargiri[شماره پیش فاکتور],invoice[[#This Row],[شماره پیش فاکتور]],bargiri[میزان بارگیری شده])/invoice[[#This Row],[میزان سفارش]]</f>
        <v>1</v>
      </c>
      <c r="P82" s="149" t="str">
        <f>IF(invoice[[#This Row],[نوع سفارش]]="غیرفعال","عادی",invoice[[#This Row],[نوع سفارش]])</f>
        <v>انجمن</v>
      </c>
      <c r="Q82" s="149">
        <f>SUMIFS('جزییات بارگیری'!D:D,'جزییات بارگیری'!C:C,invoice[[#This Row],[شماره پیش فاکتور]])</f>
        <v>180000</v>
      </c>
      <c r="R82" s="149">
        <f>IF(invoice[[#This Row],[میزان سفارش]]-invoice[[#This Row],[میزان حمل شده ]]&lt;0,0,invoice[[#This Row],[میزان سفارش]]-invoice[[#This Row],[میزان حمل شده ]])</f>
        <v>0</v>
      </c>
      <c r="S82" s="149">
        <f>invoice[[#This Row],[میزان حمل نشده ]]*invoice[[#This Row],[فی]]</f>
        <v>0</v>
      </c>
    </row>
    <row r="83" spans="1:19" ht="30.6" customHeight="1">
      <c r="A83" s="150" t="s">
        <v>89</v>
      </c>
      <c r="B83" s="150" t="s">
        <v>121</v>
      </c>
      <c r="C83" s="150" t="s">
        <v>133</v>
      </c>
      <c r="D83" s="151" t="s">
        <v>185</v>
      </c>
      <c r="E83" s="243">
        <v>17960</v>
      </c>
      <c r="F83" s="148">
        <v>100000</v>
      </c>
      <c r="G83" s="149" t="str">
        <f>CHOOSE(MID(invoice[[#This Row],[تاریخ]],6,2),"فروردین","اردیبهشت","خرداد","تیر","مرداد","شهریور","مهر","آبان","آذر","دی","بهمن","اسفند")</f>
        <v>اسفند</v>
      </c>
      <c r="H83" s="149">
        <f>_xlfn.NUMBERVALUE(MID(invoice[[#This Row],[تاریخ]],1,4))</f>
        <v>1403</v>
      </c>
      <c r="I83" s="149" t="s">
        <v>241</v>
      </c>
      <c r="J83" s="149" t="s">
        <v>504</v>
      </c>
      <c r="K83" s="151">
        <v>46466</v>
      </c>
      <c r="L83" s="149">
        <f>IF(invoice[[#This Row],[سال]]=year,1,0)</f>
        <v>0</v>
      </c>
      <c r="M83" s="148"/>
      <c r="N83" s="149"/>
      <c r="O83" s="194">
        <f>SUMIF(bargiri[شماره پیش فاکتور],invoice[[#This Row],[شماره پیش فاکتور]],bargiri[میزان بارگیری شده])/invoice[[#This Row],[میزان سفارش]]</f>
        <v>1</v>
      </c>
      <c r="P83" s="149" t="str">
        <f>IF(invoice[[#This Row],[نوع سفارش]]="غیرفعال","عادی",invoice[[#This Row],[نوع سفارش]])</f>
        <v>انجمن</v>
      </c>
      <c r="Q83" s="149">
        <f>SUMIFS('جزییات بارگیری'!D:D,'جزییات بارگیری'!C:C,invoice[[#This Row],[شماره پیش فاکتور]])</f>
        <v>17960</v>
      </c>
      <c r="R83" s="149">
        <f>IF(invoice[[#This Row],[میزان سفارش]]-invoice[[#This Row],[میزان حمل شده ]]&lt;0,0,invoice[[#This Row],[میزان سفارش]]-invoice[[#This Row],[میزان حمل شده ]])</f>
        <v>0</v>
      </c>
      <c r="S83" s="149">
        <f>invoice[[#This Row],[میزان حمل نشده ]]*invoice[[#This Row],[فی]]</f>
        <v>0</v>
      </c>
    </row>
    <row r="84" spans="1:19" ht="30.6" customHeight="1">
      <c r="A84" s="150" t="s">
        <v>567</v>
      </c>
      <c r="B84" s="150" t="s">
        <v>121</v>
      </c>
      <c r="C84" s="150" t="s">
        <v>549</v>
      </c>
      <c r="D84" s="150" t="s">
        <v>551</v>
      </c>
      <c r="E84" s="148">
        <v>98175</v>
      </c>
      <c r="F84" s="148">
        <v>142000</v>
      </c>
      <c r="G84" s="149" t="str">
        <f>CHOOSE(MID(invoice[[#This Row],[تاریخ]],6,2),"فروردین","اردیبهشت","خرداد","تیر","مرداد","شهریور","مهر","آبان","آذر","دی","بهمن","اسفند")</f>
        <v>اردیبهشت</v>
      </c>
      <c r="H84" s="149">
        <f>_xlfn.NUMBERVALUE(MID(invoice[[#This Row],[تاریخ]],1,4))</f>
        <v>1404</v>
      </c>
      <c r="I84" s="149" t="s">
        <v>241</v>
      </c>
      <c r="J84" s="149" t="s">
        <v>504</v>
      </c>
      <c r="K84" s="151">
        <v>46466</v>
      </c>
      <c r="L84" s="149">
        <f>IF(invoice[[#This Row],[سال]]=year,1,0)</f>
        <v>0</v>
      </c>
      <c r="M84" s="148"/>
      <c r="N84" s="149"/>
      <c r="O84" s="194">
        <f>SUMIF(bargiri[شماره پیش فاکتور],invoice[[#This Row],[شماره پیش فاکتور]],bargiri[میزان بارگیری شده])/invoice[[#This Row],[میزان سفارش]]</f>
        <v>1</v>
      </c>
      <c r="P84" s="149" t="str">
        <f>IF(invoice[[#This Row],[نوع سفارش]]="غیرفعال","عادی",invoice[[#This Row],[نوع سفارش]])</f>
        <v>انجمن</v>
      </c>
      <c r="Q84" s="149">
        <f>SUMIFS('جزییات بارگیری'!D:D,'جزییات بارگیری'!C:C,invoice[[#This Row],[شماره پیش فاکتور]])</f>
        <v>98175</v>
      </c>
      <c r="R84" s="149">
        <f>IF(invoice[[#This Row],[میزان سفارش]]-invoice[[#This Row],[میزان حمل شده ]]&lt;0,0,invoice[[#This Row],[میزان سفارش]]-invoice[[#This Row],[میزان حمل شده ]])</f>
        <v>0</v>
      </c>
      <c r="S84" s="149">
        <f>invoice[[#This Row],[میزان حمل نشده ]]*invoice[[#This Row],[فی]]</f>
        <v>0</v>
      </c>
    </row>
    <row r="85" spans="1:19" ht="30.6" customHeight="1">
      <c r="A85" s="150" t="s">
        <v>568</v>
      </c>
      <c r="B85" s="150" t="s">
        <v>122</v>
      </c>
      <c r="C85" s="150" t="s">
        <v>549</v>
      </c>
      <c r="D85" s="150" t="s">
        <v>551</v>
      </c>
      <c r="E85" s="148">
        <v>497690</v>
      </c>
      <c r="F85" s="148">
        <v>142000</v>
      </c>
      <c r="G85" s="149" t="str">
        <f>CHOOSE(MID(invoice[[#This Row],[تاریخ]],6,2),"فروردین","اردیبهشت","خرداد","تیر","مرداد","شهریور","مهر","آبان","آذر","دی","بهمن","اسفند")</f>
        <v>اردیبهشت</v>
      </c>
      <c r="H85" s="149">
        <f>_xlfn.NUMBERVALUE(MID(invoice[[#This Row],[تاریخ]],1,4))</f>
        <v>1404</v>
      </c>
      <c r="I85" s="149" t="s">
        <v>241</v>
      </c>
      <c r="J85" s="149" t="s">
        <v>504</v>
      </c>
      <c r="K85" s="151">
        <v>46466</v>
      </c>
      <c r="L85" s="149">
        <f>IF(invoice[[#This Row],[سال]]=year,1,0)</f>
        <v>0</v>
      </c>
      <c r="M85" s="148"/>
      <c r="N85" s="149"/>
      <c r="O85" s="194">
        <f>SUMIF(bargiri[شماره پیش فاکتور],invoice[[#This Row],[شماره پیش فاکتور]],bargiri[میزان بارگیری شده])/invoice[[#This Row],[میزان سفارش]]</f>
        <v>1</v>
      </c>
      <c r="P85" s="149" t="str">
        <f>IF(invoice[[#This Row],[نوع سفارش]]="غیرفعال","عادی",invoice[[#This Row],[نوع سفارش]])</f>
        <v>انجمن</v>
      </c>
      <c r="Q85" s="149">
        <f>SUMIFS('جزییات بارگیری'!D:D,'جزییات بارگیری'!C:C,invoice[[#This Row],[شماره پیش فاکتور]])</f>
        <v>497690</v>
      </c>
      <c r="R85" s="149">
        <f>IF(invoice[[#This Row],[میزان سفارش]]-invoice[[#This Row],[میزان حمل شده ]]&lt;0,0,invoice[[#This Row],[میزان سفارش]]-invoice[[#This Row],[میزان حمل شده ]])</f>
        <v>0</v>
      </c>
      <c r="S85" s="149">
        <f>invoice[[#This Row],[میزان حمل نشده ]]*invoice[[#This Row],[فی]]</f>
        <v>0</v>
      </c>
    </row>
    <row r="86" spans="1:19" ht="30.6" customHeight="1">
      <c r="A86" s="150" t="s">
        <v>569</v>
      </c>
      <c r="B86" s="150" t="s">
        <v>123</v>
      </c>
      <c r="C86" s="150" t="s">
        <v>549</v>
      </c>
      <c r="D86" s="150" t="s">
        <v>551</v>
      </c>
      <c r="E86" s="148">
        <v>141245</v>
      </c>
      <c r="F86" s="148">
        <v>142000</v>
      </c>
      <c r="G86" s="149" t="str">
        <f>CHOOSE(MID(invoice[[#This Row],[تاریخ]],6,2),"فروردین","اردیبهشت","خرداد","تیر","مرداد","شهریور","مهر","آبان","آذر","دی","بهمن","اسفند")</f>
        <v>اردیبهشت</v>
      </c>
      <c r="H86" s="149">
        <f>_xlfn.NUMBERVALUE(MID(invoice[[#This Row],[تاریخ]],1,4))</f>
        <v>1404</v>
      </c>
      <c r="I86" s="149" t="s">
        <v>241</v>
      </c>
      <c r="J86" s="149" t="s">
        <v>728</v>
      </c>
      <c r="K86" s="151">
        <v>46466</v>
      </c>
      <c r="L86" s="149">
        <f>IF(invoice[[#This Row],[سال]]=year,1,0)</f>
        <v>0</v>
      </c>
      <c r="M86" s="148"/>
      <c r="N86" s="149"/>
      <c r="O86" s="194">
        <f>SUMIF(bargiri[شماره پیش فاکتور],invoice[[#This Row],[شماره پیش فاکتور]],bargiri[میزان بارگیری شده])/invoice[[#This Row],[میزان سفارش]]</f>
        <v>1</v>
      </c>
      <c r="P86" s="149" t="str">
        <f>IF(invoice[[#This Row],[نوع سفارش]]="غیرفعال","عادی",invoice[[#This Row],[نوع سفارش]])</f>
        <v>انجمن</v>
      </c>
      <c r="Q86" s="149">
        <f>SUMIFS('جزییات بارگیری'!D:D,'جزییات بارگیری'!C:C,invoice[[#This Row],[شماره پیش فاکتور]])</f>
        <v>141245</v>
      </c>
      <c r="R86" s="149">
        <f>IF(invoice[[#This Row],[میزان سفارش]]-invoice[[#This Row],[میزان حمل شده ]]&lt;0,0,invoice[[#This Row],[میزان سفارش]]-invoice[[#This Row],[میزان حمل شده ]])</f>
        <v>0</v>
      </c>
      <c r="S86" s="149">
        <f>invoice[[#This Row],[میزان حمل نشده ]]*invoice[[#This Row],[فی]]</f>
        <v>0</v>
      </c>
    </row>
    <row r="87" spans="1:19" ht="30.6" customHeight="1">
      <c r="A87" s="150" t="s">
        <v>96</v>
      </c>
      <c r="B87" s="150" t="s">
        <v>125</v>
      </c>
      <c r="C87" s="150" t="s">
        <v>352</v>
      </c>
      <c r="D87" s="151" t="s">
        <v>185</v>
      </c>
      <c r="E87" s="243">
        <v>28950</v>
      </c>
      <c r="F87" s="148">
        <v>100000</v>
      </c>
      <c r="G87" s="149" t="str">
        <f>CHOOSE(MID(invoice[[#This Row],[تاریخ]],6,2),"فروردین","اردیبهشت","خرداد","تیر","مرداد","شهریور","مهر","آبان","آذر","دی","بهمن","اسفند")</f>
        <v>اسفند</v>
      </c>
      <c r="H87" s="149">
        <f>_xlfn.NUMBERVALUE(MID(invoice[[#This Row],[تاریخ]],1,4))</f>
        <v>1403</v>
      </c>
      <c r="I87" s="149" t="s">
        <v>241</v>
      </c>
      <c r="J87" s="149" t="s">
        <v>504</v>
      </c>
      <c r="K87" s="151">
        <v>46466</v>
      </c>
      <c r="L87" s="149">
        <f>IF(invoice[[#This Row],[سال]]=year,1,0)</f>
        <v>0</v>
      </c>
      <c r="M87" s="148"/>
      <c r="N87" s="149"/>
      <c r="O87" s="194">
        <f>SUMIF(bargiri[شماره پیش فاکتور],invoice[[#This Row],[شماره پیش فاکتور]],bargiri[میزان بارگیری شده])/invoice[[#This Row],[میزان سفارش]]</f>
        <v>1</v>
      </c>
      <c r="P87" s="149" t="str">
        <f>IF(invoice[[#This Row],[نوع سفارش]]="غیرفعال","عادی",invoice[[#This Row],[نوع سفارش]])</f>
        <v>انجمن</v>
      </c>
      <c r="Q87" s="149">
        <f>SUMIFS('جزییات بارگیری'!D:D,'جزییات بارگیری'!C:C,invoice[[#This Row],[شماره پیش فاکتور]])</f>
        <v>28950</v>
      </c>
      <c r="R87" s="149">
        <f>IF(invoice[[#This Row],[میزان سفارش]]-invoice[[#This Row],[میزان حمل شده ]]&lt;0,0,invoice[[#This Row],[میزان سفارش]]-invoice[[#This Row],[میزان حمل شده ]])</f>
        <v>0</v>
      </c>
      <c r="S87" s="149">
        <f>invoice[[#This Row],[میزان حمل نشده ]]*invoice[[#This Row],[فی]]</f>
        <v>0</v>
      </c>
    </row>
    <row r="88" spans="1:19" ht="30.6" customHeight="1">
      <c r="A88" s="150" t="s">
        <v>571</v>
      </c>
      <c r="B88" s="150" t="s">
        <v>98</v>
      </c>
      <c r="C88" s="150" t="s">
        <v>551</v>
      </c>
      <c r="D88" s="151" t="s">
        <v>185</v>
      </c>
      <c r="E88" s="243">
        <v>120000</v>
      </c>
      <c r="F88" s="148">
        <v>142000</v>
      </c>
      <c r="G88" s="149" t="str">
        <f>CHOOSE(MID(invoice[[#This Row],[تاریخ]],6,2),"فروردین","اردیبهشت","خرداد","تیر","مرداد","شهریور","مهر","آبان","آذر","دی","بهمن","اسفند")</f>
        <v>خرداد</v>
      </c>
      <c r="H88" s="149">
        <f>_xlfn.NUMBERVALUE(MID(invoice[[#This Row],[تاریخ]],1,4))</f>
        <v>1404</v>
      </c>
      <c r="I88" s="149" t="s">
        <v>241</v>
      </c>
      <c r="J88" s="149" t="s">
        <v>504</v>
      </c>
      <c r="K88" s="151">
        <v>46466</v>
      </c>
      <c r="L88" s="149">
        <f>IF(invoice[[#This Row],[سال]]=year,1,0)</f>
        <v>0</v>
      </c>
      <c r="M88" s="148"/>
      <c r="N88" s="149"/>
      <c r="O88" s="194">
        <f>SUMIF(bargiri[شماره پیش فاکتور],invoice[[#This Row],[شماره پیش فاکتور]],bargiri[میزان بارگیری شده])/invoice[[#This Row],[میزان سفارش]]</f>
        <v>1</v>
      </c>
      <c r="P88" s="149" t="str">
        <f>IF(invoice[[#This Row],[نوع سفارش]]="غیرفعال","عادی",invoice[[#This Row],[نوع سفارش]])</f>
        <v>انجمن</v>
      </c>
      <c r="Q88" s="149">
        <f>SUMIFS('جزییات بارگیری'!D:D,'جزییات بارگیری'!C:C,invoice[[#This Row],[شماره پیش فاکتور]])</f>
        <v>120000</v>
      </c>
      <c r="R88" s="149">
        <f>IF(invoice[[#This Row],[میزان سفارش]]-invoice[[#This Row],[میزان حمل شده ]]&lt;0,0,invoice[[#This Row],[میزان سفارش]]-invoice[[#This Row],[میزان حمل شده ]])</f>
        <v>0</v>
      </c>
      <c r="S88" s="149">
        <f>invoice[[#This Row],[میزان حمل نشده ]]*invoice[[#This Row],[فی]]</f>
        <v>0</v>
      </c>
    </row>
    <row r="89" spans="1:19" ht="30.6" customHeight="1">
      <c r="A89" s="150" t="s">
        <v>4</v>
      </c>
      <c r="B89" s="150" t="s">
        <v>98</v>
      </c>
      <c r="C89" s="150" t="s">
        <v>132</v>
      </c>
      <c r="D89" s="151" t="s">
        <v>169</v>
      </c>
      <c r="E89" s="243">
        <v>85900</v>
      </c>
      <c r="F89" s="148">
        <v>65000</v>
      </c>
      <c r="G89" s="149" t="str">
        <f>CHOOSE(MID(invoice[[#This Row],[تاریخ]],6,2),"فروردین","اردیبهشت","خرداد","تیر","مرداد","شهریور","مهر","آبان","آذر","دی","بهمن","اسفند")</f>
        <v>اسفند</v>
      </c>
      <c r="H89" s="149">
        <f>_xlfn.NUMBERVALUE(MID(invoice[[#This Row],[تاریخ]],1,4))</f>
        <v>1403</v>
      </c>
      <c r="I89" s="149" t="s">
        <v>240</v>
      </c>
      <c r="J89" s="149" t="s">
        <v>504</v>
      </c>
      <c r="K89" s="151">
        <v>46466</v>
      </c>
      <c r="L89" s="149">
        <f>IF(invoice[[#This Row],[سال]]=year,1,0)</f>
        <v>0</v>
      </c>
      <c r="M89" s="148"/>
      <c r="N89" s="149"/>
      <c r="O89" s="194">
        <f>SUMIF(bargiri[شماره پیش فاکتور],invoice[[#This Row],[شماره پیش فاکتور]],bargiri[میزان بارگیری شده])/invoice[[#This Row],[میزان سفارش]]</f>
        <v>1</v>
      </c>
      <c r="P89" s="149" t="str">
        <f>IF(invoice[[#This Row],[نوع سفارش]]="غیرفعال","عادی",invoice[[#This Row],[نوع سفارش]])</f>
        <v>تعادلی</v>
      </c>
      <c r="Q89" s="149">
        <f>SUMIFS('جزییات بارگیری'!D:D,'جزییات بارگیری'!C:C,invoice[[#This Row],[شماره پیش فاکتور]])</f>
        <v>85900</v>
      </c>
      <c r="R89" s="149">
        <f>IF(invoice[[#This Row],[میزان سفارش]]-invoice[[#This Row],[میزان حمل شده ]]&lt;0,0,invoice[[#This Row],[میزان سفارش]]-invoice[[#This Row],[میزان حمل شده ]])</f>
        <v>0</v>
      </c>
      <c r="S89" s="149">
        <f>invoice[[#This Row],[میزان حمل نشده ]]*invoice[[#This Row],[فی]]</f>
        <v>0</v>
      </c>
    </row>
    <row r="90" spans="1:19" ht="30.6" customHeight="1">
      <c r="A90" s="150" t="s">
        <v>22</v>
      </c>
      <c r="B90" s="150" t="s">
        <v>102</v>
      </c>
      <c r="C90" s="150" t="s">
        <v>144</v>
      </c>
      <c r="D90" s="151" t="s">
        <v>144</v>
      </c>
      <c r="E90" s="243">
        <v>150000</v>
      </c>
      <c r="F90" s="148">
        <v>89000</v>
      </c>
      <c r="G90" s="149" t="str">
        <f>CHOOSE(MID(invoice[[#This Row],[تاریخ]],6,2),"فروردین","اردیبهشت","خرداد","تیر","مرداد","شهریور","مهر","آبان","آذر","دی","بهمن","اسفند")</f>
        <v>اسفند</v>
      </c>
      <c r="H90" s="149">
        <f>_xlfn.NUMBERVALUE(MID(invoice[[#This Row],[تاریخ]],1,4))</f>
        <v>1403</v>
      </c>
      <c r="I90" s="149" t="s">
        <v>243</v>
      </c>
      <c r="J90" s="149" t="s">
        <v>504</v>
      </c>
      <c r="K90" s="151">
        <v>46466</v>
      </c>
      <c r="L90" s="149">
        <f>IF(invoice[[#This Row],[سال]]=year,1,0)</f>
        <v>0</v>
      </c>
      <c r="M90" s="148"/>
      <c r="N90" s="149"/>
      <c r="O90" s="194">
        <f>SUMIF(bargiri[شماره پیش فاکتور],invoice[[#This Row],[شماره پیش فاکتور]],bargiri[میزان بارگیری شده])/invoice[[#This Row],[میزان سفارش]]</f>
        <v>1</v>
      </c>
      <c r="P90" s="149" t="str">
        <f>IF(invoice[[#This Row],[نوع سفارش]]="غیرفعال","عادی",invoice[[#This Row],[نوع سفارش]])</f>
        <v>عادی</v>
      </c>
      <c r="Q90" s="149">
        <f>SUMIFS('جزییات بارگیری'!D:D,'جزییات بارگیری'!C:C,invoice[[#This Row],[شماره پیش فاکتور]])</f>
        <v>150000</v>
      </c>
      <c r="R90" s="149">
        <f>IF(invoice[[#This Row],[میزان سفارش]]-invoice[[#This Row],[میزان حمل شده ]]&lt;0,0,invoice[[#This Row],[میزان سفارش]]-invoice[[#This Row],[میزان حمل شده ]])</f>
        <v>0</v>
      </c>
      <c r="S90" s="149">
        <f>invoice[[#This Row],[میزان حمل نشده ]]*invoice[[#This Row],[فی]]</f>
        <v>0</v>
      </c>
    </row>
    <row r="91" spans="1:19" ht="30.6" customHeight="1">
      <c r="A91" s="150" t="s">
        <v>6</v>
      </c>
      <c r="B91" s="150" t="s">
        <v>98</v>
      </c>
      <c r="C91" s="150" t="s">
        <v>134</v>
      </c>
      <c r="D91" s="151" t="s">
        <v>233</v>
      </c>
      <c r="E91" s="243">
        <v>20000</v>
      </c>
      <c r="F91" s="148">
        <v>92180</v>
      </c>
      <c r="G91" s="149" t="str">
        <f>CHOOSE(MID(invoice[[#This Row],[تاریخ]],6,2),"فروردین","اردیبهشت","خرداد","تیر","مرداد","شهریور","مهر","آبان","آذر","دی","بهمن","اسفند")</f>
        <v>اسفند</v>
      </c>
      <c r="H91" s="149">
        <f>_xlfn.NUMBERVALUE(MID(invoice[[#This Row],[تاریخ]],1,4))</f>
        <v>1403</v>
      </c>
      <c r="I91" s="149" t="s">
        <v>242</v>
      </c>
      <c r="J91" s="149" t="s">
        <v>504</v>
      </c>
      <c r="K91" s="151">
        <v>46466</v>
      </c>
      <c r="L91" s="149">
        <f>IF(invoice[[#This Row],[سال]]=year,1,0)</f>
        <v>0</v>
      </c>
      <c r="M91" s="148"/>
      <c r="N91" s="149"/>
      <c r="O91" s="194">
        <f>SUMIF(bargiri[شماره پیش فاکتور],invoice[[#This Row],[شماره پیش فاکتور]],bargiri[میزان بارگیری شده])/invoice[[#This Row],[میزان سفارش]]</f>
        <v>1</v>
      </c>
      <c r="P91" s="149" t="str">
        <f>IF(invoice[[#This Row],[نوع سفارش]]="غیرفعال","عادی",invoice[[#This Row],[نوع سفارش]])</f>
        <v>بورس</v>
      </c>
      <c r="Q91" s="149">
        <f>SUMIFS('جزییات بارگیری'!D:D,'جزییات بارگیری'!C:C,invoice[[#This Row],[شماره پیش فاکتور]])</f>
        <v>20000</v>
      </c>
      <c r="R91" s="149">
        <f>IF(invoice[[#This Row],[میزان سفارش]]-invoice[[#This Row],[میزان حمل شده ]]&lt;0,0,invoice[[#This Row],[میزان سفارش]]-invoice[[#This Row],[میزان حمل شده ]])</f>
        <v>0</v>
      </c>
      <c r="S91" s="149">
        <f>invoice[[#This Row],[میزان حمل نشده ]]*invoice[[#This Row],[فی]]</f>
        <v>0</v>
      </c>
    </row>
    <row r="92" spans="1:19" ht="30.6" customHeight="1">
      <c r="A92" s="150" t="s">
        <v>70</v>
      </c>
      <c r="B92" s="150" t="s">
        <v>116</v>
      </c>
      <c r="C92" s="150" t="s">
        <v>134</v>
      </c>
      <c r="D92" s="151" t="s">
        <v>134</v>
      </c>
      <c r="E92" s="243">
        <v>30000</v>
      </c>
      <c r="F92" s="148">
        <v>92179</v>
      </c>
      <c r="G92" s="149" t="str">
        <f>CHOOSE(MID(invoice[[#This Row],[تاریخ]],6,2),"فروردین","اردیبهشت","خرداد","تیر","مرداد","شهریور","مهر","آبان","آذر","دی","بهمن","اسفند")</f>
        <v>اسفند</v>
      </c>
      <c r="H92" s="149">
        <f>_xlfn.NUMBERVALUE(MID(invoice[[#This Row],[تاریخ]],1,4))</f>
        <v>1403</v>
      </c>
      <c r="I92" s="149" t="s">
        <v>242</v>
      </c>
      <c r="J92" s="149" t="s">
        <v>504</v>
      </c>
      <c r="K92" s="151">
        <v>46466</v>
      </c>
      <c r="L92" s="149">
        <f>IF(invoice[[#This Row],[سال]]=year,1,0)</f>
        <v>0</v>
      </c>
      <c r="M92" s="148"/>
      <c r="N92" s="149"/>
      <c r="O92" s="194">
        <f>SUMIF(bargiri[شماره پیش فاکتور],invoice[[#This Row],[شماره پیش فاکتور]],bargiri[میزان بارگیری شده])/invoice[[#This Row],[میزان سفارش]]</f>
        <v>1</v>
      </c>
      <c r="P92" s="149" t="str">
        <f>IF(invoice[[#This Row],[نوع سفارش]]="غیرفعال","عادی",invoice[[#This Row],[نوع سفارش]])</f>
        <v>بورس</v>
      </c>
      <c r="Q92" s="149">
        <f>SUMIFS('جزییات بارگیری'!D:D,'جزییات بارگیری'!C:C,invoice[[#This Row],[شماره پیش فاکتور]])</f>
        <v>30000</v>
      </c>
      <c r="R92" s="149">
        <f>IF(invoice[[#This Row],[میزان سفارش]]-invoice[[#This Row],[میزان حمل شده ]]&lt;0,0,invoice[[#This Row],[میزان سفارش]]-invoice[[#This Row],[میزان حمل شده ]])</f>
        <v>0</v>
      </c>
      <c r="S92" s="149">
        <f>invoice[[#This Row],[میزان حمل نشده ]]*invoice[[#This Row],[فی]]</f>
        <v>0</v>
      </c>
    </row>
    <row r="93" spans="1:19" ht="30.6" customHeight="1">
      <c r="A93" s="150" t="s">
        <v>34</v>
      </c>
      <c r="B93" s="150" t="s">
        <v>104</v>
      </c>
      <c r="C93" s="150" t="s">
        <v>152</v>
      </c>
      <c r="D93" s="151" t="s">
        <v>152</v>
      </c>
      <c r="E93" s="243">
        <v>50000</v>
      </c>
      <c r="F93" s="148">
        <v>66200</v>
      </c>
      <c r="G93" s="149" t="str">
        <f>CHOOSE(MID(invoice[[#This Row],[تاریخ]],6,2),"فروردین","اردیبهشت","خرداد","تیر","مرداد","شهریور","مهر","آبان","آذر","دی","بهمن","اسفند")</f>
        <v>اسفند</v>
      </c>
      <c r="H93" s="149">
        <f>_xlfn.NUMBERVALUE(MID(invoice[[#This Row],[تاریخ]],1,4))</f>
        <v>1403</v>
      </c>
      <c r="I93" s="149" t="s">
        <v>240</v>
      </c>
      <c r="J93" s="149" t="s">
        <v>504</v>
      </c>
      <c r="K93" s="151">
        <v>46466</v>
      </c>
      <c r="L93" s="149">
        <f>IF(invoice[[#This Row],[سال]]=year,1,0)</f>
        <v>0</v>
      </c>
      <c r="M93" s="148"/>
      <c r="N93" s="149"/>
      <c r="O93" s="194">
        <f>SUMIF(bargiri[شماره پیش فاکتور],invoice[[#This Row],[شماره پیش فاکتور]],bargiri[میزان بارگیری شده])/invoice[[#This Row],[میزان سفارش]]</f>
        <v>1</v>
      </c>
      <c r="P93" s="149" t="str">
        <f>IF(invoice[[#This Row],[نوع سفارش]]="غیرفعال","عادی",invoice[[#This Row],[نوع سفارش]])</f>
        <v>تعادلی</v>
      </c>
      <c r="Q93" s="149">
        <f>SUMIFS('جزییات بارگیری'!D:D,'جزییات بارگیری'!C:C,invoice[[#This Row],[شماره پیش فاکتور]])</f>
        <v>50000</v>
      </c>
      <c r="R93" s="149">
        <f>IF(invoice[[#This Row],[میزان سفارش]]-invoice[[#This Row],[میزان حمل شده ]]&lt;0,0,invoice[[#This Row],[میزان سفارش]]-invoice[[#This Row],[میزان حمل شده ]])</f>
        <v>0</v>
      </c>
      <c r="S93" s="149">
        <f>invoice[[#This Row],[میزان حمل نشده ]]*invoice[[#This Row],[فی]]</f>
        <v>0</v>
      </c>
    </row>
    <row r="94" spans="1:19" ht="30.6" customHeight="1">
      <c r="A94" s="150" t="s">
        <v>570</v>
      </c>
      <c r="B94" s="150" t="s">
        <v>125</v>
      </c>
      <c r="C94" s="150" t="s">
        <v>549</v>
      </c>
      <c r="D94" s="150" t="s">
        <v>551</v>
      </c>
      <c r="E94" s="243">
        <v>271050</v>
      </c>
      <c r="F94" s="148">
        <v>142000</v>
      </c>
      <c r="G94" s="149" t="str">
        <f>CHOOSE(MID(invoice[[#This Row],[تاریخ]],6,2),"فروردین","اردیبهشت","خرداد","تیر","مرداد","شهریور","مهر","آبان","آذر","دی","بهمن","اسفند")</f>
        <v>اردیبهشت</v>
      </c>
      <c r="H94" s="149">
        <f>_xlfn.NUMBERVALUE(MID(invoice[[#This Row],[تاریخ]],1,4))</f>
        <v>1404</v>
      </c>
      <c r="I94" s="149" t="s">
        <v>241</v>
      </c>
      <c r="J94" s="149" t="s">
        <v>504</v>
      </c>
      <c r="K94" s="151">
        <v>46466</v>
      </c>
      <c r="L94" s="149">
        <f>IF(invoice[[#This Row],[سال]]=year,1,0)</f>
        <v>0</v>
      </c>
      <c r="M94" s="148"/>
      <c r="N94" s="149"/>
      <c r="O94" s="194">
        <f>SUMIF(bargiri[شماره پیش فاکتور],invoice[[#This Row],[شماره پیش فاکتور]],bargiri[میزان بارگیری شده])/invoice[[#This Row],[میزان سفارش]]</f>
        <v>1</v>
      </c>
      <c r="P94" s="149" t="str">
        <f>IF(invoice[[#This Row],[نوع سفارش]]="غیرفعال","عادی",invoice[[#This Row],[نوع سفارش]])</f>
        <v>انجمن</v>
      </c>
      <c r="Q94" s="149">
        <f>SUMIFS('جزییات بارگیری'!D:D,'جزییات بارگیری'!C:C,invoice[[#This Row],[شماره پیش فاکتور]])</f>
        <v>271050</v>
      </c>
      <c r="R94" s="149">
        <f>IF(invoice[[#This Row],[میزان سفارش]]-invoice[[#This Row],[میزان حمل شده ]]&lt;0,0,invoice[[#This Row],[میزان سفارش]]-invoice[[#This Row],[میزان حمل شده ]])</f>
        <v>0</v>
      </c>
      <c r="S94" s="149">
        <f>invoice[[#This Row],[میزان حمل نشده ]]*invoice[[#This Row],[فی]]</f>
        <v>0</v>
      </c>
    </row>
    <row r="95" spans="1:19" ht="30.6" customHeight="1">
      <c r="A95" s="150" t="s">
        <v>562</v>
      </c>
      <c r="B95" s="150" t="s">
        <v>104</v>
      </c>
      <c r="C95" s="150" t="s">
        <v>549</v>
      </c>
      <c r="D95" s="150" t="s">
        <v>551</v>
      </c>
      <c r="E95" s="243">
        <v>300000</v>
      </c>
      <c r="F95" s="148">
        <v>142000</v>
      </c>
      <c r="G95" s="149" t="str">
        <f>CHOOSE(MID(invoice[[#This Row],[تاریخ]],6,2),"فروردین","اردیبهشت","خرداد","تیر","مرداد","شهریور","مهر","آبان","آذر","دی","بهمن","اسفند")</f>
        <v>اردیبهشت</v>
      </c>
      <c r="H95" s="149">
        <f>_xlfn.NUMBERVALUE(MID(invoice[[#This Row],[تاریخ]],1,4))</f>
        <v>1404</v>
      </c>
      <c r="I95" s="149" t="s">
        <v>241</v>
      </c>
      <c r="J95" s="149" t="s">
        <v>504</v>
      </c>
      <c r="K95" s="151">
        <v>46466</v>
      </c>
      <c r="L95" s="149">
        <f>IF(invoice[[#This Row],[سال]]=year,1,0)</f>
        <v>0</v>
      </c>
      <c r="M95" s="148"/>
      <c r="N95" s="149"/>
      <c r="O95" s="194">
        <f>SUMIF(bargiri[شماره پیش فاکتور],invoice[[#This Row],[شماره پیش فاکتور]],bargiri[میزان بارگیری شده])/invoice[[#This Row],[میزان سفارش]]</f>
        <v>1</v>
      </c>
      <c r="P95" s="149" t="str">
        <f>IF(invoice[[#This Row],[نوع سفارش]]="غیرفعال","عادی",invoice[[#This Row],[نوع سفارش]])</f>
        <v>انجمن</v>
      </c>
      <c r="Q95" s="149">
        <f>SUMIFS('جزییات بارگیری'!D:D,'جزییات بارگیری'!C:C,invoice[[#This Row],[شماره پیش فاکتور]])</f>
        <v>300000</v>
      </c>
      <c r="R95" s="149">
        <f>IF(invoice[[#This Row],[میزان سفارش]]-invoice[[#This Row],[میزان حمل شده ]]&lt;0,0,invoice[[#This Row],[میزان سفارش]]-invoice[[#This Row],[میزان حمل شده ]])</f>
        <v>0</v>
      </c>
      <c r="S95" s="149">
        <f>invoice[[#This Row],[میزان حمل نشده ]]*invoice[[#This Row],[فی]]</f>
        <v>0</v>
      </c>
    </row>
    <row r="96" spans="1:19" ht="30.6" customHeight="1">
      <c r="A96" s="150" t="s">
        <v>3</v>
      </c>
      <c r="B96" s="150" t="s">
        <v>98</v>
      </c>
      <c r="C96" s="150" t="s">
        <v>131</v>
      </c>
      <c r="D96" s="151" t="s">
        <v>131</v>
      </c>
      <c r="E96" s="243">
        <v>34360</v>
      </c>
      <c r="F96" s="148">
        <v>65000</v>
      </c>
      <c r="G96" s="149" t="str">
        <f>CHOOSE(MID(invoice[[#This Row],[تاریخ]],6,2),"فروردین","اردیبهشت","خرداد","تیر","مرداد","شهریور","مهر","آبان","آذر","دی","بهمن","اسفند")</f>
        <v>اسفند</v>
      </c>
      <c r="H96" s="149">
        <f>_xlfn.NUMBERVALUE(MID(invoice[[#This Row],[تاریخ]],1,4))</f>
        <v>1403</v>
      </c>
      <c r="I96" s="149" t="s">
        <v>240</v>
      </c>
      <c r="J96" s="149" t="s">
        <v>504</v>
      </c>
      <c r="K96" s="151">
        <v>46466</v>
      </c>
      <c r="L96" s="149">
        <f>IF(invoice[[#This Row],[سال]]=year,1,0)</f>
        <v>0</v>
      </c>
      <c r="M96" s="148"/>
      <c r="N96" s="149"/>
      <c r="O96" s="194">
        <f>SUMIF(bargiri[شماره پیش فاکتور],invoice[[#This Row],[شماره پیش فاکتور]],bargiri[میزان بارگیری شده])/invoice[[#This Row],[میزان سفارش]]</f>
        <v>1</v>
      </c>
      <c r="P96" s="149" t="str">
        <f>IF(invoice[[#This Row],[نوع سفارش]]="غیرفعال","عادی",invoice[[#This Row],[نوع سفارش]])</f>
        <v>تعادلی</v>
      </c>
      <c r="Q96" s="149">
        <f>SUMIFS('جزییات بارگیری'!D:D,'جزییات بارگیری'!C:C,invoice[[#This Row],[شماره پیش فاکتور]])</f>
        <v>34360</v>
      </c>
      <c r="R96" s="149">
        <f>IF(invoice[[#This Row],[میزان سفارش]]-invoice[[#This Row],[میزان حمل شده ]]&lt;0,0,invoice[[#This Row],[میزان سفارش]]-invoice[[#This Row],[میزان حمل شده ]])</f>
        <v>0</v>
      </c>
      <c r="S96" s="149">
        <f>invoice[[#This Row],[میزان حمل نشده ]]*invoice[[#This Row],[فی]]</f>
        <v>0</v>
      </c>
    </row>
    <row r="97" spans="1:19" ht="30.6" customHeight="1">
      <c r="A97" s="150" t="s">
        <v>67</v>
      </c>
      <c r="B97" s="150" t="s">
        <v>116</v>
      </c>
      <c r="C97" s="150" t="s">
        <v>169</v>
      </c>
      <c r="D97" s="151" t="s">
        <v>169</v>
      </c>
      <c r="E97" s="243">
        <v>51540</v>
      </c>
      <c r="F97" s="148">
        <v>65000</v>
      </c>
      <c r="G97" s="149" t="str">
        <f>CHOOSE(MID(invoice[[#This Row],[تاریخ]],6,2),"فروردین","اردیبهشت","خرداد","تیر","مرداد","شهریور","مهر","آبان","آذر","دی","بهمن","اسفند")</f>
        <v>اسفند</v>
      </c>
      <c r="H97" s="149">
        <f>_xlfn.NUMBERVALUE(MID(invoice[[#This Row],[تاریخ]],1,4))</f>
        <v>1403</v>
      </c>
      <c r="I97" s="149" t="s">
        <v>240</v>
      </c>
      <c r="J97" s="149" t="s">
        <v>504</v>
      </c>
      <c r="K97" s="151">
        <v>46466</v>
      </c>
      <c r="L97" s="149">
        <f>IF(invoice[[#This Row],[سال]]=year,1,0)</f>
        <v>0</v>
      </c>
      <c r="M97" s="148"/>
      <c r="N97" s="149"/>
      <c r="O97" s="194">
        <f>SUMIF(bargiri[شماره پیش فاکتور],invoice[[#This Row],[شماره پیش فاکتور]],bargiri[میزان بارگیری شده])/invoice[[#This Row],[میزان سفارش]]</f>
        <v>1</v>
      </c>
      <c r="P97" s="149" t="str">
        <f>IF(invoice[[#This Row],[نوع سفارش]]="غیرفعال","عادی",invoice[[#This Row],[نوع سفارش]])</f>
        <v>تعادلی</v>
      </c>
      <c r="Q97" s="149">
        <f>SUMIFS('جزییات بارگیری'!D:D,'جزییات بارگیری'!C:C,invoice[[#This Row],[شماره پیش فاکتور]])</f>
        <v>51540</v>
      </c>
      <c r="R97" s="149">
        <f>IF(invoice[[#This Row],[میزان سفارش]]-invoice[[#This Row],[میزان حمل شده ]]&lt;0,0,invoice[[#This Row],[میزان سفارش]]-invoice[[#This Row],[میزان حمل شده ]])</f>
        <v>0</v>
      </c>
      <c r="S97" s="149">
        <f>invoice[[#This Row],[میزان حمل نشده ]]*invoice[[#This Row],[فی]]</f>
        <v>0</v>
      </c>
    </row>
    <row r="98" spans="1:19" ht="30.6" customHeight="1">
      <c r="A98" s="150" t="s">
        <v>129</v>
      </c>
      <c r="B98" s="150" t="s">
        <v>111</v>
      </c>
      <c r="C98" s="150" t="s">
        <v>184</v>
      </c>
      <c r="D98" s="151" t="s">
        <v>232</v>
      </c>
      <c r="E98" s="243">
        <v>5330</v>
      </c>
      <c r="F98" s="148">
        <v>120000</v>
      </c>
      <c r="G98" s="149" t="str">
        <f>CHOOSE(MID(invoice[[#This Row],[تاریخ]],6,2),"فروردین","اردیبهشت","خرداد","تیر","مرداد","شهریور","مهر","آبان","آذر","دی","بهمن","اسفند")</f>
        <v>فروردین</v>
      </c>
      <c r="H98" s="149">
        <f>_xlfn.NUMBERVALUE(MID(invoice[[#This Row],[تاریخ]],1,4))</f>
        <v>1404</v>
      </c>
      <c r="I98" s="149" t="s">
        <v>243</v>
      </c>
      <c r="J98" s="149" t="s">
        <v>728</v>
      </c>
      <c r="K98" s="151">
        <v>46466</v>
      </c>
      <c r="L98" s="149">
        <f>IF(invoice[[#This Row],[سال]]=year,1,0)</f>
        <v>0</v>
      </c>
      <c r="M98" s="148"/>
      <c r="N98" s="149"/>
      <c r="O98" s="194">
        <f>SUMIF(bargiri[شماره پیش فاکتور],invoice[[#This Row],[شماره پیش فاکتور]],bargiri[میزان بارگیری شده])/invoice[[#This Row],[میزان سفارش]]</f>
        <v>1</v>
      </c>
      <c r="P98" s="149" t="str">
        <f>IF(invoice[[#This Row],[نوع سفارش]]="غیرفعال","عادی",invoice[[#This Row],[نوع سفارش]])</f>
        <v>عادی</v>
      </c>
      <c r="Q98" s="149">
        <f>SUMIFS('جزییات بارگیری'!D:D,'جزییات بارگیری'!C:C,invoice[[#This Row],[شماره پیش فاکتور]])</f>
        <v>5330</v>
      </c>
      <c r="R98" s="149">
        <f>IF(invoice[[#This Row],[میزان سفارش]]-invoice[[#This Row],[میزان حمل شده ]]&lt;0,0,invoice[[#This Row],[میزان سفارش]]-invoice[[#This Row],[میزان حمل شده ]])</f>
        <v>0</v>
      </c>
      <c r="S98" s="149">
        <f>invoice[[#This Row],[میزان حمل نشده ]]*invoice[[#This Row],[فی]]</f>
        <v>0</v>
      </c>
    </row>
    <row r="99" spans="1:19" ht="30.6" customHeight="1">
      <c r="A99" s="150" t="s">
        <v>533</v>
      </c>
      <c r="B99" s="150" t="s">
        <v>123</v>
      </c>
      <c r="C99" s="150" t="s">
        <v>185</v>
      </c>
      <c r="D99" s="150" t="s">
        <v>185</v>
      </c>
      <c r="E99" s="243">
        <v>51890</v>
      </c>
      <c r="F99" s="148">
        <v>100000</v>
      </c>
      <c r="G99" s="149" t="str">
        <f>CHOOSE(MID(invoice[[#This Row],[تاریخ]],6,2),"فروردین","اردیبهشت","خرداد","تیر","مرداد","شهریور","مهر","آبان","آذر","دی","بهمن","اسفند")</f>
        <v>اردیبهشت</v>
      </c>
      <c r="H99" s="149">
        <f>_xlfn.NUMBERVALUE(MID(invoice[[#This Row],[تاریخ]],1,4))</f>
        <v>1404</v>
      </c>
      <c r="I99" s="149" t="s">
        <v>243</v>
      </c>
      <c r="J99" s="149" t="s">
        <v>728</v>
      </c>
      <c r="K99" s="248">
        <v>46466</v>
      </c>
      <c r="L99" s="149">
        <f>IF(invoice[[#This Row],[سال]]=year,1,0)</f>
        <v>0</v>
      </c>
      <c r="M99" s="148"/>
      <c r="N99" s="149"/>
      <c r="O99" s="194">
        <f>SUMIF(bargiri[شماره پیش فاکتور],invoice[[#This Row],[شماره پیش فاکتور]],bargiri[میزان بارگیری شده])/invoice[[#This Row],[میزان سفارش]]</f>
        <v>1</v>
      </c>
      <c r="P99" s="149" t="str">
        <f>IF(invoice[[#This Row],[نوع سفارش]]="غیرفعال","عادی",invoice[[#This Row],[نوع سفارش]])</f>
        <v>عادی</v>
      </c>
      <c r="Q99" s="149">
        <f>SUMIFS('جزییات بارگیری'!D:D,'جزییات بارگیری'!C:C,invoice[[#This Row],[شماره پیش فاکتور]])</f>
        <v>51890</v>
      </c>
      <c r="R99" s="149">
        <f>IF(invoice[[#This Row],[میزان سفارش]]-invoice[[#This Row],[میزان حمل شده ]]&lt;0,0,invoice[[#This Row],[میزان سفارش]]-invoice[[#This Row],[میزان حمل شده ]])</f>
        <v>0</v>
      </c>
      <c r="S99" s="149">
        <f>invoice[[#This Row],[میزان حمل نشده ]]*invoice[[#This Row],[فی]]</f>
        <v>0</v>
      </c>
    </row>
    <row r="100" spans="1:19" ht="30.6" customHeight="1">
      <c r="A100" s="150" t="s">
        <v>536</v>
      </c>
      <c r="B100" s="150" t="s">
        <v>116</v>
      </c>
      <c r="C100" s="150" t="s">
        <v>499</v>
      </c>
      <c r="D100" s="150" t="s">
        <v>499</v>
      </c>
      <c r="E100" s="243">
        <v>50000</v>
      </c>
      <c r="F100" s="148">
        <v>126000</v>
      </c>
      <c r="G100" s="149" t="str">
        <f>CHOOSE(MID(invoice[[#This Row],[تاریخ]],6,2),"فروردین","اردیبهشت","خرداد","تیر","مرداد","شهریور","مهر","آبان","آذر","دی","بهمن","اسفند")</f>
        <v>اردیبهشت</v>
      </c>
      <c r="H100" s="149">
        <f>_xlfn.NUMBERVALUE(MID(invoice[[#This Row],[تاریخ]],1,4))</f>
        <v>1404</v>
      </c>
      <c r="I100" s="149" t="s">
        <v>242</v>
      </c>
      <c r="J100" s="149" t="s">
        <v>504</v>
      </c>
      <c r="K100" s="149">
        <v>46466</v>
      </c>
      <c r="L100" s="149">
        <f>IF(invoice[[#This Row],[سال]]=year,1,0)</f>
        <v>0</v>
      </c>
      <c r="M100" s="148"/>
      <c r="N100" s="149"/>
      <c r="O100" s="194">
        <f>SUMIF(bargiri[شماره پیش فاکتور],invoice[[#This Row],[شماره پیش فاکتور]],bargiri[میزان بارگیری شده])/invoice[[#This Row],[میزان سفارش]]</f>
        <v>1</v>
      </c>
      <c r="P100" s="149" t="str">
        <f>IF(invoice[[#This Row],[نوع سفارش]]="غیرفعال","عادی",invoice[[#This Row],[نوع سفارش]])</f>
        <v>بورس</v>
      </c>
      <c r="Q100" s="149">
        <f>SUMIFS('جزییات بارگیری'!D:D,'جزییات بارگیری'!C:C,invoice[[#This Row],[شماره پیش فاکتور]])</f>
        <v>50000</v>
      </c>
      <c r="R100" s="149">
        <f>IF(invoice[[#This Row],[میزان سفارش]]-invoice[[#This Row],[میزان حمل شده ]]&lt;0,0,invoice[[#This Row],[میزان سفارش]]-invoice[[#This Row],[میزان حمل شده ]])</f>
        <v>0</v>
      </c>
      <c r="S100" s="149">
        <f>invoice[[#This Row],[میزان حمل نشده ]]*invoice[[#This Row],[فی]]</f>
        <v>0</v>
      </c>
    </row>
    <row r="101" spans="1:19" ht="30.6" customHeight="1">
      <c r="A101" s="150" t="s">
        <v>537</v>
      </c>
      <c r="B101" s="150" t="s">
        <v>98</v>
      </c>
      <c r="C101" s="150" t="s">
        <v>499</v>
      </c>
      <c r="D101" s="150" t="s">
        <v>499</v>
      </c>
      <c r="E101" s="243">
        <v>50000</v>
      </c>
      <c r="F101" s="148">
        <v>151200</v>
      </c>
      <c r="G101" s="149" t="str">
        <f>CHOOSE(MID(invoice[[#This Row],[تاریخ]],6,2),"فروردین","اردیبهشت","خرداد","تیر","مرداد","شهریور","مهر","آبان","آذر","دی","بهمن","اسفند")</f>
        <v>اردیبهشت</v>
      </c>
      <c r="H101" s="149">
        <f>_xlfn.NUMBERVALUE(MID(invoice[[#This Row],[تاریخ]],1,4))</f>
        <v>1404</v>
      </c>
      <c r="I101" s="149" t="s">
        <v>242</v>
      </c>
      <c r="J101" s="149" t="s">
        <v>504</v>
      </c>
      <c r="K101" s="149">
        <v>46466</v>
      </c>
      <c r="L101" s="149">
        <f>IF(invoice[[#This Row],[سال]]=year,1,0)</f>
        <v>0</v>
      </c>
      <c r="M101" s="148"/>
      <c r="N101" s="149"/>
      <c r="O101" s="194">
        <f>SUMIF(bargiri[شماره پیش فاکتور],invoice[[#This Row],[شماره پیش فاکتور]],bargiri[میزان بارگیری شده])/invoice[[#This Row],[میزان سفارش]]</f>
        <v>1</v>
      </c>
      <c r="P101" s="149" t="str">
        <f>IF(invoice[[#This Row],[نوع سفارش]]="غیرفعال","عادی",invoice[[#This Row],[نوع سفارش]])</f>
        <v>بورس</v>
      </c>
      <c r="Q101" s="149">
        <f>SUMIFS('جزییات بارگیری'!D:D,'جزییات بارگیری'!C:C,invoice[[#This Row],[شماره پیش فاکتور]])</f>
        <v>50000</v>
      </c>
      <c r="R101" s="149">
        <f>IF(invoice[[#This Row],[میزان سفارش]]-invoice[[#This Row],[میزان حمل شده ]]&lt;0,0,invoice[[#This Row],[میزان سفارش]]-invoice[[#This Row],[میزان حمل شده ]])</f>
        <v>0</v>
      </c>
      <c r="S101" s="149">
        <f>invoice[[#This Row],[میزان حمل نشده ]]*invoice[[#This Row],[فی]]</f>
        <v>0</v>
      </c>
    </row>
    <row r="102" spans="1:19" ht="30.6" customHeight="1">
      <c r="A102" s="150" t="s">
        <v>538</v>
      </c>
      <c r="B102" s="150" t="s">
        <v>116</v>
      </c>
      <c r="C102" s="150" t="s">
        <v>532</v>
      </c>
      <c r="D102" s="151" t="s">
        <v>531</v>
      </c>
      <c r="E102" s="243">
        <v>65000</v>
      </c>
      <c r="F102" s="148">
        <v>80000</v>
      </c>
      <c r="G102" s="149" t="str">
        <f>CHOOSE(MID(invoice[[#This Row],[تاریخ]],6,2),"فروردین","اردیبهشت","خرداد","تیر","مرداد","شهریور","مهر","آبان","آذر","دی","بهمن","اسفند")</f>
        <v>اردیبهشت</v>
      </c>
      <c r="H102" s="149">
        <f>_xlfn.NUMBERVALUE(MID(invoice[[#This Row],[تاریخ]],1,4))</f>
        <v>1404</v>
      </c>
      <c r="I102" s="149" t="s">
        <v>240</v>
      </c>
      <c r="J102" s="149" t="s">
        <v>504</v>
      </c>
      <c r="K102" s="149">
        <v>46466</v>
      </c>
      <c r="L102" s="149">
        <f>IF(invoice[[#This Row],[سال]]=year,1,0)</f>
        <v>0</v>
      </c>
      <c r="M102" s="148"/>
      <c r="N102" s="149"/>
      <c r="O102" s="194">
        <f>SUMIF(bargiri[شماره پیش فاکتور],invoice[[#This Row],[شماره پیش فاکتور]],bargiri[میزان بارگیری شده])/invoice[[#This Row],[میزان سفارش]]</f>
        <v>1</v>
      </c>
      <c r="P102" s="149" t="str">
        <f>IF(invoice[[#This Row],[نوع سفارش]]="غیرفعال","عادی",invoice[[#This Row],[نوع سفارش]])</f>
        <v>تعادلی</v>
      </c>
      <c r="Q102" s="149">
        <f>SUMIFS('جزییات بارگیری'!D:D,'جزییات بارگیری'!C:C,invoice[[#This Row],[شماره پیش فاکتور]])</f>
        <v>65000</v>
      </c>
      <c r="R102" s="149">
        <f>IF(invoice[[#This Row],[میزان سفارش]]-invoice[[#This Row],[میزان حمل شده ]]&lt;0,0,invoice[[#This Row],[میزان سفارش]]-invoice[[#This Row],[میزان حمل شده ]])</f>
        <v>0</v>
      </c>
      <c r="S102" s="149">
        <f>invoice[[#This Row],[میزان حمل نشده ]]*invoice[[#This Row],[فی]]</f>
        <v>0</v>
      </c>
    </row>
    <row r="103" spans="1:19" ht="30.6" customHeight="1">
      <c r="A103" s="150" t="s">
        <v>539</v>
      </c>
      <c r="B103" s="150" t="s">
        <v>98</v>
      </c>
      <c r="C103" s="150" t="s">
        <v>532</v>
      </c>
      <c r="D103" s="151" t="s">
        <v>531</v>
      </c>
      <c r="E103" s="243">
        <v>102400</v>
      </c>
      <c r="F103" s="148">
        <v>75000</v>
      </c>
      <c r="G103" s="149" t="str">
        <f>CHOOSE(MID(invoice[[#This Row],[تاریخ]],6,2),"فروردین","اردیبهشت","خرداد","تیر","مرداد","شهریور","مهر","آبان","آذر","دی","بهمن","اسفند")</f>
        <v>اردیبهشت</v>
      </c>
      <c r="H103" s="149">
        <f>_xlfn.NUMBERVALUE(MID(invoice[[#This Row],[تاریخ]],1,4))</f>
        <v>1404</v>
      </c>
      <c r="I103" s="149" t="s">
        <v>240</v>
      </c>
      <c r="J103" s="149" t="s">
        <v>504</v>
      </c>
      <c r="K103" s="149">
        <v>46466</v>
      </c>
      <c r="L103" s="149">
        <f>IF(invoice[[#This Row],[سال]]=year,1,0)</f>
        <v>0</v>
      </c>
      <c r="M103" s="148"/>
      <c r="N103" s="149"/>
      <c r="O103" s="194">
        <f>SUMIF(bargiri[شماره پیش فاکتور],invoice[[#This Row],[شماره پیش فاکتور]],bargiri[میزان بارگیری شده])/invoice[[#This Row],[میزان سفارش]]</f>
        <v>1</v>
      </c>
      <c r="P103" s="149" t="str">
        <f>IF(invoice[[#This Row],[نوع سفارش]]="غیرفعال","عادی",invoice[[#This Row],[نوع سفارش]])</f>
        <v>تعادلی</v>
      </c>
      <c r="Q103" s="149">
        <f>SUMIFS('جزییات بارگیری'!D:D,'جزییات بارگیری'!C:C,invoice[[#This Row],[شماره پیش فاکتور]])</f>
        <v>102400</v>
      </c>
      <c r="R103" s="149">
        <f>IF(invoice[[#This Row],[میزان سفارش]]-invoice[[#This Row],[میزان حمل شده ]]&lt;0,0,invoice[[#This Row],[میزان سفارش]]-invoice[[#This Row],[میزان حمل شده ]])</f>
        <v>0</v>
      </c>
      <c r="S103" s="149">
        <f>invoice[[#This Row],[میزان حمل نشده ]]*invoice[[#This Row],[فی]]</f>
        <v>0</v>
      </c>
    </row>
    <row r="104" spans="1:19" ht="30.6" customHeight="1">
      <c r="A104" s="150" t="s">
        <v>540</v>
      </c>
      <c r="B104" s="150" t="s">
        <v>121</v>
      </c>
      <c r="C104" s="150" t="s">
        <v>531</v>
      </c>
      <c r="D104" s="151" t="s">
        <v>530</v>
      </c>
      <c r="E104" s="243">
        <v>40000</v>
      </c>
      <c r="F104" s="148">
        <v>151200</v>
      </c>
      <c r="G104" s="149" t="str">
        <f>CHOOSE(MID(invoice[[#This Row],[تاریخ]],6,2),"فروردین","اردیبهشت","خرداد","تیر","مرداد","شهریور","مهر","آبان","آذر","دی","بهمن","اسفند")</f>
        <v>اردیبهشت</v>
      </c>
      <c r="H104" s="149">
        <f>_xlfn.NUMBERVALUE(MID(invoice[[#This Row],[تاریخ]],1,4))</f>
        <v>1404</v>
      </c>
      <c r="I104" s="149" t="s">
        <v>242</v>
      </c>
      <c r="J104" s="149" t="s">
        <v>504</v>
      </c>
      <c r="K104" s="149">
        <v>46466</v>
      </c>
      <c r="L104" s="149">
        <f>IF(invoice[[#This Row],[سال]]=year,1,0)</f>
        <v>0</v>
      </c>
      <c r="M104" s="148"/>
      <c r="N104" s="149"/>
      <c r="O104" s="194">
        <f>SUMIF(bargiri[شماره پیش فاکتور],invoice[[#This Row],[شماره پیش فاکتور]],bargiri[میزان بارگیری شده])/invoice[[#This Row],[میزان سفارش]]</f>
        <v>1</v>
      </c>
      <c r="P104" s="149" t="str">
        <f>IF(invoice[[#This Row],[نوع سفارش]]="غیرفعال","عادی",invoice[[#This Row],[نوع سفارش]])</f>
        <v>بورس</v>
      </c>
      <c r="Q104" s="149">
        <f>SUMIFS('جزییات بارگیری'!D:D,'جزییات بارگیری'!C:C,invoice[[#This Row],[شماره پیش فاکتور]])</f>
        <v>40000</v>
      </c>
      <c r="R104" s="149">
        <f>IF(invoice[[#This Row],[میزان سفارش]]-invoice[[#This Row],[میزان حمل شده ]]&lt;0,0,invoice[[#This Row],[میزان سفارش]]-invoice[[#This Row],[میزان حمل شده ]])</f>
        <v>0</v>
      </c>
      <c r="S104" s="149">
        <f>invoice[[#This Row],[میزان حمل نشده ]]*invoice[[#This Row],[فی]]</f>
        <v>0</v>
      </c>
    </row>
    <row r="105" spans="1:19" ht="30.6" customHeight="1">
      <c r="A105" s="150" t="s">
        <v>541</v>
      </c>
      <c r="B105" s="150" t="s">
        <v>98</v>
      </c>
      <c r="C105" s="150" t="s">
        <v>531</v>
      </c>
      <c r="D105" s="151" t="s">
        <v>530</v>
      </c>
      <c r="E105" s="243">
        <v>20000</v>
      </c>
      <c r="F105" s="148">
        <v>151200</v>
      </c>
      <c r="G105" s="149" t="str">
        <f>CHOOSE(MID(invoice[[#This Row],[تاریخ]],6,2),"فروردین","اردیبهشت","خرداد","تیر","مرداد","شهریور","مهر","آبان","آذر","دی","بهمن","اسفند")</f>
        <v>اردیبهشت</v>
      </c>
      <c r="H105" s="149">
        <f>_xlfn.NUMBERVALUE(MID(invoice[[#This Row],[تاریخ]],1,4))</f>
        <v>1404</v>
      </c>
      <c r="I105" s="149" t="s">
        <v>242</v>
      </c>
      <c r="J105" s="149" t="s">
        <v>504</v>
      </c>
      <c r="K105" s="149">
        <v>46466</v>
      </c>
      <c r="L105" s="149">
        <f>IF(invoice[[#This Row],[سال]]=year,1,0)</f>
        <v>0</v>
      </c>
      <c r="M105" s="148"/>
      <c r="N105" s="149"/>
      <c r="O105" s="194">
        <f>SUMIF(bargiri[شماره پیش فاکتور],invoice[[#This Row],[شماره پیش فاکتور]],bargiri[میزان بارگیری شده])/invoice[[#This Row],[میزان سفارش]]</f>
        <v>1</v>
      </c>
      <c r="P105" s="149" t="str">
        <f>IF(invoice[[#This Row],[نوع سفارش]]="غیرفعال","عادی",invoice[[#This Row],[نوع سفارش]])</f>
        <v>بورس</v>
      </c>
      <c r="Q105" s="149">
        <f>SUMIFS('جزییات بارگیری'!D:D,'جزییات بارگیری'!C:C,invoice[[#This Row],[شماره پیش فاکتور]])</f>
        <v>20000</v>
      </c>
      <c r="R105" s="149">
        <f>IF(invoice[[#This Row],[میزان سفارش]]-invoice[[#This Row],[میزان حمل شده ]]&lt;0,0,invoice[[#This Row],[میزان سفارش]]-invoice[[#This Row],[میزان حمل شده ]])</f>
        <v>0</v>
      </c>
      <c r="S105" s="149">
        <f>invoice[[#This Row],[میزان حمل نشده ]]*invoice[[#This Row],[فی]]</f>
        <v>0</v>
      </c>
    </row>
    <row r="106" spans="1:19" ht="30.6" customHeight="1">
      <c r="A106" s="150" t="s">
        <v>542</v>
      </c>
      <c r="B106" s="150" t="s">
        <v>101</v>
      </c>
      <c r="C106" s="150" t="s">
        <v>531</v>
      </c>
      <c r="D106" s="151" t="s">
        <v>530</v>
      </c>
      <c r="E106" s="243">
        <v>40000</v>
      </c>
      <c r="F106" s="148">
        <v>151200</v>
      </c>
      <c r="G106" s="149" t="str">
        <f>CHOOSE(MID(invoice[[#This Row],[تاریخ]],6,2),"فروردین","اردیبهشت","خرداد","تیر","مرداد","شهریور","مهر","آبان","آذر","دی","بهمن","اسفند")</f>
        <v>اردیبهشت</v>
      </c>
      <c r="H106" s="149">
        <f>_xlfn.NUMBERVALUE(MID(invoice[[#This Row],[تاریخ]],1,4))</f>
        <v>1404</v>
      </c>
      <c r="I106" s="149" t="s">
        <v>242</v>
      </c>
      <c r="J106" s="149" t="s">
        <v>504</v>
      </c>
      <c r="K106" s="149">
        <v>46466</v>
      </c>
      <c r="L106" s="149">
        <f>IF(invoice[[#This Row],[سال]]=year,1,0)</f>
        <v>0</v>
      </c>
      <c r="M106" s="148"/>
      <c r="N106" s="149"/>
      <c r="O106" s="194">
        <f>SUMIF(bargiri[شماره پیش فاکتور],invoice[[#This Row],[شماره پیش فاکتور]],bargiri[میزان بارگیری شده])/invoice[[#This Row],[میزان سفارش]]</f>
        <v>1</v>
      </c>
      <c r="P106" s="149" t="str">
        <f>IF(invoice[[#This Row],[نوع سفارش]]="غیرفعال","عادی",invoice[[#This Row],[نوع سفارش]])</f>
        <v>بورس</v>
      </c>
      <c r="Q106" s="149">
        <f>SUMIFS('جزییات بارگیری'!D:D,'جزییات بارگیری'!C:C,invoice[[#This Row],[شماره پیش فاکتور]])</f>
        <v>40000</v>
      </c>
      <c r="R106" s="149">
        <f>IF(invoice[[#This Row],[میزان سفارش]]-invoice[[#This Row],[میزان حمل شده ]]&lt;0,0,invoice[[#This Row],[میزان سفارش]]-invoice[[#This Row],[میزان حمل شده ]])</f>
        <v>0</v>
      </c>
      <c r="S106" s="149">
        <f>invoice[[#This Row],[میزان حمل نشده ]]*invoice[[#This Row],[فی]]</f>
        <v>0</v>
      </c>
    </row>
    <row r="107" spans="1:19" ht="30.6" customHeight="1">
      <c r="A107" s="150" t="s">
        <v>924</v>
      </c>
      <c r="B107" s="150" t="s">
        <v>121</v>
      </c>
      <c r="C107" s="150" t="s">
        <v>906</v>
      </c>
      <c r="D107" s="151">
        <v>46021</v>
      </c>
      <c r="E107" s="243">
        <v>40000</v>
      </c>
      <c r="F107" s="148">
        <v>132800</v>
      </c>
      <c r="G107" s="149" t="str">
        <f>CHOOSE(MID(invoice[[#This Row],[تاریخ]],6,2),"فروردین","اردیبهشت","خرداد","تیر","مرداد","شهریور","مهر","آبان","آذر","دی","بهمن","اسفند")</f>
        <v>دی</v>
      </c>
      <c r="H107" s="149">
        <f>_xlfn.NUMBERVALUE(MID(invoice[[#This Row],[تاریخ]],1,4))</f>
        <v>1404</v>
      </c>
      <c r="I107" s="149" t="s">
        <v>240</v>
      </c>
      <c r="J107" s="149" t="s">
        <v>504</v>
      </c>
      <c r="K107" s="149">
        <v>46466</v>
      </c>
      <c r="L107" s="149">
        <f>IF(invoice[[#This Row],[سال]]=year,1,0)</f>
        <v>0</v>
      </c>
      <c r="M107" s="148"/>
      <c r="N107" s="149"/>
      <c r="O107" s="194">
        <f>SUMIF(bargiri[شماره پیش فاکتور],invoice[[#This Row],[شماره پیش فاکتور]],bargiri[میزان بارگیری شده])/invoice[[#This Row],[میزان سفارش]]</f>
        <v>0</v>
      </c>
      <c r="P107" s="149" t="str">
        <f>IF(invoice[[#This Row],[نوع سفارش]]="غیرفعال","عادی",invoice[[#This Row],[نوع سفارش]])</f>
        <v>تعادلی</v>
      </c>
      <c r="Q107" s="149">
        <f>SUMIFS('جزییات بارگیری'!D:D,'جزییات بارگیری'!C:C,invoice[[#This Row],[شماره پیش فاکتور]])</f>
        <v>0</v>
      </c>
      <c r="R107" s="149">
        <f>IF(invoice[[#This Row],[میزان سفارش]]-invoice[[#This Row],[میزان حمل شده ]]&lt;0,0,invoice[[#This Row],[میزان سفارش]]-invoice[[#This Row],[میزان حمل شده ]])</f>
        <v>40000</v>
      </c>
      <c r="S107" s="149">
        <f>invoice[[#This Row],[میزان حمل نشده ]]*invoice[[#This Row],[فی]]</f>
        <v>5312000000</v>
      </c>
    </row>
    <row r="108" spans="1:19" ht="30.6" customHeight="1">
      <c r="A108" s="150" t="s">
        <v>543</v>
      </c>
      <c r="B108" s="150" t="s">
        <v>98</v>
      </c>
      <c r="C108" s="150" t="s">
        <v>526</v>
      </c>
      <c r="D108" s="151" t="s">
        <v>545</v>
      </c>
      <c r="E108" s="243">
        <v>51200</v>
      </c>
      <c r="F108" s="148">
        <v>80000</v>
      </c>
      <c r="G108" s="149" t="str">
        <f>CHOOSE(MID(invoice[[#This Row],[تاریخ]],6,2),"فروردین","اردیبهشت","خرداد","تیر","مرداد","شهریور","مهر","آبان","آذر","دی","بهمن","اسفند")</f>
        <v>اردیبهشت</v>
      </c>
      <c r="H108" s="149">
        <f>_xlfn.NUMBERVALUE(MID(invoice[[#This Row],[تاریخ]],1,4))</f>
        <v>1404</v>
      </c>
      <c r="I108" s="149" t="s">
        <v>240</v>
      </c>
      <c r="J108" s="149" t="s">
        <v>504</v>
      </c>
      <c r="K108" s="149">
        <v>46466</v>
      </c>
      <c r="L108" s="149">
        <f>IF(invoice[[#This Row],[سال]]=year,1,0)</f>
        <v>0</v>
      </c>
      <c r="M108" s="148"/>
      <c r="N108" s="149"/>
      <c r="O108" s="194">
        <f>SUMIF(bargiri[شماره پیش فاکتور],invoice[[#This Row],[شماره پیش فاکتور]],bargiri[میزان بارگیری شده])/invoice[[#This Row],[میزان سفارش]]</f>
        <v>1</v>
      </c>
      <c r="P108" s="149" t="str">
        <f>IF(invoice[[#This Row],[نوع سفارش]]="غیرفعال","عادی",invoice[[#This Row],[نوع سفارش]])</f>
        <v>تعادلی</v>
      </c>
      <c r="Q108" s="149">
        <f>SUMIFS('جزییات بارگیری'!D:D,'جزییات بارگیری'!C:C,invoice[[#This Row],[شماره پیش فاکتور]])</f>
        <v>51200</v>
      </c>
      <c r="R108" s="149">
        <f>IF(invoice[[#This Row],[میزان سفارش]]-invoice[[#This Row],[میزان حمل شده ]]&lt;0,0,invoice[[#This Row],[میزان سفارش]]-invoice[[#This Row],[میزان حمل شده ]])</f>
        <v>0</v>
      </c>
      <c r="S108" s="149">
        <f>invoice[[#This Row],[میزان حمل نشده ]]*invoice[[#This Row],[فی]]</f>
        <v>0</v>
      </c>
    </row>
    <row r="109" spans="1:19" ht="30.6" customHeight="1">
      <c r="A109" s="150" t="s">
        <v>544</v>
      </c>
      <c r="B109" s="150" t="s">
        <v>101</v>
      </c>
      <c r="C109" s="150" t="s">
        <v>526</v>
      </c>
      <c r="D109" s="151" t="s">
        <v>545</v>
      </c>
      <c r="E109" s="243">
        <v>81920</v>
      </c>
      <c r="F109" s="148">
        <v>75000</v>
      </c>
      <c r="G109" s="149" t="str">
        <f>CHOOSE(MID(invoice[[#This Row],[تاریخ]],6,2),"فروردین","اردیبهشت","خرداد","تیر","مرداد","شهریور","مهر","آبان","آذر","دی","بهمن","اسفند")</f>
        <v>اردیبهشت</v>
      </c>
      <c r="H109" s="149">
        <f>_xlfn.NUMBERVALUE(MID(invoice[[#This Row],[تاریخ]],1,4))</f>
        <v>1404</v>
      </c>
      <c r="I109" s="149" t="s">
        <v>240</v>
      </c>
      <c r="J109" s="149" t="s">
        <v>504</v>
      </c>
      <c r="K109" s="149">
        <v>46466</v>
      </c>
      <c r="L109" s="149">
        <f>IF(invoice[[#This Row],[سال]]=year,1,0)</f>
        <v>0</v>
      </c>
      <c r="M109" s="148"/>
      <c r="N109" s="149"/>
      <c r="O109" s="194">
        <f>SUMIF(bargiri[شماره پیش فاکتور],invoice[[#This Row],[شماره پیش فاکتور]],bargiri[میزان بارگیری شده])/invoice[[#This Row],[میزان سفارش]]</f>
        <v>1</v>
      </c>
      <c r="P109" s="149" t="str">
        <f>IF(invoice[[#This Row],[نوع سفارش]]="غیرفعال","عادی",invoice[[#This Row],[نوع سفارش]])</f>
        <v>تعادلی</v>
      </c>
      <c r="Q109" s="149">
        <f>SUMIFS('جزییات بارگیری'!D:D,'جزییات بارگیری'!C:C,invoice[[#This Row],[شماره پیش فاکتور]])</f>
        <v>81920</v>
      </c>
      <c r="R109" s="149">
        <f>IF(invoice[[#This Row],[میزان سفارش]]-invoice[[#This Row],[میزان حمل شده ]]&lt;0,0,invoice[[#This Row],[میزان سفارش]]-invoice[[#This Row],[میزان حمل شده ]])</f>
        <v>0</v>
      </c>
      <c r="S109" s="149">
        <f>invoice[[#This Row],[میزان حمل نشده ]]*invoice[[#This Row],[فی]]</f>
        <v>0</v>
      </c>
    </row>
    <row r="110" spans="1:19" ht="30.6" customHeight="1">
      <c r="A110" s="150" t="s">
        <v>565</v>
      </c>
      <c r="B110" s="150" t="s">
        <v>116</v>
      </c>
      <c r="C110" s="150" t="s">
        <v>549</v>
      </c>
      <c r="D110" s="150" t="s">
        <v>551</v>
      </c>
      <c r="E110" s="148">
        <v>1000000</v>
      </c>
      <c r="F110" s="148">
        <v>142000</v>
      </c>
      <c r="G110" s="149" t="str">
        <f>CHOOSE(MID(invoice[[#This Row],[تاریخ]],6,2),"فروردین","اردیبهشت","خرداد","تیر","مرداد","شهریور","مهر","آبان","آذر","دی","بهمن","اسفند")</f>
        <v>اردیبهشت</v>
      </c>
      <c r="H110" s="149">
        <f>_xlfn.NUMBERVALUE(MID(invoice[[#This Row],[تاریخ]],1,4))</f>
        <v>1404</v>
      </c>
      <c r="I110" s="149" t="s">
        <v>241</v>
      </c>
      <c r="J110" s="149" t="s">
        <v>504</v>
      </c>
      <c r="K110" s="151">
        <v>46466</v>
      </c>
      <c r="L110" s="149">
        <f>IF(invoice[[#This Row],[سال]]=year,1,0)</f>
        <v>0</v>
      </c>
      <c r="M110" s="148"/>
      <c r="N110" s="149"/>
      <c r="O110" s="194">
        <f>SUMIF(bargiri[شماره پیش فاکتور],invoice[[#This Row],[شماره پیش فاکتور]],bargiri[میزان بارگیری شده])/invoice[[#This Row],[میزان سفارش]]</f>
        <v>1</v>
      </c>
      <c r="P110" s="149" t="str">
        <f>IF(invoice[[#This Row],[نوع سفارش]]="غیرفعال","عادی",invoice[[#This Row],[نوع سفارش]])</f>
        <v>انجمن</v>
      </c>
      <c r="Q110" s="149">
        <f>SUMIFS('جزییات بارگیری'!D:D,'جزییات بارگیری'!C:C,invoice[[#This Row],[شماره پیش فاکتور]])</f>
        <v>1000000</v>
      </c>
      <c r="R110" s="149">
        <f>IF(invoice[[#This Row],[میزان سفارش]]-invoice[[#This Row],[میزان حمل شده ]]&lt;0,0,invoice[[#This Row],[میزان سفارش]]-invoice[[#This Row],[میزان حمل شده ]])</f>
        <v>0</v>
      </c>
      <c r="S110" s="149">
        <f>invoice[[#This Row],[میزان حمل نشده ]]*invoice[[#This Row],[فی]]</f>
        <v>0</v>
      </c>
    </row>
    <row r="111" spans="1:19" ht="30.6" customHeight="1">
      <c r="A111" s="150" t="s">
        <v>553</v>
      </c>
      <c r="B111" s="150" t="s">
        <v>105</v>
      </c>
      <c r="C111" s="150" t="s">
        <v>549</v>
      </c>
      <c r="D111" s="151" t="s">
        <v>185</v>
      </c>
      <c r="E111" s="148">
        <v>312790</v>
      </c>
      <c r="F111" s="148">
        <v>142000</v>
      </c>
      <c r="G111" s="149" t="str">
        <f>CHOOSE(MID(invoice[[#This Row],[تاریخ]],6,2),"فروردین","اردیبهشت","خرداد","تیر","مرداد","شهریور","مهر","آبان","آذر","دی","بهمن","اسفند")</f>
        <v>اردیبهشت</v>
      </c>
      <c r="H111" s="149">
        <f>_xlfn.NUMBERVALUE(MID(invoice[[#This Row],[تاریخ]],1,4))</f>
        <v>1404</v>
      </c>
      <c r="I111" s="149" t="s">
        <v>241</v>
      </c>
      <c r="J111" s="149" t="s">
        <v>504</v>
      </c>
      <c r="K111" s="151">
        <v>46466</v>
      </c>
      <c r="L111" s="149">
        <f>IF(invoice[[#This Row],[سال]]=year,1,0)</f>
        <v>0</v>
      </c>
      <c r="M111" s="148"/>
      <c r="N111" s="149"/>
      <c r="O111" s="194">
        <f>SUMIF(bargiri[شماره پیش فاکتور],invoice[[#This Row],[شماره پیش فاکتور]],bargiri[میزان بارگیری شده])/invoice[[#This Row],[میزان سفارش]]</f>
        <v>1</v>
      </c>
      <c r="P111" s="149" t="str">
        <f>IF(invoice[[#This Row],[نوع سفارش]]="غیرفعال","عادی",invoice[[#This Row],[نوع سفارش]])</f>
        <v>انجمن</v>
      </c>
      <c r="Q111" s="149">
        <f>SUMIFS('جزییات بارگیری'!D:D,'جزییات بارگیری'!C:C,invoice[[#This Row],[شماره پیش فاکتور]])</f>
        <v>312790</v>
      </c>
      <c r="R111" s="149">
        <f>IF(invoice[[#This Row],[میزان سفارش]]-invoice[[#This Row],[میزان حمل شده ]]&lt;0,0,invoice[[#This Row],[میزان سفارش]]-invoice[[#This Row],[میزان حمل شده ]])</f>
        <v>0</v>
      </c>
      <c r="S111" s="149">
        <f>invoice[[#This Row],[میزان حمل نشده ]]*invoice[[#This Row],[فی]]</f>
        <v>0</v>
      </c>
    </row>
    <row r="112" spans="1:19" ht="30.6" customHeight="1">
      <c r="A112" s="150" t="s">
        <v>633</v>
      </c>
      <c r="B112" s="150" t="s">
        <v>122</v>
      </c>
      <c r="C112" s="150" t="s">
        <v>548</v>
      </c>
      <c r="D112" s="150" t="s">
        <v>582</v>
      </c>
      <c r="E112" s="243">
        <v>600000</v>
      </c>
      <c r="F112" s="148">
        <v>120000</v>
      </c>
      <c r="G112" s="149" t="str">
        <f>CHOOSE(MID(invoice[[#This Row],[تاریخ]],6,2),"فروردین","اردیبهشت","خرداد","تیر","مرداد","شهریور","مهر","آبان","آذر","دی","بهمن","اسفند")</f>
        <v>اردیبهشت</v>
      </c>
      <c r="H112" s="149">
        <f>_xlfn.NUMBERVALUE(MID(invoice[[#This Row],[تاریخ]],1,4))</f>
        <v>1404</v>
      </c>
      <c r="I112" s="149" t="s">
        <v>243</v>
      </c>
      <c r="J112" s="149" t="s">
        <v>504</v>
      </c>
      <c r="K112" s="151">
        <v>46466</v>
      </c>
      <c r="L112" s="149">
        <f>IF(invoice[[#This Row],[سال]]=year,1,0)</f>
        <v>0</v>
      </c>
      <c r="M112" s="148"/>
      <c r="N112" s="149"/>
      <c r="O112" s="194">
        <f>SUMIF(bargiri[شماره پیش فاکتور],invoice[[#This Row],[شماره پیش فاکتور]],bargiri[میزان بارگیری شده])/invoice[[#This Row],[میزان سفارش]]</f>
        <v>0.15118333333333334</v>
      </c>
      <c r="P112" s="149" t="str">
        <f>IF(invoice[[#This Row],[نوع سفارش]]="غیرفعال","عادی",invoice[[#This Row],[نوع سفارش]])</f>
        <v>عادی</v>
      </c>
      <c r="Q112" s="149">
        <f>SUMIFS('جزییات بارگیری'!D:D,'جزییات بارگیری'!C:C,invoice[[#This Row],[شماره پیش فاکتور]])</f>
        <v>90710</v>
      </c>
      <c r="R112" s="149">
        <f>IF(invoice[[#This Row],[میزان سفارش]]-invoice[[#This Row],[میزان حمل شده ]]&lt;0,0,invoice[[#This Row],[میزان سفارش]]-invoice[[#This Row],[میزان حمل شده ]])</f>
        <v>509290</v>
      </c>
      <c r="S112" s="149">
        <f>invoice[[#This Row],[میزان حمل نشده ]]*invoice[[#This Row],[فی]]</f>
        <v>61114800000</v>
      </c>
    </row>
    <row r="113" spans="1:19" ht="30.6" customHeight="1">
      <c r="A113" s="150" t="s">
        <v>634</v>
      </c>
      <c r="B113" s="150" t="s">
        <v>117</v>
      </c>
      <c r="C113" s="150" t="s">
        <v>548</v>
      </c>
      <c r="D113" s="150" t="s">
        <v>582</v>
      </c>
      <c r="E113" s="148">
        <v>71800</v>
      </c>
      <c r="F113" s="148">
        <v>120000</v>
      </c>
      <c r="G113" s="149" t="str">
        <f>CHOOSE(MID(invoice[[#This Row],[تاریخ]],6,2),"فروردین","اردیبهشت","خرداد","تیر","مرداد","شهریور","مهر","آبان","آذر","دی","بهمن","اسفند")</f>
        <v>اردیبهشت</v>
      </c>
      <c r="H113" s="149">
        <f>_xlfn.NUMBERVALUE(MID(invoice[[#This Row],[تاریخ]],1,4))</f>
        <v>1404</v>
      </c>
      <c r="I113" s="149" t="s">
        <v>243</v>
      </c>
      <c r="J113" s="149" t="s">
        <v>504</v>
      </c>
      <c r="K113" s="151">
        <v>46466</v>
      </c>
      <c r="L113" s="149">
        <f>IF(invoice[[#This Row],[سال]]=year,1,0)</f>
        <v>0</v>
      </c>
      <c r="M113" s="148"/>
      <c r="N113" s="149"/>
      <c r="O113" s="194">
        <f>SUMIF(bargiri[شماره پیش فاکتور],invoice[[#This Row],[شماره پیش فاکتور]],bargiri[میزان بارگیری شده])/invoice[[#This Row],[میزان سفارش]]</f>
        <v>1</v>
      </c>
      <c r="P113" s="149" t="str">
        <f>IF(invoice[[#This Row],[نوع سفارش]]="غیرفعال","عادی",invoice[[#This Row],[نوع سفارش]])</f>
        <v>عادی</v>
      </c>
      <c r="Q113" s="149">
        <f>SUMIFS('جزییات بارگیری'!D:D,'جزییات بارگیری'!C:C,invoice[[#This Row],[شماره پیش فاکتور]])</f>
        <v>71800</v>
      </c>
      <c r="R113" s="149">
        <f>IF(invoice[[#This Row],[میزان سفارش]]-invoice[[#This Row],[میزان حمل شده ]]&lt;0,0,invoice[[#This Row],[میزان سفارش]]-invoice[[#This Row],[میزان حمل شده ]])</f>
        <v>0</v>
      </c>
      <c r="S113" s="149">
        <f>invoice[[#This Row],[میزان حمل نشده ]]*invoice[[#This Row],[فی]]</f>
        <v>0</v>
      </c>
    </row>
    <row r="114" spans="1:19" ht="30.6" customHeight="1">
      <c r="A114" s="150" t="s">
        <v>635</v>
      </c>
      <c r="B114" s="150" t="s">
        <v>121</v>
      </c>
      <c r="C114" s="150" t="s">
        <v>548</v>
      </c>
      <c r="D114" s="150" t="s">
        <v>582</v>
      </c>
      <c r="E114" s="243">
        <v>400000</v>
      </c>
      <c r="F114" s="148">
        <v>120000</v>
      </c>
      <c r="G114" s="149" t="str">
        <f>CHOOSE(MID(invoice[[#This Row],[تاریخ]],6,2),"فروردین","اردیبهشت","خرداد","تیر","مرداد","شهریور","مهر","آبان","آذر","دی","بهمن","اسفند")</f>
        <v>اردیبهشت</v>
      </c>
      <c r="H114" s="149">
        <f>_xlfn.NUMBERVALUE(MID(invoice[[#This Row],[تاریخ]],1,4))</f>
        <v>1404</v>
      </c>
      <c r="I114" s="149" t="s">
        <v>243</v>
      </c>
      <c r="J114" s="149" t="s">
        <v>504</v>
      </c>
      <c r="K114" s="151">
        <v>46466</v>
      </c>
      <c r="L114" s="149">
        <f>IF(invoice[[#This Row],[سال]]=year,1,0)</f>
        <v>0</v>
      </c>
      <c r="M114" s="148"/>
      <c r="N114" s="149"/>
      <c r="O114" s="194">
        <f>SUMIF(bargiri[شماره پیش فاکتور],invoice[[#This Row],[شماره پیش فاکتور]],bargiri[میزان بارگیری شده])/invoice[[#This Row],[میزان سفارش]]</f>
        <v>0.24207500000000001</v>
      </c>
      <c r="P114" s="149" t="str">
        <f>IF(invoice[[#This Row],[نوع سفارش]]="غیرفعال","عادی",invoice[[#This Row],[نوع سفارش]])</f>
        <v>عادی</v>
      </c>
      <c r="Q114" s="149">
        <f>SUMIFS('جزییات بارگیری'!D:D,'جزییات بارگیری'!C:C,invoice[[#This Row],[شماره پیش فاکتور]])</f>
        <v>96830</v>
      </c>
      <c r="R114" s="149">
        <f>IF(invoice[[#This Row],[میزان سفارش]]-invoice[[#This Row],[میزان حمل شده ]]&lt;0,0,invoice[[#This Row],[میزان سفارش]]-invoice[[#This Row],[میزان حمل شده ]])</f>
        <v>303170</v>
      </c>
      <c r="S114" s="149">
        <f>invoice[[#This Row],[میزان حمل نشده ]]*invoice[[#This Row],[فی]]</f>
        <v>36380400000</v>
      </c>
    </row>
    <row r="115" spans="1:19" ht="30.6" customHeight="1">
      <c r="A115" s="150" t="s">
        <v>636</v>
      </c>
      <c r="B115" s="150" t="s">
        <v>98</v>
      </c>
      <c r="C115" s="150" t="s">
        <v>548</v>
      </c>
      <c r="D115" s="150" t="s">
        <v>582</v>
      </c>
      <c r="E115" s="243">
        <v>350000</v>
      </c>
      <c r="F115" s="148">
        <v>120000</v>
      </c>
      <c r="G115" s="149" t="str">
        <f>CHOOSE(MID(invoice[[#This Row],[تاریخ]],6,2),"فروردین","اردیبهشت","خرداد","تیر","مرداد","شهریور","مهر","آبان","آذر","دی","بهمن","اسفند")</f>
        <v>اردیبهشت</v>
      </c>
      <c r="H115" s="149">
        <f>_xlfn.NUMBERVALUE(MID(invoice[[#This Row],[تاریخ]],1,4))</f>
        <v>1404</v>
      </c>
      <c r="I115" s="149" t="s">
        <v>243</v>
      </c>
      <c r="J115" s="149" t="s">
        <v>504</v>
      </c>
      <c r="K115" s="151">
        <v>46466</v>
      </c>
      <c r="L115" s="149">
        <f>IF(invoice[[#This Row],[سال]]=year,1,0)</f>
        <v>0</v>
      </c>
      <c r="M115" s="148"/>
      <c r="N115" s="149"/>
      <c r="O115" s="194">
        <f>SUMIF(bargiri[شماره پیش فاکتور],invoice[[#This Row],[شماره پیش فاکتور]],bargiri[میزان بارگیری شده])/invoice[[#This Row],[میزان سفارش]]</f>
        <v>0.49127142857142858</v>
      </c>
      <c r="P115" s="149" t="str">
        <f>IF(invoice[[#This Row],[نوع سفارش]]="غیرفعال","عادی",invoice[[#This Row],[نوع سفارش]])</f>
        <v>عادی</v>
      </c>
      <c r="Q115" s="149">
        <f>SUMIFS('جزییات بارگیری'!D:D,'جزییات بارگیری'!C:C,invoice[[#This Row],[شماره پیش فاکتور]])</f>
        <v>171945</v>
      </c>
      <c r="R115" s="149">
        <f>IF(invoice[[#This Row],[میزان سفارش]]-invoice[[#This Row],[میزان حمل شده ]]&lt;0,0,invoice[[#This Row],[میزان سفارش]]-invoice[[#This Row],[میزان حمل شده ]])</f>
        <v>178055</v>
      </c>
      <c r="S115" s="149">
        <f>invoice[[#This Row],[میزان حمل نشده ]]*invoice[[#This Row],[فی]]</f>
        <v>21366600000</v>
      </c>
    </row>
    <row r="116" spans="1:19" ht="30.6" customHeight="1">
      <c r="A116" s="150" t="s">
        <v>637</v>
      </c>
      <c r="B116" s="150" t="s">
        <v>121</v>
      </c>
      <c r="C116" s="150" t="s">
        <v>552</v>
      </c>
      <c r="D116" s="150" t="s">
        <v>551</v>
      </c>
      <c r="E116" s="243">
        <v>50000</v>
      </c>
      <c r="F116" s="148">
        <v>151100</v>
      </c>
      <c r="G116" s="149" t="str">
        <f>CHOOSE(MID(invoice[[#This Row],[تاریخ]],6,2),"فروردین","اردیبهشت","خرداد","تیر","مرداد","شهریور","مهر","آبان","آذر","دی","بهمن","اسفند")</f>
        <v>اردیبهشت</v>
      </c>
      <c r="H116" s="149">
        <f>_xlfn.NUMBERVALUE(MID(invoice[[#This Row],[تاریخ]],1,4))</f>
        <v>1404</v>
      </c>
      <c r="I116" s="149" t="s">
        <v>242</v>
      </c>
      <c r="J116" s="149" t="s">
        <v>504</v>
      </c>
      <c r="K116" s="149">
        <v>46466</v>
      </c>
      <c r="L116" s="149">
        <f>IF(invoice[[#This Row],[سال]]=year,1,0)</f>
        <v>0</v>
      </c>
      <c r="M116" s="148"/>
      <c r="N116" s="149"/>
      <c r="O116" s="194">
        <f>SUMIF(bargiri[شماره پیش فاکتور],invoice[[#This Row],[شماره پیش فاکتور]],bargiri[میزان بارگیری شده])/invoice[[#This Row],[میزان سفارش]]</f>
        <v>1</v>
      </c>
      <c r="P116" s="149" t="str">
        <f>IF(invoice[[#This Row],[نوع سفارش]]="غیرفعال","عادی",invoice[[#This Row],[نوع سفارش]])</f>
        <v>بورس</v>
      </c>
      <c r="Q116" s="149">
        <f>SUMIFS('جزییات بارگیری'!D:D,'جزییات بارگیری'!C:C,invoice[[#This Row],[شماره پیش فاکتور]])</f>
        <v>50000</v>
      </c>
      <c r="R116" s="149">
        <f>IF(invoice[[#This Row],[میزان سفارش]]-invoice[[#This Row],[میزان حمل شده ]]&lt;0,0,invoice[[#This Row],[میزان سفارش]]-invoice[[#This Row],[میزان حمل شده ]])</f>
        <v>0</v>
      </c>
      <c r="S116" s="149">
        <f>invoice[[#This Row],[میزان حمل نشده ]]*invoice[[#This Row],[فی]]</f>
        <v>0</v>
      </c>
    </row>
    <row r="117" spans="1:19" ht="30.6" customHeight="1">
      <c r="A117" s="150" t="s">
        <v>638</v>
      </c>
      <c r="B117" s="150" t="s">
        <v>98</v>
      </c>
      <c r="C117" s="150" t="s">
        <v>552</v>
      </c>
      <c r="D117" s="150" t="s">
        <v>551</v>
      </c>
      <c r="E117" s="243">
        <v>20000</v>
      </c>
      <c r="F117" s="148">
        <v>151200</v>
      </c>
      <c r="G117" s="149" t="str">
        <f>CHOOSE(MID(invoice[[#This Row],[تاریخ]],6,2),"فروردین","اردیبهشت","خرداد","تیر","مرداد","شهریور","مهر","آبان","آذر","دی","بهمن","اسفند")</f>
        <v>اردیبهشت</v>
      </c>
      <c r="H117" s="149">
        <f>_xlfn.NUMBERVALUE(MID(invoice[[#This Row],[تاریخ]],1,4))</f>
        <v>1404</v>
      </c>
      <c r="I117" s="149" t="s">
        <v>242</v>
      </c>
      <c r="J117" s="149" t="s">
        <v>504</v>
      </c>
      <c r="K117" s="149">
        <v>46466</v>
      </c>
      <c r="L117" s="149">
        <f>IF(invoice[[#This Row],[سال]]=year,1,0)</f>
        <v>0</v>
      </c>
      <c r="M117" s="148"/>
      <c r="N117" s="149"/>
      <c r="O117" s="194">
        <f>SUMIF(bargiri[شماره پیش فاکتور],invoice[[#This Row],[شماره پیش فاکتور]],bargiri[میزان بارگیری شده])/invoice[[#This Row],[میزان سفارش]]</f>
        <v>1</v>
      </c>
      <c r="P117" s="149" t="str">
        <f>IF(invoice[[#This Row],[نوع سفارش]]="غیرفعال","عادی",invoice[[#This Row],[نوع سفارش]])</f>
        <v>بورس</v>
      </c>
      <c r="Q117" s="149">
        <f>SUMIFS('جزییات بارگیری'!D:D,'جزییات بارگیری'!C:C,invoice[[#This Row],[شماره پیش فاکتور]])</f>
        <v>20000</v>
      </c>
      <c r="R117" s="149">
        <f>IF(invoice[[#This Row],[میزان سفارش]]-invoice[[#This Row],[میزان حمل شده ]]&lt;0,0,invoice[[#This Row],[میزان سفارش]]-invoice[[#This Row],[میزان حمل شده ]])</f>
        <v>0</v>
      </c>
      <c r="S117" s="149">
        <f>invoice[[#This Row],[میزان حمل نشده ]]*invoice[[#This Row],[فی]]</f>
        <v>0</v>
      </c>
    </row>
    <row r="118" spans="1:19" ht="30.6" customHeight="1">
      <c r="A118" s="150" t="s">
        <v>639</v>
      </c>
      <c r="B118" s="150" t="s">
        <v>104</v>
      </c>
      <c r="C118" s="150" t="s">
        <v>552</v>
      </c>
      <c r="D118" s="150" t="s">
        <v>551</v>
      </c>
      <c r="E118" s="243">
        <v>30000</v>
      </c>
      <c r="F118" s="148">
        <v>151100</v>
      </c>
      <c r="G118" s="149" t="str">
        <f>CHOOSE(MID(invoice[[#This Row],[تاریخ]],6,2),"فروردین","اردیبهشت","خرداد","تیر","مرداد","شهریور","مهر","آبان","آذر","دی","بهمن","اسفند")</f>
        <v>اردیبهشت</v>
      </c>
      <c r="H118" s="149">
        <f>_xlfn.NUMBERVALUE(MID(invoice[[#This Row],[تاریخ]],1,4))</f>
        <v>1404</v>
      </c>
      <c r="I118" s="149" t="s">
        <v>242</v>
      </c>
      <c r="J118" s="149" t="s">
        <v>504</v>
      </c>
      <c r="K118" s="149">
        <v>46466</v>
      </c>
      <c r="L118" s="149">
        <f>IF(invoice[[#This Row],[سال]]=year,1,0)</f>
        <v>0</v>
      </c>
      <c r="M118" s="148"/>
      <c r="N118" s="149"/>
      <c r="O118" s="194">
        <f>SUMIF(bargiri[شماره پیش فاکتور],invoice[[#This Row],[شماره پیش فاکتور]],bargiri[میزان بارگیری شده])/invoice[[#This Row],[میزان سفارش]]</f>
        <v>1</v>
      </c>
      <c r="P118" s="149" t="str">
        <f>IF(invoice[[#This Row],[نوع سفارش]]="غیرفعال","عادی",invoice[[#This Row],[نوع سفارش]])</f>
        <v>بورس</v>
      </c>
      <c r="Q118" s="149">
        <f>SUMIFS('جزییات بارگیری'!D:D,'جزییات بارگیری'!C:C,invoice[[#This Row],[شماره پیش فاکتور]])</f>
        <v>30000</v>
      </c>
      <c r="R118" s="149">
        <f>IF(invoice[[#This Row],[میزان سفارش]]-invoice[[#This Row],[میزان حمل شده ]]&lt;0,0,invoice[[#This Row],[میزان سفارش]]-invoice[[#This Row],[میزان حمل شده ]])</f>
        <v>0</v>
      </c>
      <c r="S118" s="149">
        <f>invoice[[#This Row],[میزان حمل نشده ]]*invoice[[#This Row],[فی]]</f>
        <v>0</v>
      </c>
    </row>
    <row r="119" spans="1:19" ht="30.6" customHeight="1">
      <c r="A119" s="150" t="s">
        <v>788</v>
      </c>
      <c r="B119" s="150" t="s">
        <v>98</v>
      </c>
      <c r="C119" s="150" t="s">
        <v>579</v>
      </c>
      <c r="D119" s="150" t="s">
        <v>575</v>
      </c>
      <c r="E119" s="243">
        <v>50000</v>
      </c>
      <c r="F119" s="148">
        <v>79520</v>
      </c>
      <c r="G119" s="149" t="str">
        <f>CHOOSE(MID(invoice[[#This Row],[تاریخ]],6,2),"فروردین","اردیبهشت","خرداد","تیر","مرداد","شهریور","مهر","آبان","آذر","دی","بهمن","اسفند")</f>
        <v>خرداد</v>
      </c>
      <c r="H119" s="149">
        <f>_xlfn.NUMBERVALUE(MID(invoice[[#This Row],[تاریخ]],1,4))</f>
        <v>1404</v>
      </c>
      <c r="I119" s="149" t="s">
        <v>240</v>
      </c>
      <c r="J119" s="149" t="s">
        <v>504</v>
      </c>
      <c r="K119" s="149">
        <v>46466</v>
      </c>
      <c r="L119" s="149">
        <f>IF(invoice[[#This Row],[سال]]=year,1,0)</f>
        <v>0</v>
      </c>
      <c r="M119" s="148"/>
      <c r="N119" s="149"/>
      <c r="O119" s="194">
        <f>SUMIF(bargiri[شماره پیش فاکتور],invoice[[#This Row],[شماره پیش فاکتور]],bargiri[میزان بارگیری شده])/invoice[[#This Row],[میزان سفارش]]</f>
        <v>1</v>
      </c>
      <c r="P119" s="149" t="str">
        <f>IF(invoice[[#This Row],[نوع سفارش]]="غیرفعال","عادی",invoice[[#This Row],[نوع سفارش]])</f>
        <v>تعادلی</v>
      </c>
      <c r="Q119" s="149">
        <f>SUMIFS('جزییات بارگیری'!D:D,'جزییات بارگیری'!C:C,invoice[[#This Row],[شماره پیش فاکتور]])</f>
        <v>50000</v>
      </c>
      <c r="R119" s="149">
        <f>IF(invoice[[#This Row],[میزان سفارش]]-invoice[[#This Row],[میزان حمل شده ]]&lt;0,0,invoice[[#This Row],[میزان سفارش]]-invoice[[#This Row],[میزان حمل شده ]])</f>
        <v>0</v>
      </c>
      <c r="S119" s="149">
        <f>invoice[[#This Row],[میزان حمل نشده ]]*invoice[[#This Row],[فی]]</f>
        <v>0</v>
      </c>
    </row>
    <row r="120" spans="1:19" ht="30.6" customHeight="1">
      <c r="A120" s="150" t="s">
        <v>640</v>
      </c>
      <c r="B120" s="150" t="s">
        <v>104</v>
      </c>
      <c r="C120" s="150" t="s">
        <v>579</v>
      </c>
      <c r="D120" s="150" t="s">
        <v>575</v>
      </c>
      <c r="E120" s="243">
        <v>75000</v>
      </c>
      <c r="F120" s="148">
        <v>79520</v>
      </c>
      <c r="G120" s="149" t="str">
        <f>CHOOSE(MID(invoice[[#This Row],[تاریخ]],6,2),"فروردین","اردیبهشت","خرداد","تیر","مرداد","شهریور","مهر","آبان","آذر","دی","بهمن","اسفند")</f>
        <v>خرداد</v>
      </c>
      <c r="H120" s="149">
        <f>_xlfn.NUMBERVALUE(MID(invoice[[#This Row],[تاریخ]],1,4))</f>
        <v>1404</v>
      </c>
      <c r="I120" s="149" t="s">
        <v>240</v>
      </c>
      <c r="J120" s="149" t="s">
        <v>504</v>
      </c>
      <c r="K120" s="149">
        <v>46466</v>
      </c>
      <c r="L120" s="149">
        <f>IF(invoice[[#This Row],[سال]]=year,1,0)</f>
        <v>0</v>
      </c>
      <c r="M120" s="148"/>
      <c r="N120" s="149"/>
      <c r="O120" s="194">
        <f>SUMIF(bargiri[شماره پیش فاکتور],invoice[[#This Row],[شماره پیش فاکتور]],bargiri[میزان بارگیری شده])/invoice[[#This Row],[میزان سفارش]]</f>
        <v>1</v>
      </c>
      <c r="P120" s="149" t="str">
        <f>IF(invoice[[#This Row],[نوع سفارش]]="غیرفعال","عادی",invoice[[#This Row],[نوع سفارش]])</f>
        <v>تعادلی</v>
      </c>
      <c r="Q120" s="149">
        <f>SUMIFS('جزییات بارگیری'!D:D,'جزییات بارگیری'!C:C,invoice[[#This Row],[شماره پیش فاکتور]])</f>
        <v>75000</v>
      </c>
      <c r="R120" s="149">
        <f>IF(invoice[[#This Row],[میزان سفارش]]-invoice[[#This Row],[میزان حمل شده ]]&lt;0,0,invoice[[#This Row],[میزان سفارش]]-invoice[[#This Row],[میزان حمل شده ]])</f>
        <v>0</v>
      </c>
      <c r="S120" s="149">
        <f>invoice[[#This Row],[میزان حمل نشده ]]*invoice[[#This Row],[فی]]</f>
        <v>0</v>
      </c>
    </row>
    <row r="121" spans="1:19" ht="30.6" customHeight="1">
      <c r="A121" s="150" t="s">
        <v>923</v>
      </c>
      <c r="B121" s="150" t="s">
        <v>121</v>
      </c>
      <c r="C121" s="150" t="s">
        <v>906</v>
      </c>
      <c r="D121" s="150" t="s">
        <v>906</v>
      </c>
      <c r="E121" s="243">
        <v>50000</v>
      </c>
      <c r="F121" s="148">
        <v>132900</v>
      </c>
      <c r="G121" s="149" t="str">
        <f>CHOOSE(MID(invoice[[#This Row],[تاریخ]],6,2),"فروردین","اردیبهشت","خرداد","تیر","مرداد","شهریور","مهر","آبان","آذر","دی","بهمن","اسفند")</f>
        <v>دی</v>
      </c>
      <c r="H121" s="149">
        <f>_xlfn.NUMBERVALUE(MID(invoice[[#This Row],[تاریخ]],1,4))</f>
        <v>1404</v>
      </c>
      <c r="I121" s="149" t="s">
        <v>240</v>
      </c>
      <c r="J121" s="149" t="s">
        <v>504</v>
      </c>
      <c r="K121" s="149">
        <v>46466</v>
      </c>
      <c r="L121" s="149">
        <f>IF(invoice[[#This Row],[سال]]=year,1,0)</f>
        <v>0</v>
      </c>
      <c r="M121" s="148"/>
      <c r="N121" s="149"/>
      <c r="O121" s="194">
        <f>SUMIF(bargiri[شماره پیش فاکتور],invoice[[#This Row],[شماره پیش فاکتور]],bargiri[میزان بارگیری شده])/invoice[[#This Row],[میزان سفارش]]</f>
        <v>0</v>
      </c>
      <c r="P121" s="149" t="str">
        <f>IF(invoice[[#This Row],[نوع سفارش]]="غیرفعال","عادی",invoice[[#This Row],[نوع سفارش]])</f>
        <v>تعادلی</v>
      </c>
      <c r="Q121" s="149">
        <f>SUMIFS('جزییات بارگیری'!D:D,'جزییات بارگیری'!C:C,invoice[[#This Row],[شماره پیش فاکتور]])</f>
        <v>0</v>
      </c>
      <c r="R121" s="149">
        <f>IF(invoice[[#This Row],[میزان سفارش]]-invoice[[#This Row],[میزان حمل شده ]]&lt;0,0,invoice[[#This Row],[میزان سفارش]]-invoice[[#This Row],[میزان حمل شده ]])</f>
        <v>50000</v>
      </c>
      <c r="S121" s="149">
        <f>invoice[[#This Row],[میزان حمل نشده ]]*invoice[[#This Row],[فی]]</f>
        <v>6645000000</v>
      </c>
    </row>
    <row r="122" spans="1:19" ht="30.6" customHeight="1">
      <c r="A122" s="150" t="s">
        <v>608</v>
      </c>
      <c r="B122" s="150" t="s">
        <v>116</v>
      </c>
      <c r="C122" s="150" t="s">
        <v>601</v>
      </c>
      <c r="D122" s="150" t="s">
        <v>596</v>
      </c>
      <c r="E122" s="243">
        <v>857945</v>
      </c>
      <c r="F122" s="148">
        <v>95000</v>
      </c>
      <c r="G122" s="149" t="str">
        <f>CHOOSE(MID(invoice[[#This Row],[تاریخ]],6,2),"فروردین","اردیبهشت","خرداد","تیر","مرداد","شهریور","مهر","آبان","آذر","دی","بهمن","اسفند")</f>
        <v>خرداد</v>
      </c>
      <c r="H122" s="149">
        <f>_xlfn.NUMBERVALUE(MID(invoice[[#This Row],[تاریخ]],1,4))</f>
        <v>1404</v>
      </c>
      <c r="I122" s="149" t="s">
        <v>243</v>
      </c>
      <c r="J122" s="149" t="s">
        <v>504</v>
      </c>
      <c r="K122" s="151">
        <v>46466</v>
      </c>
      <c r="L122" s="149">
        <f>IF(invoice[[#This Row],[سال]]=year,1,0)</f>
        <v>0</v>
      </c>
      <c r="M122" s="148"/>
      <c r="N122" s="149"/>
      <c r="O122" s="194">
        <f>SUMIF(bargiri[شماره پیش فاکتور],invoice[[#This Row],[شماره پیش فاکتور]],bargiri[میزان بارگیری شده])/invoice[[#This Row],[میزان سفارش]]</f>
        <v>1</v>
      </c>
      <c r="P122" s="149" t="str">
        <f>IF(invoice[[#This Row],[نوع سفارش]]="غیرفعال","عادی",invoice[[#This Row],[نوع سفارش]])</f>
        <v>عادی</v>
      </c>
      <c r="Q122" s="149">
        <f>SUMIFS('جزییات بارگیری'!D:D,'جزییات بارگیری'!C:C,invoice[[#This Row],[شماره پیش فاکتور]])</f>
        <v>857945</v>
      </c>
      <c r="R122" s="149">
        <f>IF(invoice[[#This Row],[میزان سفارش]]-invoice[[#This Row],[میزان حمل شده ]]&lt;0,0,invoice[[#This Row],[میزان سفارش]]-invoice[[#This Row],[میزان حمل شده ]])</f>
        <v>0</v>
      </c>
      <c r="S122" s="149">
        <f>invoice[[#This Row],[میزان حمل نشده ]]*invoice[[#This Row],[فی]]</f>
        <v>0</v>
      </c>
    </row>
    <row r="123" spans="1:19" ht="30.6" customHeight="1">
      <c r="A123" s="150" t="s">
        <v>641</v>
      </c>
      <c r="B123" s="150" t="s">
        <v>116</v>
      </c>
      <c r="C123" s="150" t="s">
        <v>602</v>
      </c>
      <c r="D123" s="150" t="s">
        <v>602</v>
      </c>
      <c r="E123" s="243">
        <v>40000</v>
      </c>
      <c r="F123" s="148">
        <v>83000</v>
      </c>
      <c r="G123" s="149" t="str">
        <f>CHOOSE(MID(invoice[[#This Row],[تاریخ]],6,2),"فروردین","اردیبهشت","خرداد","تیر","مرداد","شهریور","مهر","آبان","آذر","دی","بهمن","اسفند")</f>
        <v>خرداد</v>
      </c>
      <c r="H123" s="149">
        <f>_xlfn.NUMBERVALUE(MID(invoice[[#This Row],[تاریخ]],1,4))</f>
        <v>1404</v>
      </c>
      <c r="I123" s="149" t="s">
        <v>240</v>
      </c>
      <c r="J123" s="149" t="s">
        <v>504</v>
      </c>
      <c r="K123" s="151">
        <v>46466</v>
      </c>
      <c r="L123" s="149">
        <f>IF(invoice[[#This Row],[سال]]=year,1,0)</f>
        <v>0</v>
      </c>
      <c r="M123" s="148"/>
      <c r="N123" s="149"/>
      <c r="O123" s="194">
        <f>SUMIF(bargiri[شماره پیش فاکتور],invoice[[#This Row],[شماره پیش فاکتور]],bargiri[میزان بارگیری شده])/invoice[[#This Row],[میزان سفارش]]</f>
        <v>1</v>
      </c>
      <c r="P123" s="149" t="str">
        <f>IF(invoice[[#This Row],[نوع سفارش]]="غیرفعال","عادی",invoice[[#This Row],[نوع سفارش]])</f>
        <v>تعادلی</v>
      </c>
      <c r="Q123" s="149">
        <f>SUMIFS('جزییات بارگیری'!D:D,'جزییات بارگیری'!C:C,invoice[[#This Row],[شماره پیش فاکتور]])</f>
        <v>40000</v>
      </c>
      <c r="R123" s="149">
        <f>IF(invoice[[#This Row],[میزان سفارش]]-invoice[[#This Row],[میزان حمل شده ]]&lt;0,0,invoice[[#This Row],[میزان سفارش]]-invoice[[#This Row],[میزان حمل شده ]])</f>
        <v>0</v>
      </c>
      <c r="S123" s="149">
        <f>invoice[[#This Row],[میزان حمل نشده ]]*invoice[[#This Row],[فی]]</f>
        <v>0</v>
      </c>
    </row>
    <row r="124" spans="1:19" ht="30.6" customHeight="1">
      <c r="A124" s="150" t="s">
        <v>642</v>
      </c>
      <c r="B124" s="150" t="s">
        <v>116</v>
      </c>
      <c r="C124" s="150" t="s">
        <v>589</v>
      </c>
      <c r="D124" s="150" t="s">
        <v>589</v>
      </c>
      <c r="E124" s="243">
        <v>40000</v>
      </c>
      <c r="F124" s="148">
        <v>201000</v>
      </c>
      <c r="G124" s="149" t="str">
        <f>CHOOSE(MID(invoice[[#This Row],[تاریخ]],6,2),"فروردین","اردیبهشت","خرداد","تیر","مرداد","شهریور","مهر","آبان","آذر","دی","بهمن","اسفند")</f>
        <v>خرداد</v>
      </c>
      <c r="H124" s="149">
        <f>_xlfn.NUMBERVALUE(MID(invoice[[#This Row],[تاریخ]],1,4))</f>
        <v>1404</v>
      </c>
      <c r="I124" s="149" t="s">
        <v>242</v>
      </c>
      <c r="J124" s="149" t="s">
        <v>504</v>
      </c>
      <c r="K124" s="151">
        <v>46466</v>
      </c>
      <c r="L124" s="149">
        <f>IF(invoice[[#This Row],[سال]]=year,1,0)</f>
        <v>0</v>
      </c>
      <c r="M124" s="148"/>
      <c r="N124" s="149"/>
      <c r="O124" s="194">
        <f>SUMIF(bargiri[شماره پیش فاکتور],invoice[[#This Row],[شماره پیش فاکتور]],bargiri[میزان بارگیری شده])/invoice[[#This Row],[میزان سفارش]]</f>
        <v>1</v>
      </c>
      <c r="P124" s="149" t="str">
        <f>IF(invoice[[#This Row],[نوع سفارش]]="غیرفعال","عادی",invoice[[#This Row],[نوع سفارش]])</f>
        <v>بورس</v>
      </c>
      <c r="Q124" s="149">
        <f>SUMIFS('جزییات بارگیری'!D:D,'جزییات بارگیری'!C:C,invoice[[#This Row],[شماره پیش فاکتور]])</f>
        <v>40000</v>
      </c>
      <c r="R124" s="149">
        <f>IF(invoice[[#This Row],[میزان سفارش]]-invoice[[#This Row],[میزان حمل شده ]]&lt;0,0,invoice[[#This Row],[میزان سفارش]]-invoice[[#This Row],[میزان حمل شده ]])</f>
        <v>0</v>
      </c>
      <c r="S124" s="149">
        <f>invoice[[#This Row],[میزان حمل نشده ]]*invoice[[#This Row],[فی]]</f>
        <v>0</v>
      </c>
    </row>
    <row r="125" spans="1:19" ht="30.6" customHeight="1">
      <c r="A125" s="150" t="s">
        <v>643</v>
      </c>
      <c r="B125" s="150" t="s">
        <v>104</v>
      </c>
      <c r="C125" s="150" t="s">
        <v>602</v>
      </c>
      <c r="D125" s="150" t="s">
        <v>602</v>
      </c>
      <c r="E125" s="243">
        <v>20000</v>
      </c>
      <c r="F125" s="148">
        <v>83000</v>
      </c>
      <c r="G125" s="149" t="str">
        <f>CHOOSE(MID(invoice[[#This Row],[تاریخ]],6,2),"فروردین","اردیبهشت","خرداد","تیر","مرداد","شهریور","مهر","آبان","آذر","دی","بهمن","اسفند")</f>
        <v>خرداد</v>
      </c>
      <c r="H125" s="149">
        <f>_xlfn.NUMBERVALUE(MID(invoice[[#This Row],[تاریخ]],1,4))</f>
        <v>1404</v>
      </c>
      <c r="I125" s="149" t="s">
        <v>240</v>
      </c>
      <c r="J125" s="149" t="s">
        <v>504</v>
      </c>
      <c r="K125" s="149">
        <v>46466</v>
      </c>
      <c r="L125" s="149">
        <f>IF(invoice[[#This Row],[سال]]=year,1,0)</f>
        <v>0</v>
      </c>
      <c r="M125" s="148"/>
      <c r="N125" s="149"/>
      <c r="O125" s="194">
        <f>SUMIF(bargiri[شماره پیش فاکتور],invoice[[#This Row],[شماره پیش فاکتور]],bargiri[میزان بارگیری شده])/invoice[[#This Row],[میزان سفارش]]</f>
        <v>1</v>
      </c>
      <c r="P125" s="149" t="str">
        <f>IF(invoice[[#This Row],[نوع سفارش]]="غیرفعال","عادی",invoice[[#This Row],[نوع سفارش]])</f>
        <v>تعادلی</v>
      </c>
      <c r="Q125" s="149">
        <f>SUMIFS('جزییات بارگیری'!D:D,'جزییات بارگیری'!C:C,invoice[[#This Row],[شماره پیش فاکتور]])</f>
        <v>20000</v>
      </c>
      <c r="R125" s="149">
        <f>IF(invoice[[#This Row],[میزان سفارش]]-invoice[[#This Row],[میزان حمل شده ]]&lt;0,0,invoice[[#This Row],[میزان سفارش]]-invoice[[#This Row],[میزان حمل شده ]])</f>
        <v>0</v>
      </c>
      <c r="S125" s="149">
        <f>invoice[[#This Row],[میزان حمل نشده ]]*invoice[[#This Row],[فی]]</f>
        <v>0</v>
      </c>
    </row>
    <row r="126" spans="1:19" ht="30.6" customHeight="1">
      <c r="A126" s="150" t="s">
        <v>644</v>
      </c>
      <c r="B126" s="150" t="s">
        <v>104</v>
      </c>
      <c r="C126" s="150" t="s">
        <v>589</v>
      </c>
      <c r="D126" s="150" t="s">
        <v>589</v>
      </c>
      <c r="E126" s="243">
        <v>20000</v>
      </c>
      <c r="F126" s="148">
        <v>201000</v>
      </c>
      <c r="G126" s="149" t="str">
        <f>CHOOSE(MID(invoice[[#This Row],[تاریخ]],6,2),"فروردین","اردیبهشت","خرداد","تیر","مرداد","شهریور","مهر","آبان","آذر","دی","بهمن","اسفند")</f>
        <v>خرداد</v>
      </c>
      <c r="H126" s="149">
        <f>_xlfn.NUMBERVALUE(MID(invoice[[#This Row],[تاریخ]],1,4))</f>
        <v>1404</v>
      </c>
      <c r="I126" s="149" t="s">
        <v>242</v>
      </c>
      <c r="J126" s="149" t="s">
        <v>504</v>
      </c>
      <c r="K126" s="149">
        <v>46466</v>
      </c>
      <c r="L126" s="149">
        <f>IF(invoice[[#This Row],[سال]]=year,1,0)</f>
        <v>0</v>
      </c>
      <c r="M126" s="148"/>
      <c r="N126" s="149"/>
      <c r="O126" s="194">
        <f>SUMIF(bargiri[شماره پیش فاکتور],invoice[[#This Row],[شماره پیش فاکتور]],bargiri[میزان بارگیری شده])/invoice[[#This Row],[میزان سفارش]]</f>
        <v>1</v>
      </c>
      <c r="P126" s="149" t="str">
        <f>IF(invoice[[#This Row],[نوع سفارش]]="غیرفعال","عادی",invoice[[#This Row],[نوع سفارش]])</f>
        <v>بورس</v>
      </c>
      <c r="Q126" s="149">
        <f>SUMIFS('جزییات بارگیری'!D:D,'جزییات بارگیری'!C:C,invoice[[#This Row],[شماره پیش فاکتور]])</f>
        <v>20000</v>
      </c>
      <c r="R126" s="149">
        <f>IF(invoice[[#This Row],[میزان سفارش]]-invoice[[#This Row],[میزان حمل شده ]]&lt;0,0,invoice[[#This Row],[میزان سفارش]]-invoice[[#This Row],[میزان حمل شده ]])</f>
        <v>0</v>
      </c>
      <c r="S126" s="149">
        <f>invoice[[#This Row],[میزان حمل نشده ]]*invoice[[#This Row],[فی]]</f>
        <v>0</v>
      </c>
    </row>
    <row r="127" spans="1:19" ht="30.6" customHeight="1">
      <c r="A127" s="150" t="s">
        <v>645</v>
      </c>
      <c r="B127" s="150" t="s">
        <v>117</v>
      </c>
      <c r="C127" s="150" t="s">
        <v>602</v>
      </c>
      <c r="D127" s="150" t="s">
        <v>602</v>
      </c>
      <c r="E127" s="243">
        <v>30000</v>
      </c>
      <c r="F127" s="148">
        <v>83000</v>
      </c>
      <c r="G127" s="149" t="str">
        <f>CHOOSE(MID(invoice[[#This Row],[تاریخ]],6,2),"فروردین","اردیبهشت","خرداد","تیر","مرداد","شهریور","مهر","آبان","آذر","دی","بهمن","اسفند")</f>
        <v>خرداد</v>
      </c>
      <c r="H127" s="149">
        <f>_xlfn.NUMBERVALUE(MID(invoice[[#This Row],[تاریخ]],1,4))</f>
        <v>1404</v>
      </c>
      <c r="I127" s="149" t="s">
        <v>240</v>
      </c>
      <c r="J127" s="149" t="s">
        <v>504</v>
      </c>
      <c r="K127" s="151">
        <v>46466</v>
      </c>
      <c r="L127" s="149">
        <f>IF(invoice[[#This Row],[سال]]=year,1,0)</f>
        <v>0</v>
      </c>
      <c r="M127" s="148"/>
      <c r="N127" s="149"/>
      <c r="O127" s="194">
        <f>SUMIF(bargiri[شماره پیش فاکتور],invoice[[#This Row],[شماره پیش فاکتور]],bargiri[میزان بارگیری شده])/invoice[[#This Row],[میزان سفارش]]</f>
        <v>1</v>
      </c>
      <c r="P127" s="149" t="str">
        <f>IF(invoice[[#This Row],[نوع سفارش]]="غیرفعال","عادی",invoice[[#This Row],[نوع سفارش]])</f>
        <v>تعادلی</v>
      </c>
      <c r="Q127" s="149">
        <f>SUMIFS('جزییات بارگیری'!D:D,'جزییات بارگیری'!C:C,invoice[[#This Row],[شماره پیش فاکتور]])</f>
        <v>30000</v>
      </c>
      <c r="R127" s="149">
        <f>IF(invoice[[#This Row],[میزان سفارش]]-invoice[[#This Row],[میزان حمل شده ]]&lt;0,0,invoice[[#This Row],[میزان سفارش]]-invoice[[#This Row],[میزان حمل شده ]])</f>
        <v>0</v>
      </c>
      <c r="S127" s="149">
        <f>invoice[[#This Row],[میزان حمل نشده ]]*invoice[[#This Row],[فی]]</f>
        <v>0</v>
      </c>
    </row>
    <row r="128" spans="1:19" ht="30.6" customHeight="1">
      <c r="A128" s="150" t="s">
        <v>646</v>
      </c>
      <c r="B128" s="150" t="s">
        <v>117</v>
      </c>
      <c r="C128" s="150" t="s">
        <v>589</v>
      </c>
      <c r="D128" s="150" t="s">
        <v>589</v>
      </c>
      <c r="E128" s="243">
        <v>30000</v>
      </c>
      <c r="F128" s="148">
        <v>201000</v>
      </c>
      <c r="G128" s="149" t="str">
        <f>CHOOSE(MID(invoice[[#This Row],[تاریخ]],6,2),"فروردین","اردیبهشت","خرداد","تیر","مرداد","شهریور","مهر","آبان","آذر","دی","بهمن","اسفند")</f>
        <v>خرداد</v>
      </c>
      <c r="H128" s="149">
        <f>_xlfn.NUMBERVALUE(MID(invoice[[#This Row],[تاریخ]],1,4))</f>
        <v>1404</v>
      </c>
      <c r="I128" s="149" t="s">
        <v>242</v>
      </c>
      <c r="J128" s="149" t="s">
        <v>504</v>
      </c>
      <c r="K128" s="151">
        <v>46466</v>
      </c>
      <c r="L128" s="149">
        <f>IF(invoice[[#This Row],[سال]]=year,1,0)</f>
        <v>0</v>
      </c>
      <c r="M128" s="148"/>
      <c r="N128" s="149"/>
      <c r="O128" s="194">
        <f>SUMIF(bargiri[شماره پیش فاکتور],invoice[[#This Row],[شماره پیش فاکتور]],bargiri[میزان بارگیری شده])/invoice[[#This Row],[میزان سفارش]]</f>
        <v>1</v>
      </c>
      <c r="P128" s="149" t="str">
        <f>IF(invoice[[#This Row],[نوع سفارش]]="غیرفعال","عادی",invoice[[#This Row],[نوع سفارش]])</f>
        <v>بورس</v>
      </c>
      <c r="Q128" s="149">
        <f>SUMIFS('جزییات بارگیری'!D:D,'جزییات بارگیری'!C:C,invoice[[#This Row],[شماره پیش فاکتور]])</f>
        <v>30000</v>
      </c>
      <c r="R128" s="149">
        <f>IF(invoice[[#This Row],[میزان سفارش]]-invoice[[#This Row],[میزان حمل شده ]]&lt;0,0,invoice[[#This Row],[میزان سفارش]]-invoice[[#This Row],[میزان حمل شده ]])</f>
        <v>0</v>
      </c>
      <c r="S128" s="149">
        <f>invoice[[#This Row],[میزان حمل نشده ]]*invoice[[#This Row],[فی]]</f>
        <v>0</v>
      </c>
    </row>
    <row r="129" spans="1:19" ht="30.6" customHeight="1">
      <c r="A129" s="150" t="s">
        <v>680</v>
      </c>
      <c r="B129" s="150" t="s">
        <v>108</v>
      </c>
      <c r="C129" s="150" t="s">
        <v>589</v>
      </c>
      <c r="D129" s="150" t="s">
        <v>589</v>
      </c>
      <c r="E129" s="243">
        <v>20000</v>
      </c>
      <c r="F129" s="148">
        <v>201000</v>
      </c>
      <c r="G129" s="149" t="str">
        <f>CHOOSE(MID(invoice[[#This Row],[تاریخ]],6,2),"فروردین","اردیبهشت","خرداد","تیر","مرداد","شهریور","مهر","آبان","آذر","دی","بهمن","اسفند")</f>
        <v>خرداد</v>
      </c>
      <c r="H129" s="149">
        <f>_xlfn.NUMBERVALUE(MID(invoice[[#This Row],[تاریخ]],1,4))</f>
        <v>1404</v>
      </c>
      <c r="I129" s="149" t="s">
        <v>242</v>
      </c>
      <c r="J129" s="149" t="s">
        <v>728</v>
      </c>
      <c r="K129" s="151">
        <v>46466</v>
      </c>
      <c r="L129" s="149">
        <f>IF(invoice[[#This Row],[سال]]=year,1,0)</f>
        <v>0</v>
      </c>
      <c r="M129" s="148"/>
      <c r="N129" s="149"/>
      <c r="O129" s="194">
        <f>SUMIF(bargiri[شماره پیش فاکتور],invoice[[#This Row],[شماره پیش فاکتور]],bargiri[میزان بارگیری شده])/invoice[[#This Row],[میزان سفارش]]</f>
        <v>1.00725</v>
      </c>
      <c r="P129" s="149" t="str">
        <f>IF(invoice[[#This Row],[نوع سفارش]]="غیرفعال","عادی",invoice[[#This Row],[نوع سفارش]])</f>
        <v>بورس</v>
      </c>
      <c r="Q129" s="149">
        <f>SUMIFS('جزییات بارگیری'!D:D,'جزییات بارگیری'!C:C,invoice[[#This Row],[شماره پیش فاکتور]])</f>
        <v>20145</v>
      </c>
      <c r="R129" s="149">
        <f>IF(invoice[[#This Row],[میزان سفارش]]-invoice[[#This Row],[میزان حمل شده ]]&lt;0,0,invoice[[#This Row],[میزان سفارش]]-invoice[[#This Row],[میزان حمل شده ]])</f>
        <v>0</v>
      </c>
      <c r="S129" s="149">
        <f>invoice[[#This Row],[میزان حمل نشده ]]*invoice[[#This Row],[فی]]</f>
        <v>0</v>
      </c>
    </row>
    <row r="130" spans="1:19" ht="30.6" customHeight="1">
      <c r="A130" s="150" t="s">
        <v>616</v>
      </c>
      <c r="B130" s="150" t="s">
        <v>116</v>
      </c>
      <c r="C130" s="150" t="s">
        <v>611</v>
      </c>
      <c r="D130" s="150" t="s">
        <v>610</v>
      </c>
      <c r="E130" s="243">
        <v>50000</v>
      </c>
      <c r="F130" s="148">
        <v>167500</v>
      </c>
      <c r="G130" s="149" t="str">
        <f>CHOOSE(MID(invoice[[#This Row],[تاریخ]],6,2),"فروردین","اردیبهشت","خرداد","تیر","مرداد","شهریور","مهر","آبان","آذر","دی","بهمن","اسفند")</f>
        <v>تیر</v>
      </c>
      <c r="H130" s="149">
        <f>_xlfn.NUMBERVALUE(MID(invoice[[#This Row],[تاریخ]],1,4))</f>
        <v>1404</v>
      </c>
      <c r="I130" s="149" t="s">
        <v>242</v>
      </c>
      <c r="J130" s="149" t="s">
        <v>504</v>
      </c>
      <c r="K130" s="151">
        <v>46466</v>
      </c>
      <c r="L130" s="149">
        <f>IF(invoice[[#This Row],[سال]]=year,1,0)</f>
        <v>0</v>
      </c>
      <c r="M130" s="148"/>
      <c r="N130" s="149"/>
      <c r="O130" s="194">
        <f>SUMIF(bargiri[شماره پیش فاکتور],invoice[[#This Row],[شماره پیش فاکتور]],bargiri[میزان بارگیری شده])/invoice[[#This Row],[میزان سفارش]]</f>
        <v>1</v>
      </c>
      <c r="P130" s="149" t="str">
        <f>IF(invoice[[#This Row],[نوع سفارش]]="غیرفعال","عادی",invoice[[#This Row],[نوع سفارش]])</f>
        <v>بورس</v>
      </c>
      <c r="Q130" s="149">
        <f>SUMIFS('جزییات بارگیری'!D:D,'جزییات بارگیری'!C:C,invoice[[#This Row],[شماره پیش فاکتور]])</f>
        <v>50000</v>
      </c>
      <c r="R130" s="149">
        <f>IF(invoice[[#This Row],[میزان سفارش]]-invoice[[#This Row],[میزان حمل شده ]]&lt;0,0,invoice[[#This Row],[میزان سفارش]]-invoice[[#This Row],[میزان حمل شده ]])</f>
        <v>0</v>
      </c>
      <c r="S130" s="149">
        <f>invoice[[#This Row],[میزان حمل نشده ]]*invoice[[#This Row],[فی]]</f>
        <v>0</v>
      </c>
    </row>
    <row r="131" spans="1:19" ht="30.6" customHeight="1">
      <c r="A131" s="150" t="s">
        <v>617</v>
      </c>
      <c r="B131" s="150" t="s">
        <v>101</v>
      </c>
      <c r="C131" s="150" t="s">
        <v>611</v>
      </c>
      <c r="D131" s="150" t="s">
        <v>610</v>
      </c>
      <c r="E131" s="243">
        <v>20000</v>
      </c>
      <c r="F131" s="148">
        <v>167500</v>
      </c>
      <c r="G131" s="149" t="str">
        <f>CHOOSE(MID(invoice[[#This Row],[تاریخ]],6,2),"فروردین","اردیبهشت","خرداد","تیر","مرداد","شهریور","مهر","آبان","آذر","دی","بهمن","اسفند")</f>
        <v>تیر</v>
      </c>
      <c r="H131" s="149">
        <f>_xlfn.NUMBERVALUE(MID(invoice[[#This Row],[تاریخ]],1,4))</f>
        <v>1404</v>
      </c>
      <c r="I131" s="149" t="s">
        <v>242</v>
      </c>
      <c r="J131" s="149" t="s">
        <v>504</v>
      </c>
      <c r="K131" s="151">
        <v>46466</v>
      </c>
      <c r="L131" s="149">
        <f>IF(invoice[[#This Row],[سال]]=year,1,0)</f>
        <v>0</v>
      </c>
      <c r="M131" s="148"/>
      <c r="N131" s="149"/>
      <c r="O131" s="194">
        <f>SUMIF(bargiri[شماره پیش فاکتور],invoice[[#This Row],[شماره پیش فاکتور]],bargiri[میزان بارگیری شده])/invoice[[#This Row],[میزان سفارش]]</f>
        <v>1</v>
      </c>
      <c r="P131" s="149" t="str">
        <f>IF(invoice[[#This Row],[نوع سفارش]]="غیرفعال","عادی",invoice[[#This Row],[نوع سفارش]])</f>
        <v>بورس</v>
      </c>
      <c r="Q131" s="149">
        <f>SUMIFS('جزییات بارگیری'!D:D,'جزییات بارگیری'!C:C,invoice[[#This Row],[شماره پیش فاکتور]])</f>
        <v>20000</v>
      </c>
      <c r="R131" s="149">
        <f>IF(invoice[[#This Row],[میزان سفارش]]-invoice[[#This Row],[میزان حمل شده ]]&lt;0,0,invoice[[#This Row],[میزان سفارش]]-invoice[[#This Row],[میزان حمل شده ]])</f>
        <v>0</v>
      </c>
      <c r="S131" s="149">
        <f>invoice[[#This Row],[میزان حمل نشده ]]*invoice[[#This Row],[فی]]</f>
        <v>0</v>
      </c>
    </row>
    <row r="132" spans="1:19" ht="30.6" customHeight="1">
      <c r="A132" s="150" t="s">
        <v>618</v>
      </c>
      <c r="B132" s="150" t="s">
        <v>98</v>
      </c>
      <c r="C132" s="150" t="s">
        <v>611</v>
      </c>
      <c r="D132" s="150" t="s">
        <v>610</v>
      </c>
      <c r="E132" s="243">
        <v>30000</v>
      </c>
      <c r="F132" s="148">
        <v>167500</v>
      </c>
      <c r="G132" s="149" t="str">
        <f>CHOOSE(MID(invoice[[#This Row],[تاریخ]],6,2),"فروردین","اردیبهشت","خرداد","تیر","مرداد","شهریور","مهر","آبان","آذر","دی","بهمن","اسفند")</f>
        <v>تیر</v>
      </c>
      <c r="H132" s="149">
        <f>_xlfn.NUMBERVALUE(MID(invoice[[#This Row],[تاریخ]],1,4))</f>
        <v>1404</v>
      </c>
      <c r="I132" s="149" t="s">
        <v>242</v>
      </c>
      <c r="J132" s="149" t="s">
        <v>504</v>
      </c>
      <c r="K132" s="151">
        <v>46466</v>
      </c>
      <c r="L132" s="149">
        <f>IF(invoice[[#This Row],[سال]]=year,1,0)</f>
        <v>0</v>
      </c>
      <c r="M132" s="148"/>
      <c r="N132" s="149"/>
      <c r="O132" s="194">
        <f>SUMIF(bargiri[شماره پیش فاکتور],invoice[[#This Row],[شماره پیش فاکتور]],bargiri[میزان بارگیری شده])/invoice[[#This Row],[میزان سفارش]]</f>
        <v>1</v>
      </c>
      <c r="P132" s="149" t="str">
        <f>IF(invoice[[#This Row],[نوع سفارش]]="غیرفعال","عادی",invoice[[#This Row],[نوع سفارش]])</f>
        <v>بورس</v>
      </c>
      <c r="Q132" s="149">
        <f>SUMIFS('جزییات بارگیری'!D:D,'جزییات بارگیری'!C:C,invoice[[#This Row],[شماره پیش فاکتور]])</f>
        <v>30000</v>
      </c>
      <c r="R132" s="149">
        <f>IF(invoice[[#This Row],[میزان سفارش]]-invoice[[#This Row],[میزان حمل شده ]]&lt;0,0,invoice[[#This Row],[میزان سفارش]]-invoice[[#This Row],[میزان حمل شده ]])</f>
        <v>0</v>
      </c>
      <c r="S132" s="149">
        <f>invoice[[#This Row],[میزان حمل نشده ]]*invoice[[#This Row],[فی]]</f>
        <v>0</v>
      </c>
    </row>
    <row r="133" spans="1:19" ht="30.6" customHeight="1">
      <c r="A133" s="150" t="s">
        <v>647</v>
      </c>
      <c r="B133" s="150" t="s">
        <v>116</v>
      </c>
      <c r="C133" s="150" t="s">
        <v>648</v>
      </c>
      <c r="D133" s="150" t="s">
        <v>649</v>
      </c>
      <c r="E133" s="243">
        <v>50000</v>
      </c>
      <c r="F133" s="148">
        <v>116500</v>
      </c>
      <c r="G133" s="149" t="str">
        <f>CHOOSE(MID(invoice[[#This Row],[تاریخ]],6,2),"فروردین","اردیبهشت","خرداد","تیر","مرداد","شهریور","مهر","آبان","آذر","دی","بهمن","اسفند")</f>
        <v>تیر</v>
      </c>
      <c r="H133" s="149">
        <f>_xlfn.NUMBERVALUE(MID(invoice[[#This Row],[تاریخ]],1,4))</f>
        <v>1404</v>
      </c>
      <c r="I133" s="149" t="s">
        <v>240</v>
      </c>
      <c r="J133" s="149" t="s">
        <v>504</v>
      </c>
      <c r="K133" s="151">
        <v>46466</v>
      </c>
      <c r="L133" s="149">
        <f>IF(invoice[[#This Row],[سال]]=year,1,0)</f>
        <v>0</v>
      </c>
      <c r="M133" s="148"/>
      <c r="N133" s="149"/>
      <c r="O133" s="194">
        <f>SUMIF(bargiri[شماره پیش فاکتور],invoice[[#This Row],[شماره پیش فاکتور]],bargiri[میزان بارگیری شده])/invoice[[#This Row],[میزان سفارش]]</f>
        <v>1</v>
      </c>
      <c r="P133" s="149" t="str">
        <f>IF(invoice[[#This Row],[نوع سفارش]]="غیرفعال","عادی",invoice[[#This Row],[نوع سفارش]])</f>
        <v>تعادلی</v>
      </c>
      <c r="Q133" s="149">
        <f>SUMIFS('جزییات بارگیری'!D:D,'جزییات بارگیری'!C:C,invoice[[#This Row],[شماره پیش فاکتور]])</f>
        <v>50000</v>
      </c>
      <c r="R133" s="149">
        <f>IF(invoice[[#This Row],[میزان سفارش]]-invoice[[#This Row],[میزان حمل شده ]]&lt;0,0,invoice[[#This Row],[میزان سفارش]]-invoice[[#This Row],[میزان حمل شده ]])</f>
        <v>0</v>
      </c>
      <c r="S133" s="149">
        <f>invoice[[#This Row],[میزان حمل نشده ]]*invoice[[#This Row],[فی]]</f>
        <v>0</v>
      </c>
    </row>
    <row r="134" spans="1:19" ht="30.6" customHeight="1">
      <c r="A134" s="150" t="s">
        <v>650</v>
      </c>
      <c r="B134" s="150" t="s">
        <v>101</v>
      </c>
      <c r="C134" s="150" t="s">
        <v>648</v>
      </c>
      <c r="D134" s="150" t="s">
        <v>649</v>
      </c>
      <c r="E134" s="243">
        <v>20000</v>
      </c>
      <c r="F134" s="148">
        <v>116500</v>
      </c>
      <c r="G134" s="149" t="str">
        <f>CHOOSE(MID(invoice[[#This Row],[تاریخ]],6,2),"فروردین","اردیبهشت","خرداد","تیر","مرداد","شهریور","مهر","آبان","آذر","دی","بهمن","اسفند")</f>
        <v>تیر</v>
      </c>
      <c r="H134" s="149">
        <f>_xlfn.NUMBERVALUE(MID(invoice[[#This Row],[تاریخ]],1,4))</f>
        <v>1404</v>
      </c>
      <c r="I134" s="149" t="s">
        <v>240</v>
      </c>
      <c r="J134" s="149" t="s">
        <v>504</v>
      </c>
      <c r="K134" s="151">
        <v>46466</v>
      </c>
      <c r="L134" s="149">
        <f>IF(invoice[[#This Row],[سال]]=year,1,0)</f>
        <v>0</v>
      </c>
      <c r="M134" s="148"/>
      <c r="N134" s="149"/>
      <c r="O134" s="194">
        <f>SUMIF(bargiri[شماره پیش فاکتور],invoice[[#This Row],[شماره پیش فاکتور]],bargiri[میزان بارگیری شده])/invoice[[#This Row],[میزان سفارش]]</f>
        <v>1</v>
      </c>
      <c r="P134" s="149" t="str">
        <f>IF(invoice[[#This Row],[نوع سفارش]]="غیرفعال","عادی",invoice[[#This Row],[نوع سفارش]])</f>
        <v>تعادلی</v>
      </c>
      <c r="Q134" s="149">
        <f>SUMIFS('جزییات بارگیری'!D:D,'جزییات بارگیری'!C:C,invoice[[#This Row],[شماره پیش فاکتور]])</f>
        <v>20000</v>
      </c>
      <c r="R134" s="149">
        <f>IF(invoice[[#This Row],[میزان سفارش]]-invoice[[#This Row],[میزان حمل شده ]]&lt;0,0,invoice[[#This Row],[میزان سفارش]]-invoice[[#This Row],[میزان حمل شده ]])</f>
        <v>0</v>
      </c>
      <c r="S134" s="149">
        <f>invoice[[#This Row],[میزان حمل نشده ]]*invoice[[#This Row],[فی]]</f>
        <v>0</v>
      </c>
    </row>
    <row r="135" spans="1:19" ht="30.6" customHeight="1">
      <c r="A135" s="150" t="s">
        <v>651</v>
      </c>
      <c r="B135" s="150" t="s">
        <v>98</v>
      </c>
      <c r="C135" s="150" t="s">
        <v>648</v>
      </c>
      <c r="D135" s="150" t="s">
        <v>649</v>
      </c>
      <c r="E135" s="243">
        <v>30000</v>
      </c>
      <c r="F135" s="148">
        <v>116500</v>
      </c>
      <c r="G135" s="149" t="str">
        <f>CHOOSE(MID(invoice[[#This Row],[تاریخ]],6,2),"فروردین","اردیبهشت","خرداد","تیر","مرداد","شهریور","مهر","آبان","آذر","دی","بهمن","اسفند")</f>
        <v>تیر</v>
      </c>
      <c r="H135" s="149">
        <f>_xlfn.NUMBERVALUE(MID(invoice[[#This Row],[تاریخ]],1,4))</f>
        <v>1404</v>
      </c>
      <c r="I135" s="149" t="s">
        <v>240</v>
      </c>
      <c r="J135" s="149" t="s">
        <v>504</v>
      </c>
      <c r="K135" s="151">
        <v>46466</v>
      </c>
      <c r="L135" s="149">
        <f>IF(invoice[[#This Row],[سال]]=year,1,0)</f>
        <v>0</v>
      </c>
      <c r="M135" s="148"/>
      <c r="N135" s="149"/>
      <c r="O135" s="194">
        <f>SUMIF(bargiri[شماره پیش فاکتور],invoice[[#This Row],[شماره پیش فاکتور]],bargiri[میزان بارگیری شده])/invoice[[#This Row],[میزان سفارش]]</f>
        <v>1</v>
      </c>
      <c r="P135" s="149" t="str">
        <f>IF(invoice[[#This Row],[نوع سفارش]]="غیرفعال","عادی",invoice[[#This Row],[نوع سفارش]])</f>
        <v>تعادلی</v>
      </c>
      <c r="Q135" s="149">
        <f>SUMIFS('جزییات بارگیری'!D:D,'جزییات بارگیری'!C:C,invoice[[#This Row],[شماره پیش فاکتور]])</f>
        <v>30000</v>
      </c>
      <c r="R135" s="149">
        <f>IF(invoice[[#This Row],[میزان سفارش]]-invoice[[#This Row],[میزان حمل شده ]]&lt;0,0,invoice[[#This Row],[میزان سفارش]]-invoice[[#This Row],[میزان حمل شده ]])</f>
        <v>0</v>
      </c>
      <c r="S135" s="149">
        <f>invoice[[#This Row],[میزان حمل نشده ]]*invoice[[#This Row],[فی]]</f>
        <v>0</v>
      </c>
    </row>
    <row r="136" spans="1:19" ht="30.6" customHeight="1">
      <c r="A136" s="223" t="s">
        <v>684</v>
      </c>
      <c r="B136" s="150" t="s">
        <v>104</v>
      </c>
      <c r="C136" s="150" t="s">
        <v>657</v>
      </c>
      <c r="D136" s="150" t="s">
        <v>657</v>
      </c>
      <c r="E136" s="250">
        <v>40000</v>
      </c>
      <c r="F136" s="148">
        <v>167500</v>
      </c>
      <c r="G136" s="149" t="str">
        <f>CHOOSE(MID(invoice[[#This Row],[تاریخ]],6,2),"فروردین","اردیبهشت","خرداد","تیر","مرداد","شهریور","مهر","آبان","آذر","دی","بهمن","اسفند")</f>
        <v>تیر</v>
      </c>
      <c r="H136" s="149">
        <f>_xlfn.NUMBERVALUE(MID(invoice[[#This Row],[تاریخ]],1,4))</f>
        <v>1404</v>
      </c>
      <c r="I136" s="149" t="s">
        <v>242</v>
      </c>
      <c r="J136" s="149" t="s">
        <v>504</v>
      </c>
      <c r="K136" s="151">
        <v>46466</v>
      </c>
      <c r="L136" s="149">
        <f>IF(invoice[[#This Row],[سال]]=year,1,0)</f>
        <v>0</v>
      </c>
      <c r="M136" s="148"/>
      <c r="N136" s="149"/>
      <c r="O136" s="225">
        <f>SUMIF(bargiri[شماره پیش فاکتور],invoice[[#This Row],[شماره پیش فاکتور]],bargiri[میزان بارگیری شده])/invoice[[#This Row],[میزان سفارش]]</f>
        <v>1</v>
      </c>
      <c r="P136" s="149" t="str">
        <f>IF(invoice[[#This Row],[نوع سفارش]]="غیرفعال","عادی",invoice[[#This Row],[نوع سفارش]])</f>
        <v>بورس</v>
      </c>
      <c r="Q136" s="149">
        <f>SUMIFS('جزییات بارگیری'!D:D,'جزییات بارگیری'!C:C,invoice[[#This Row],[شماره پیش فاکتور]])</f>
        <v>40000</v>
      </c>
      <c r="R136" s="149">
        <f>IF(invoice[[#This Row],[میزان سفارش]]-invoice[[#This Row],[میزان حمل شده ]]&lt;0,0,invoice[[#This Row],[میزان سفارش]]-invoice[[#This Row],[میزان حمل شده ]])</f>
        <v>0</v>
      </c>
      <c r="S136" s="149">
        <f>invoice[[#This Row],[میزان حمل نشده ]]*invoice[[#This Row],[فی]]</f>
        <v>0</v>
      </c>
    </row>
    <row r="137" spans="1:19" ht="30.6" customHeight="1">
      <c r="A137" s="223" t="s">
        <v>685</v>
      </c>
      <c r="B137" s="223" t="s">
        <v>117</v>
      </c>
      <c r="C137" s="150" t="s">
        <v>657</v>
      </c>
      <c r="D137" s="150" t="s">
        <v>657</v>
      </c>
      <c r="E137" s="250">
        <v>60000</v>
      </c>
      <c r="F137" s="148">
        <v>167500</v>
      </c>
      <c r="G137" s="149" t="str">
        <f>CHOOSE(MID(invoice[[#This Row],[تاریخ]],6,2),"فروردین","اردیبهشت","خرداد","تیر","مرداد","شهریور","مهر","آبان","آذر","دی","بهمن","اسفند")</f>
        <v>تیر</v>
      </c>
      <c r="H137" s="149">
        <f>_xlfn.NUMBERVALUE(MID(invoice[[#This Row],[تاریخ]],1,4))</f>
        <v>1404</v>
      </c>
      <c r="I137" s="149" t="s">
        <v>242</v>
      </c>
      <c r="J137" s="149" t="s">
        <v>504</v>
      </c>
      <c r="K137" s="151">
        <v>46466</v>
      </c>
      <c r="L137" s="149">
        <f>IF(invoice[[#This Row],[سال]]=year,1,0)</f>
        <v>0</v>
      </c>
      <c r="M137" s="148"/>
      <c r="N137" s="149"/>
      <c r="O137" s="225">
        <f>SUMIF(bargiri[شماره پیش فاکتور],invoice[[#This Row],[شماره پیش فاکتور]],bargiri[میزان بارگیری شده])/invoice[[#This Row],[میزان سفارش]]</f>
        <v>1</v>
      </c>
      <c r="P137" s="149" t="str">
        <f>IF(invoice[[#This Row],[نوع سفارش]]="غیرفعال","عادی",invoice[[#This Row],[نوع سفارش]])</f>
        <v>بورس</v>
      </c>
      <c r="Q137" s="149">
        <f>SUMIFS('جزییات بارگیری'!D:D,'جزییات بارگیری'!C:C,invoice[[#This Row],[شماره پیش فاکتور]])</f>
        <v>60000</v>
      </c>
      <c r="R137" s="149">
        <f>IF(invoice[[#This Row],[میزان سفارش]]-invoice[[#This Row],[میزان حمل شده ]]&lt;0,0,invoice[[#This Row],[میزان سفارش]]-invoice[[#This Row],[میزان حمل شده ]])</f>
        <v>0</v>
      </c>
      <c r="S137" s="149">
        <f>invoice[[#This Row],[میزان حمل نشده ]]*invoice[[#This Row],[فی]]</f>
        <v>0</v>
      </c>
    </row>
    <row r="138" spans="1:19" ht="30.6" customHeight="1">
      <c r="A138" s="223" t="s">
        <v>686</v>
      </c>
      <c r="B138" s="150" t="s">
        <v>104</v>
      </c>
      <c r="C138" s="150" t="s">
        <v>629</v>
      </c>
      <c r="D138" s="150" t="s">
        <v>689</v>
      </c>
      <c r="E138" s="250">
        <v>40000</v>
      </c>
      <c r="F138" s="148">
        <v>116500</v>
      </c>
      <c r="G138" s="149" t="str">
        <f>CHOOSE(MID(invoice[[#This Row],[تاریخ]],6,2),"فروردین","اردیبهشت","خرداد","تیر","مرداد","شهریور","مهر","آبان","آذر","دی","بهمن","اسفند")</f>
        <v>تیر</v>
      </c>
      <c r="H138" s="149">
        <f>_xlfn.NUMBERVALUE(MID(invoice[[#This Row],[تاریخ]],1,4))</f>
        <v>1404</v>
      </c>
      <c r="I138" s="149" t="s">
        <v>240</v>
      </c>
      <c r="J138" s="149" t="s">
        <v>504</v>
      </c>
      <c r="K138" s="151">
        <v>46466</v>
      </c>
      <c r="L138" s="149">
        <f>IF(invoice[[#This Row],[سال]]=year,1,0)</f>
        <v>0</v>
      </c>
      <c r="M138" s="148"/>
      <c r="N138" s="149"/>
      <c r="O138" s="225">
        <f>SUMIF(bargiri[شماره پیش فاکتور],invoice[[#This Row],[شماره پیش فاکتور]],bargiri[میزان بارگیری شده])/invoice[[#This Row],[میزان سفارش]]</f>
        <v>1</v>
      </c>
      <c r="P138" s="149" t="str">
        <f>IF(invoice[[#This Row],[نوع سفارش]]="غیرفعال","عادی",invoice[[#This Row],[نوع سفارش]])</f>
        <v>تعادلی</v>
      </c>
      <c r="Q138" s="149">
        <f>SUMIFS('جزییات بارگیری'!D:D,'جزییات بارگیری'!C:C,invoice[[#This Row],[شماره پیش فاکتور]])</f>
        <v>40000</v>
      </c>
      <c r="R138" s="149">
        <f>IF(invoice[[#This Row],[میزان سفارش]]-invoice[[#This Row],[میزان حمل شده ]]&lt;0,0,invoice[[#This Row],[میزان سفارش]]-invoice[[#This Row],[میزان حمل شده ]])</f>
        <v>0</v>
      </c>
      <c r="S138" s="149">
        <f>invoice[[#This Row],[میزان حمل نشده ]]*invoice[[#This Row],[فی]]</f>
        <v>0</v>
      </c>
    </row>
    <row r="139" spans="1:19" ht="30.6" customHeight="1">
      <c r="A139" s="223" t="s">
        <v>687</v>
      </c>
      <c r="B139" s="223" t="s">
        <v>117</v>
      </c>
      <c r="C139" s="150" t="s">
        <v>629</v>
      </c>
      <c r="D139" s="150" t="s">
        <v>689</v>
      </c>
      <c r="E139" s="250">
        <v>60000</v>
      </c>
      <c r="F139" s="148">
        <v>116500</v>
      </c>
      <c r="G139" s="149" t="str">
        <f>CHOOSE(MID(invoice[[#This Row],[تاریخ]],6,2),"فروردین","اردیبهشت","خرداد","تیر","مرداد","شهریور","مهر","آبان","آذر","دی","بهمن","اسفند")</f>
        <v>تیر</v>
      </c>
      <c r="H139" s="149">
        <f>_xlfn.NUMBERVALUE(MID(invoice[[#This Row],[تاریخ]],1,4))</f>
        <v>1404</v>
      </c>
      <c r="I139" s="149" t="s">
        <v>240</v>
      </c>
      <c r="J139" s="149" t="s">
        <v>504</v>
      </c>
      <c r="K139" s="151">
        <v>46466</v>
      </c>
      <c r="L139" s="149">
        <f>IF(invoice[[#This Row],[سال]]=year,1,0)</f>
        <v>0</v>
      </c>
      <c r="M139" s="148"/>
      <c r="N139" s="149"/>
      <c r="O139" s="225">
        <f>SUMIF(bargiri[شماره پیش فاکتور],invoice[[#This Row],[شماره پیش فاکتور]],bargiri[میزان بارگیری شده])/invoice[[#This Row],[میزان سفارش]]</f>
        <v>1</v>
      </c>
      <c r="P139" s="149" t="str">
        <f>IF(invoice[[#This Row],[نوع سفارش]]="غیرفعال","عادی",invoice[[#This Row],[نوع سفارش]])</f>
        <v>تعادلی</v>
      </c>
      <c r="Q139" s="149">
        <f>SUMIFS('جزییات بارگیری'!D:D,'جزییات بارگیری'!C:C,invoice[[#This Row],[شماره پیش فاکتور]])</f>
        <v>60000</v>
      </c>
      <c r="R139" s="149">
        <f>IF(invoice[[#This Row],[میزان سفارش]]-invoice[[#This Row],[میزان حمل شده ]]&lt;0,0,invoice[[#This Row],[میزان سفارش]]-invoice[[#This Row],[میزان حمل شده ]])</f>
        <v>0</v>
      </c>
      <c r="S139" s="149">
        <f>invoice[[#This Row],[میزان حمل نشده ]]*invoice[[#This Row],[فی]]</f>
        <v>0</v>
      </c>
    </row>
    <row r="140" spans="1:19" ht="30.6" customHeight="1">
      <c r="A140" s="223" t="s">
        <v>693</v>
      </c>
      <c r="B140" s="150" t="s">
        <v>116</v>
      </c>
      <c r="C140" s="150" t="s">
        <v>691</v>
      </c>
      <c r="D140" s="150" t="s">
        <v>691</v>
      </c>
      <c r="E140" s="243">
        <v>20000</v>
      </c>
      <c r="F140" s="148">
        <v>167500</v>
      </c>
      <c r="G140" s="149" t="str">
        <f>CHOOSE(MID(invoice[[#This Row],[تاریخ]],6,2),"فروردین","اردیبهشت","خرداد","تیر","مرداد","شهریور","مهر","آبان","آذر","دی","بهمن","اسفند")</f>
        <v>تیر</v>
      </c>
      <c r="H140" s="149">
        <f>_xlfn.NUMBERVALUE(MID(invoice[[#This Row],[تاریخ]],1,4))</f>
        <v>1404</v>
      </c>
      <c r="I140" s="149" t="s">
        <v>242</v>
      </c>
      <c r="J140" s="149" t="s">
        <v>504</v>
      </c>
      <c r="K140" s="151">
        <v>46466</v>
      </c>
      <c r="L140" s="149">
        <f>IF(invoice[[#This Row],[سال]]=year,1,0)</f>
        <v>0</v>
      </c>
      <c r="M140" s="148"/>
      <c r="N140" s="149"/>
      <c r="O140" s="194">
        <f>SUMIF(bargiri[شماره پیش فاکتور],invoice[[#This Row],[شماره پیش فاکتور]],bargiri[میزان بارگیری شده])/invoice[[#This Row],[میزان سفارش]]</f>
        <v>1</v>
      </c>
      <c r="P140" s="149" t="str">
        <f>IF(invoice[[#This Row],[نوع سفارش]]="غیرفعال","عادی",invoice[[#This Row],[نوع سفارش]])</f>
        <v>بورس</v>
      </c>
      <c r="Q140" s="149">
        <f>SUMIFS('جزییات بارگیری'!D:D,'جزییات بارگیری'!C:C,invoice[[#This Row],[شماره پیش فاکتور]])</f>
        <v>20000</v>
      </c>
      <c r="R140" s="149">
        <f>IF(invoice[[#This Row],[میزان سفارش]]-invoice[[#This Row],[میزان حمل شده ]]&lt;0,0,invoice[[#This Row],[میزان سفارش]]-invoice[[#This Row],[میزان حمل شده ]])</f>
        <v>0</v>
      </c>
      <c r="S140" s="149">
        <f>invoice[[#This Row],[میزان حمل نشده ]]*invoice[[#This Row],[فی]]</f>
        <v>0</v>
      </c>
    </row>
    <row r="141" spans="1:19" ht="30.6" customHeight="1">
      <c r="A141" s="223" t="s">
        <v>694</v>
      </c>
      <c r="B141" s="150" t="s">
        <v>104</v>
      </c>
      <c r="C141" s="150" t="s">
        <v>691</v>
      </c>
      <c r="D141" s="150" t="s">
        <v>691</v>
      </c>
      <c r="E141" s="243">
        <v>20000</v>
      </c>
      <c r="F141" s="148">
        <v>167500</v>
      </c>
      <c r="G141" s="149" t="str">
        <f>CHOOSE(MID(invoice[[#This Row],[تاریخ]],6,2),"فروردین","اردیبهشت","خرداد","تیر","مرداد","شهریور","مهر","آبان","آذر","دی","بهمن","اسفند")</f>
        <v>تیر</v>
      </c>
      <c r="H141" s="149">
        <f>_xlfn.NUMBERVALUE(MID(invoice[[#This Row],[تاریخ]],1,4))</f>
        <v>1404</v>
      </c>
      <c r="I141" s="149" t="s">
        <v>242</v>
      </c>
      <c r="J141" s="149" t="s">
        <v>504</v>
      </c>
      <c r="K141" s="151">
        <v>46466</v>
      </c>
      <c r="L141" s="149">
        <f>IF(invoice[[#This Row],[سال]]=year,1,0)</f>
        <v>0</v>
      </c>
      <c r="M141" s="148"/>
      <c r="N141" s="149"/>
      <c r="O141" s="194">
        <f>SUMIF(bargiri[شماره پیش فاکتور],invoice[[#This Row],[شماره پیش فاکتور]],bargiri[میزان بارگیری شده])/invoice[[#This Row],[میزان سفارش]]</f>
        <v>1</v>
      </c>
      <c r="P141" s="149" t="str">
        <f>IF(invoice[[#This Row],[نوع سفارش]]="غیرفعال","عادی",invoice[[#This Row],[نوع سفارش]])</f>
        <v>بورس</v>
      </c>
      <c r="Q141" s="149">
        <f>SUMIFS('جزییات بارگیری'!D:D,'جزییات بارگیری'!C:C,invoice[[#This Row],[شماره پیش فاکتور]])</f>
        <v>20000</v>
      </c>
      <c r="R141" s="149">
        <f>IF(invoice[[#This Row],[میزان سفارش]]-invoice[[#This Row],[میزان حمل شده ]]&lt;0,0,invoice[[#This Row],[میزان سفارش]]-invoice[[#This Row],[میزان حمل شده ]])</f>
        <v>0</v>
      </c>
      <c r="S141" s="149">
        <f>invoice[[#This Row],[میزان حمل نشده ]]*invoice[[#This Row],[فی]]</f>
        <v>0</v>
      </c>
    </row>
    <row r="142" spans="1:19" ht="30.6" customHeight="1">
      <c r="A142" s="223" t="s">
        <v>695</v>
      </c>
      <c r="B142" s="150" t="s">
        <v>101</v>
      </c>
      <c r="C142" s="150" t="s">
        <v>691</v>
      </c>
      <c r="D142" s="150" t="s">
        <v>691</v>
      </c>
      <c r="E142" s="243">
        <v>20000</v>
      </c>
      <c r="F142" s="148">
        <v>167500</v>
      </c>
      <c r="G142" s="149" t="str">
        <f>CHOOSE(MID(invoice[[#This Row],[تاریخ]],6,2),"فروردین","اردیبهشت","خرداد","تیر","مرداد","شهریور","مهر","آبان","آذر","دی","بهمن","اسفند")</f>
        <v>تیر</v>
      </c>
      <c r="H142" s="149">
        <f>_xlfn.NUMBERVALUE(MID(invoice[[#This Row],[تاریخ]],1,4))</f>
        <v>1404</v>
      </c>
      <c r="I142" s="149" t="s">
        <v>242</v>
      </c>
      <c r="J142" s="149" t="s">
        <v>504</v>
      </c>
      <c r="K142" s="151">
        <v>46466</v>
      </c>
      <c r="L142" s="149">
        <f>IF(invoice[[#This Row],[سال]]=year,1,0)</f>
        <v>0</v>
      </c>
      <c r="M142" s="148"/>
      <c r="N142" s="149"/>
      <c r="O142" s="194">
        <f>SUMIF(bargiri[شماره پیش فاکتور],invoice[[#This Row],[شماره پیش فاکتور]],bargiri[میزان بارگیری شده])/invoice[[#This Row],[میزان سفارش]]</f>
        <v>1</v>
      </c>
      <c r="P142" s="149" t="str">
        <f>IF(invoice[[#This Row],[نوع سفارش]]="غیرفعال","عادی",invoice[[#This Row],[نوع سفارش]])</f>
        <v>بورس</v>
      </c>
      <c r="Q142" s="149">
        <f>SUMIFS('جزییات بارگیری'!D:D,'جزییات بارگیری'!C:C,invoice[[#This Row],[شماره پیش فاکتور]])</f>
        <v>20000</v>
      </c>
      <c r="R142" s="149">
        <f>IF(invoice[[#This Row],[میزان سفارش]]-invoice[[#This Row],[میزان حمل شده ]]&lt;0,0,invoice[[#This Row],[میزان سفارش]]-invoice[[#This Row],[میزان حمل شده ]])</f>
        <v>0</v>
      </c>
      <c r="S142" s="149">
        <f>invoice[[#This Row],[میزان حمل نشده ]]*invoice[[#This Row],[فی]]</f>
        <v>0</v>
      </c>
    </row>
    <row r="143" spans="1:19" ht="30.6" customHeight="1">
      <c r="A143" s="223" t="s">
        <v>696</v>
      </c>
      <c r="B143" s="150" t="s">
        <v>117</v>
      </c>
      <c r="C143" s="150" t="s">
        <v>691</v>
      </c>
      <c r="D143" s="150" t="s">
        <v>691</v>
      </c>
      <c r="E143" s="243">
        <v>40000</v>
      </c>
      <c r="F143" s="148">
        <v>167500</v>
      </c>
      <c r="G143" s="149" t="str">
        <f>CHOOSE(MID(invoice[[#This Row],[تاریخ]],6,2),"فروردین","اردیبهشت","خرداد","تیر","مرداد","شهریور","مهر","آبان","آذر","دی","بهمن","اسفند")</f>
        <v>تیر</v>
      </c>
      <c r="H143" s="149">
        <f>_xlfn.NUMBERVALUE(MID(invoice[[#This Row],[تاریخ]],1,4))</f>
        <v>1404</v>
      </c>
      <c r="I143" s="149" t="s">
        <v>242</v>
      </c>
      <c r="J143" s="149" t="s">
        <v>504</v>
      </c>
      <c r="K143" s="151">
        <v>46466</v>
      </c>
      <c r="L143" s="149">
        <f>IF(invoice[[#This Row],[سال]]=year,1,0)</f>
        <v>0</v>
      </c>
      <c r="M143" s="149"/>
      <c r="N143" s="149"/>
      <c r="O143" s="194">
        <f>SUMIF(bargiri[شماره پیش فاکتور],invoice[[#This Row],[شماره پیش فاکتور]],bargiri[میزان بارگیری شده])/invoice[[#This Row],[میزان سفارش]]</f>
        <v>1</v>
      </c>
      <c r="P143" s="149" t="str">
        <f>IF(invoice[[#This Row],[نوع سفارش]]="غیرفعال","عادی",invoice[[#This Row],[نوع سفارش]])</f>
        <v>بورس</v>
      </c>
      <c r="Q143" s="149">
        <f>SUMIFS('جزییات بارگیری'!D:D,'جزییات بارگیری'!C:C,invoice[[#This Row],[شماره پیش فاکتور]])</f>
        <v>40000</v>
      </c>
      <c r="R143" s="149">
        <f>IF(invoice[[#This Row],[میزان سفارش]]-invoice[[#This Row],[میزان حمل شده ]]&lt;0,0,invoice[[#This Row],[میزان سفارش]]-invoice[[#This Row],[میزان حمل شده ]])</f>
        <v>0</v>
      </c>
      <c r="S143" s="149">
        <f>invoice[[#This Row],[میزان حمل نشده ]]*invoice[[#This Row],[فی]]</f>
        <v>0</v>
      </c>
    </row>
    <row r="144" spans="1:19" ht="30.6" customHeight="1">
      <c r="A144" s="223" t="s">
        <v>710</v>
      </c>
      <c r="B144" s="150" t="s">
        <v>104</v>
      </c>
      <c r="C144" s="150" t="s">
        <v>697</v>
      </c>
      <c r="D144" s="150" t="s">
        <v>709</v>
      </c>
      <c r="E144" s="243">
        <v>20000</v>
      </c>
      <c r="F144" s="148">
        <v>116500</v>
      </c>
      <c r="G144" s="149" t="str">
        <f>CHOOSE(MID(invoice[[#This Row],[تاریخ]],6,2),"فروردین","اردیبهشت","خرداد","تیر","مرداد","شهریور","مهر","آبان","آذر","دی","بهمن","اسفند")</f>
        <v>مرداد</v>
      </c>
      <c r="H144" s="149">
        <f>_xlfn.NUMBERVALUE(MID(invoice[[#This Row],[تاریخ]],1,4))</f>
        <v>1404</v>
      </c>
      <c r="I144" s="149" t="s">
        <v>240</v>
      </c>
      <c r="J144" s="149" t="s">
        <v>504</v>
      </c>
      <c r="K144" s="151">
        <v>46466</v>
      </c>
      <c r="L144" s="149">
        <f>IF(invoice[[#This Row],[سال]]=year,1,0)</f>
        <v>0</v>
      </c>
      <c r="M144" s="149"/>
      <c r="N144" s="149"/>
      <c r="O144" s="194">
        <f>SUMIF(bargiri[شماره پیش فاکتور],invoice[[#This Row],[شماره پیش فاکتور]],bargiri[میزان بارگیری شده])/invoice[[#This Row],[میزان سفارش]]</f>
        <v>1</v>
      </c>
      <c r="P144" s="149" t="str">
        <f>IF(invoice[[#This Row],[نوع سفارش]]="غیرفعال","عادی",invoice[[#This Row],[نوع سفارش]])</f>
        <v>تعادلی</v>
      </c>
      <c r="Q144" s="149">
        <f>SUMIFS('جزییات بارگیری'!D:D,'جزییات بارگیری'!C:C,invoice[[#This Row],[شماره پیش فاکتور]])</f>
        <v>20000</v>
      </c>
      <c r="R144" s="149">
        <f>IF(invoice[[#This Row],[میزان سفارش]]-invoice[[#This Row],[میزان حمل شده ]]&lt;0,0,invoice[[#This Row],[میزان سفارش]]-invoice[[#This Row],[میزان حمل شده ]])</f>
        <v>0</v>
      </c>
      <c r="S144" s="149">
        <f>invoice[[#This Row],[میزان حمل نشده ]]*invoice[[#This Row],[فی]]</f>
        <v>0</v>
      </c>
    </row>
    <row r="145" spans="1:19" ht="30.6" customHeight="1">
      <c r="A145" s="223" t="s">
        <v>711</v>
      </c>
      <c r="B145" s="150" t="s">
        <v>101</v>
      </c>
      <c r="C145" s="150" t="s">
        <v>697</v>
      </c>
      <c r="D145" s="150" t="s">
        <v>709</v>
      </c>
      <c r="E145" s="243">
        <v>20000</v>
      </c>
      <c r="F145" s="148">
        <v>116500</v>
      </c>
      <c r="G145" s="149" t="str">
        <f>CHOOSE(MID(invoice[[#This Row],[تاریخ]],6,2),"فروردین","اردیبهشت","خرداد","تیر","مرداد","شهریور","مهر","آبان","آذر","دی","بهمن","اسفند")</f>
        <v>مرداد</v>
      </c>
      <c r="H145" s="149">
        <f>_xlfn.NUMBERVALUE(MID(invoice[[#This Row],[تاریخ]],1,4))</f>
        <v>1404</v>
      </c>
      <c r="I145" s="149" t="s">
        <v>240</v>
      </c>
      <c r="J145" s="149" t="s">
        <v>504</v>
      </c>
      <c r="K145" s="151">
        <v>46466</v>
      </c>
      <c r="L145" s="149">
        <f>IF(invoice[[#This Row],[سال]]=year,1,0)</f>
        <v>0</v>
      </c>
      <c r="M145" s="149"/>
      <c r="N145" s="149"/>
      <c r="O145" s="194">
        <f>SUMIF(bargiri[شماره پیش فاکتور],invoice[[#This Row],[شماره پیش فاکتور]],bargiri[میزان بارگیری شده])/invoice[[#This Row],[میزان سفارش]]</f>
        <v>1</v>
      </c>
      <c r="P145" s="149" t="str">
        <f>IF(invoice[[#This Row],[نوع سفارش]]="غیرفعال","عادی",invoice[[#This Row],[نوع سفارش]])</f>
        <v>تعادلی</v>
      </c>
      <c r="Q145" s="149">
        <f>SUMIFS('جزییات بارگیری'!D:D,'جزییات بارگیری'!C:C,invoice[[#This Row],[شماره پیش فاکتور]])</f>
        <v>20000</v>
      </c>
      <c r="R145" s="149">
        <f>IF(invoice[[#This Row],[میزان سفارش]]-invoice[[#This Row],[میزان حمل شده ]]&lt;0,0,invoice[[#This Row],[میزان سفارش]]-invoice[[#This Row],[میزان حمل شده ]])</f>
        <v>0</v>
      </c>
      <c r="S145" s="149">
        <f>invoice[[#This Row],[میزان حمل نشده ]]*invoice[[#This Row],[فی]]</f>
        <v>0</v>
      </c>
    </row>
    <row r="146" spans="1:19" ht="30.6" customHeight="1">
      <c r="A146" s="223" t="s">
        <v>712</v>
      </c>
      <c r="B146" s="150" t="s">
        <v>117</v>
      </c>
      <c r="C146" s="150" t="s">
        <v>697</v>
      </c>
      <c r="D146" s="150" t="s">
        <v>709</v>
      </c>
      <c r="E146" s="243">
        <v>40000</v>
      </c>
      <c r="F146" s="148">
        <v>116500</v>
      </c>
      <c r="G146" s="149" t="str">
        <f>CHOOSE(MID(invoice[[#This Row],[تاریخ]],6,2),"فروردین","اردیبهشت","خرداد","تیر","مرداد","شهریور","مهر","آبان","آذر","دی","بهمن","اسفند")</f>
        <v>مرداد</v>
      </c>
      <c r="H146" s="149">
        <f>_xlfn.NUMBERVALUE(MID(invoice[[#This Row],[تاریخ]],1,4))</f>
        <v>1404</v>
      </c>
      <c r="I146" s="149" t="s">
        <v>240</v>
      </c>
      <c r="J146" s="149" t="s">
        <v>504</v>
      </c>
      <c r="K146" s="151">
        <v>46466</v>
      </c>
      <c r="L146" s="149">
        <f>IF(invoice[[#This Row],[سال]]=year,1,0)</f>
        <v>0</v>
      </c>
      <c r="M146" s="149"/>
      <c r="N146" s="149"/>
      <c r="O146" s="194">
        <f>SUMIF(bargiri[شماره پیش فاکتور],invoice[[#This Row],[شماره پیش فاکتور]],bargiri[میزان بارگیری شده])/invoice[[#This Row],[میزان سفارش]]</f>
        <v>1</v>
      </c>
      <c r="P146" s="149" t="str">
        <f>IF(invoice[[#This Row],[نوع سفارش]]="غیرفعال","عادی",invoice[[#This Row],[نوع سفارش]])</f>
        <v>تعادلی</v>
      </c>
      <c r="Q146" s="149">
        <f>SUMIFS('جزییات بارگیری'!D:D,'جزییات بارگیری'!C:C,invoice[[#This Row],[شماره پیش فاکتور]])</f>
        <v>40000</v>
      </c>
      <c r="R146" s="149">
        <f>IF(invoice[[#This Row],[میزان سفارش]]-invoice[[#This Row],[میزان حمل شده ]]&lt;0,0,invoice[[#This Row],[میزان سفارش]]-invoice[[#This Row],[میزان حمل شده ]])</f>
        <v>0</v>
      </c>
      <c r="S146" s="149">
        <f>invoice[[#This Row],[میزان حمل نشده ]]*invoice[[#This Row],[فی]]</f>
        <v>0</v>
      </c>
    </row>
    <row r="147" spans="1:19" ht="30.6" customHeight="1">
      <c r="A147" s="223" t="s">
        <v>713</v>
      </c>
      <c r="B147" s="150" t="s">
        <v>116</v>
      </c>
      <c r="C147" s="150" t="s">
        <v>697</v>
      </c>
      <c r="D147" s="150" t="s">
        <v>709</v>
      </c>
      <c r="E147" s="243">
        <v>20000</v>
      </c>
      <c r="F147" s="148">
        <v>116500</v>
      </c>
      <c r="G147" s="149" t="str">
        <f>CHOOSE(MID(invoice[[#This Row],[تاریخ]],6,2),"فروردین","اردیبهشت","خرداد","تیر","مرداد","شهریور","مهر","آبان","آذر","دی","بهمن","اسفند")</f>
        <v>مرداد</v>
      </c>
      <c r="H147" s="149">
        <f>_xlfn.NUMBERVALUE(MID(invoice[[#This Row],[تاریخ]],1,4))</f>
        <v>1404</v>
      </c>
      <c r="I147" s="149" t="s">
        <v>240</v>
      </c>
      <c r="J147" s="149" t="s">
        <v>504</v>
      </c>
      <c r="K147" s="151">
        <v>46466</v>
      </c>
      <c r="L147" s="149">
        <f>IF(invoice[[#This Row],[سال]]=year,1,0)</f>
        <v>0</v>
      </c>
      <c r="M147" s="149"/>
      <c r="N147" s="149"/>
      <c r="O147" s="194">
        <f>SUMIF(bargiri[شماره پیش فاکتور],invoice[[#This Row],[شماره پیش فاکتور]],bargiri[میزان بارگیری شده])/invoice[[#This Row],[میزان سفارش]]</f>
        <v>1</v>
      </c>
      <c r="P147" s="149" t="str">
        <f>IF(invoice[[#This Row],[نوع سفارش]]="غیرفعال","عادی",invoice[[#This Row],[نوع سفارش]])</f>
        <v>تعادلی</v>
      </c>
      <c r="Q147" s="149">
        <f>SUMIFS('جزییات بارگیری'!D:D,'جزییات بارگیری'!C:C,invoice[[#This Row],[شماره پیش فاکتور]])</f>
        <v>20000</v>
      </c>
      <c r="R147" s="149">
        <f>IF(invoice[[#This Row],[میزان سفارش]]-invoice[[#This Row],[میزان حمل شده ]]&lt;0,0,invoice[[#This Row],[میزان سفارش]]-invoice[[#This Row],[میزان حمل شده ]])</f>
        <v>0</v>
      </c>
      <c r="S147" s="149">
        <f>invoice[[#This Row],[میزان حمل نشده ]]*invoice[[#This Row],[فی]]</f>
        <v>0</v>
      </c>
    </row>
    <row r="148" spans="1:19" ht="30.6" customHeight="1">
      <c r="A148" s="223" t="s">
        <v>718</v>
      </c>
      <c r="B148" s="150" t="s">
        <v>116</v>
      </c>
      <c r="C148" s="150" t="s">
        <v>714</v>
      </c>
      <c r="D148" s="150" t="s">
        <v>714</v>
      </c>
      <c r="E148" s="243">
        <v>30000</v>
      </c>
      <c r="F148" s="148">
        <v>167500</v>
      </c>
      <c r="G148" s="149" t="str">
        <f>CHOOSE(MID(invoice[[#This Row],[تاریخ]],6,2),"فروردین","اردیبهشت","خرداد","تیر","مرداد","شهریور","مهر","آبان","آذر","دی","بهمن","اسفند")</f>
        <v>مرداد</v>
      </c>
      <c r="H148" s="149">
        <f>_xlfn.NUMBERVALUE(MID(invoice[[#This Row],[تاریخ]],1,4))</f>
        <v>1404</v>
      </c>
      <c r="I148" s="149" t="s">
        <v>242</v>
      </c>
      <c r="J148" s="149" t="s">
        <v>504</v>
      </c>
      <c r="K148" s="151">
        <v>46466</v>
      </c>
      <c r="L148" s="149">
        <f>IF(invoice[[#This Row],[سال]]=year,1,0)</f>
        <v>0</v>
      </c>
      <c r="M148" s="149"/>
      <c r="N148" s="149"/>
      <c r="O148" s="194">
        <f>SUMIF(bargiri[شماره پیش فاکتور],invoice[[#This Row],[شماره پیش فاکتور]],bargiri[میزان بارگیری شده])/invoice[[#This Row],[میزان سفارش]]</f>
        <v>1</v>
      </c>
      <c r="P148" s="149" t="str">
        <f>IF(invoice[[#This Row],[نوع سفارش]]="غیرفعال","عادی",invoice[[#This Row],[نوع سفارش]])</f>
        <v>بورس</v>
      </c>
      <c r="Q148" s="149">
        <f>SUMIFS('جزییات بارگیری'!D:D,'جزییات بارگیری'!C:C,invoice[[#This Row],[شماره پیش فاکتور]])</f>
        <v>30000</v>
      </c>
      <c r="R148" s="149">
        <f>IF(invoice[[#This Row],[میزان سفارش]]-invoice[[#This Row],[میزان حمل شده ]]&lt;0,0,invoice[[#This Row],[میزان سفارش]]-invoice[[#This Row],[میزان حمل شده ]])</f>
        <v>0</v>
      </c>
      <c r="S148" s="149">
        <f>invoice[[#This Row],[میزان حمل نشده ]]*invoice[[#This Row],[فی]]</f>
        <v>0</v>
      </c>
    </row>
    <row r="149" spans="1:19" ht="30.6" customHeight="1">
      <c r="A149" s="223" t="s">
        <v>719</v>
      </c>
      <c r="B149" s="150" t="s">
        <v>121</v>
      </c>
      <c r="C149" s="150" t="s">
        <v>714</v>
      </c>
      <c r="D149" s="150" t="s">
        <v>714</v>
      </c>
      <c r="E149" s="243">
        <v>20000</v>
      </c>
      <c r="F149" s="148">
        <v>167500</v>
      </c>
      <c r="G149" s="149" t="str">
        <f>CHOOSE(MID(invoice[[#This Row],[تاریخ]],6,2),"فروردین","اردیبهشت","خرداد","تیر","مرداد","شهریور","مهر","آبان","آذر","دی","بهمن","اسفند")</f>
        <v>مرداد</v>
      </c>
      <c r="H149" s="149">
        <f>_xlfn.NUMBERVALUE(MID(invoice[[#This Row],[تاریخ]],1,4))</f>
        <v>1404</v>
      </c>
      <c r="I149" s="149" t="s">
        <v>242</v>
      </c>
      <c r="J149" s="149" t="s">
        <v>504</v>
      </c>
      <c r="K149" s="151">
        <v>46466</v>
      </c>
      <c r="L149" s="149">
        <f>IF(invoice[[#This Row],[سال]]=year,1,0)</f>
        <v>0</v>
      </c>
      <c r="M149" s="149"/>
      <c r="N149" s="149"/>
      <c r="O149" s="194">
        <f>SUMIF(bargiri[شماره پیش فاکتور],invoice[[#This Row],[شماره پیش فاکتور]],bargiri[میزان بارگیری شده])/invoice[[#This Row],[میزان سفارش]]</f>
        <v>1</v>
      </c>
      <c r="P149" s="149" t="str">
        <f>IF(invoice[[#This Row],[نوع سفارش]]="غیرفعال","عادی",invoice[[#This Row],[نوع سفارش]])</f>
        <v>بورس</v>
      </c>
      <c r="Q149" s="149">
        <f>SUMIFS('جزییات بارگیری'!D:D,'جزییات بارگیری'!C:C,invoice[[#This Row],[شماره پیش فاکتور]])</f>
        <v>20000</v>
      </c>
      <c r="R149" s="149">
        <f>IF(invoice[[#This Row],[میزان سفارش]]-invoice[[#This Row],[میزان حمل شده ]]&lt;0,0,invoice[[#This Row],[میزان سفارش]]-invoice[[#This Row],[میزان حمل شده ]])</f>
        <v>0</v>
      </c>
      <c r="S149" s="149">
        <f>invoice[[#This Row],[میزان حمل نشده ]]*invoice[[#This Row],[فی]]</f>
        <v>0</v>
      </c>
    </row>
    <row r="150" spans="1:19" ht="30.6" customHeight="1">
      <c r="A150" s="223" t="s">
        <v>720</v>
      </c>
      <c r="B150" s="150" t="s">
        <v>117</v>
      </c>
      <c r="C150" s="150" t="s">
        <v>714</v>
      </c>
      <c r="D150" s="150" t="s">
        <v>714</v>
      </c>
      <c r="E150" s="243">
        <v>20000</v>
      </c>
      <c r="F150" s="148">
        <v>167500</v>
      </c>
      <c r="G150" s="149" t="str">
        <f>CHOOSE(MID(invoice[[#This Row],[تاریخ]],6,2),"فروردین","اردیبهشت","خرداد","تیر","مرداد","شهریور","مهر","آبان","آذر","دی","بهمن","اسفند")</f>
        <v>مرداد</v>
      </c>
      <c r="H150" s="149">
        <f>_xlfn.NUMBERVALUE(MID(invoice[[#This Row],[تاریخ]],1,4))</f>
        <v>1404</v>
      </c>
      <c r="I150" s="149" t="s">
        <v>242</v>
      </c>
      <c r="J150" s="149" t="s">
        <v>504</v>
      </c>
      <c r="K150" s="151">
        <v>46466</v>
      </c>
      <c r="L150" s="149">
        <f>IF(invoice[[#This Row],[سال]]=year,1,0)</f>
        <v>0</v>
      </c>
      <c r="M150" s="149"/>
      <c r="N150" s="149"/>
      <c r="O150" s="194">
        <f>SUMIF(bargiri[شماره پیش فاکتور],invoice[[#This Row],[شماره پیش فاکتور]],bargiri[میزان بارگیری شده])/invoice[[#This Row],[میزان سفارش]]</f>
        <v>1</v>
      </c>
      <c r="P150" s="149" t="str">
        <f>IF(invoice[[#This Row],[نوع سفارش]]="غیرفعال","عادی",invoice[[#This Row],[نوع سفارش]])</f>
        <v>بورس</v>
      </c>
      <c r="Q150" s="149">
        <f>SUMIFS('جزییات بارگیری'!D:D,'جزییات بارگیری'!C:C,invoice[[#This Row],[شماره پیش فاکتور]])</f>
        <v>20000</v>
      </c>
      <c r="R150" s="149">
        <f>IF(invoice[[#This Row],[میزان سفارش]]-invoice[[#This Row],[میزان حمل شده ]]&lt;0,0,invoice[[#This Row],[میزان سفارش]]-invoice[[#This Row],[میزان حمل شده ]])</f>
        <v>0</v>
      </c>
      <c r="S150" s="149">
        <f>invoice[[#This Row],[میزان حمل نشده ]]*invoice[[#This Row],[فی]]</f>
        <v>0</v>
      </c>
    </row>
    <row r="151" spans="1:19" ht="30.6" customHeight="1">
      <c r="A151" s="223" t="s">
        <v>721</v>
      </c>
      <c r="B151" s="150" t="s">
        <v>98</v>
      </c>
      <c r="C151" s="150" t="s">
        <v>714</v>
      </c>
      <c r="D151" s="150" t="s">
        <v>714</v>
      </c>
      <c r="E151" s="243">
        <v>30000</v>
      </c>
      <c r="F151" s="148">
        <v>167500</v>
      </c>
      <c r="G151" s="149" t="str">
        <f>CHOOSE(MID(invoice[[#This Row],[تاریخ]],6,2),"فروردین","اردیبهشت","خرداد","تیر","مرداد","شهریور","مهر","آبان","آذر","دی","بهمن","اسفند")</f>
        <v>مرداد</v>
      </c>
      <c r="H151" s="149">
        <f>_xlfn.NUMBERVALUE(MID(invoice[[#This Row],[تاریخ]],1,4))</f>
        <v>1404</v>
      </c>
      <c r="I151" s="149" t="s">
        <v>242</v>
      </c>
      <c r="J151" s="149" t="s">
        <v>504</v>
      </c>
      <c r="K151" s="151">
        <v>46466</v>
      </c>
      <c r="L151" s="149">
        <f>IF(invoice[[#This Row],[سال]]=year,1,0)</f>
        <v>0</v>
      </c>
      <c r="M151" s="149"/>
      <c r="N151" s="149"/>
      <c r="O151" s="194">
        <f>SUMIF(bargiri[شماره پیش فاکتور],invoice[[#This Row],[شماره پیش فاکتور]],bargiri[میزان بارگیری شده])/invoice[[#This Row],[میزان سفارش]]</f>
        <v>1</v>
      </c>
      <c r="P151" s="149" t="str">
        <f>IF(invoice[[#This Row],[نوع سفارش]]="غیرفعال","عادی",invoice[[#This Row],[نوع سفارش]])</f>
        <v>بورس</v>
      </c>
      <c r="Q151" s="149">
        <f>SUMIFS('جزییات بارگیری'!D:D,'جزییات بارگیری'!C:C,invoice[[#This Row],[شماره پیش فاکتور]])</f>
        <v>30000</v>
      </c>
      <c r="R151" s="149">
        <f>IF(invoice[[#This Row],[میزان سفارش]]-invoice[[#This Row],[میزان حمل شده ]]&lt;0,0,invoice[[#This Row],[میزان سفارش]]-invoice[[#This Row],[میزان حمل شده ]])</f>
        <v>0</v>
      </c>
      <c r="S151" s="149">
        <f>invoice[[#This Row],[میزان حمل نشده ]]*invoice[[#This Row],[فی]]</f>
        <v>0</v>
      </c>
    </row>
    <row r="152" spans="1:19" ht="30.6" customHeight="1">
      <c r="A152" s="223" t="s">
        <v>723</v>
      </c>
      <c r="B152" s="150" t="s">
        <v>116</v>
      </c>
      <c r="C152" s="223" t="s">
        <v>717</v>
      </c>
      <c r="D152" s="150" t="s">
        <v>727</v>
      </c>
      <c r="E152" s="243">
        <v>30000</v>
      </c>
      <c r="F152" s="224">
        <v>116500</v>
      </c>
      <c r="G152" s="149" t="str">
        <f>CHOOSE(MID(invoice[[#This Row],[تاریخ]],6,2),"فروردین","اردیبهشت","خرداد","تیر","مرداد","شهریور","مهر","آبان","آذر","دی","بهمن","اسفند")</f>
        <v>مرداد</v>
      </c>
      <c r="H152" s="149">
        <f>_xlfn.NUMBERVALUE(MID(invoice[[#This Row],[تاریخ]],1,4))</f>
        <v>1404</v>
      </c>
      <c r="I152" s="149" t="s">
        <v>240</v>
      </c>
      <c r="J152" s="149" t="s">
        <v>504</v>
      </c>
      <c r="K152" s="232">
        <v>46466</v>
      </c>
      <c r="L152" s="149">
        <f>IF(invoice[[#This Row],[سال]]=year,1,0)</f>
        <v>0</v>
      </c>
      <c r="M152" s="149"/>
      <c r="N152" s="149"/>
      <c r="O152" s="225">
        <f>SUMIF(bargiri[شماره پیش فاکتور],invoice[[#This Row],[شماره پیش فاکتور]],bargiri[میزان بارگیری شده])/invoice[[#This Row],[میزان سفارش]]</f>
        <v>1</v>
      </c>
      <c r="P152" s="149" t="str">
        <f>IF(invoice[[#This Row],[نوع سفارش]]="غیرفعال","عادی",invoice[[#This Row],[نوع سفارش]])</f>
        <v>تعادلی</v>
      </c>
      <c r="Q152" s="149">
        <f>SUMIFS('جزییات بارگیری'!D:D,'جزییات بارگیری'!C:C,invoice[[#This Row],[شماره پیش فاکتور]])</f>
        <v>30000</v>
      </c>
      <c r="R152" s="149">
        <f>IF(invoice[[#This Row],[میزان سفارش]]-invoice[[#This Row],[میزان حمل شده ]]&lt;0,0,invoice[[#This Row],[میزان سفارش]]-invoice[[#This Row],[میزان حمل شده ]])</f>
        <v>0</v>
      </c>
      <c r="S152" s="149">
        <f>invoice[[#This Row],[میزان حمل نشده ]]*invoice[[#This Row],[فی]]</f>
        <v>0</v>
      </c>
    </row>
    <row r="153" spans="1:19" ht="30.6" customHeight="1">
      <c r="A153" s="223" t="s">
        <v>724</v>
      </c>
      <c r="B153" s="150" t="s">
        <v>121</v>
      </c>
      <c r="C153" s="223" t="s">
        <v>717</v>
      </c>
      <c r="D153" s="150" t="s">
        <v>727</v>
      </c>
      <c r="E153" s="243">
        <v>20000</v>
      </c>
      <c r="F153" s="224">
        <v>116500</v>
      </c>
      <c r="G153" s="149" t="str">
        <f>CHOOSE(MID(invoice[[#This Row],[تاریخ]],6,2),"فروردین","اردیبهشت","خرداد","تیر","مرداد","شهریور","مهر","آبان","آذر","دی","بهمن","اسفند")</f>
        <v>مرداد</v>
      </c>
      <c r="H153" s="149">
        <f>_xlfn.NUMBERVALUE(MID(invoice[[#This Row],[تاریخ]],1,4))</f>
        <v>1404</v>
      </c>
      <c r="I153" s="149" t="s">
        <v>240</v>
      </c>
      <c r="J153" s="149" t="s">
        <v>504</v>
      </c>
      <c r="K153" s="232">
        <v>46466</v>
      </c>
      <c r="L153" s="149">
        <f>IF(invoice[[#This Row],[سال]]=year,1,0)</f>
        <v>0</v>
      </c>
      <c r="M153" s="149"/>
      <c r="N153" s="149"/>
      <c r="O153" s="225">
        <f>SUMIF(bargiri[شماره پیش فاکتور],invoice[[#This Row],[شماره پیش فاکتور]],bargiri[میزان بارگیری شده])/invoice[[#This Row],[میزان سفارش]]</f>
        <v>0</v>
      </c>
      <c r="P153" s="149" t="str">
        <f>IF(invoice[[#This Row],[نوع سفارش]]="غیرفعال","عادی",invoice[[#This Row],[نوع سفارش]])</f>
        <v>تعادلی</v>
      </c>
      <c r="Q153" s="149">
        <f>SUMIFS('جزییات بارگیری'!D:D,'جزییات بارگیری'!C:C,invoice[[#This Row],[شماره پیش فاکتور]])</f>
        <v>0</v>
      </c>
      <c r="R153" s="149">
        <f>IF(invoice[[#This Row],[میزان سفارش]]-invoice[[#This Row],[میزان حمل شده ]]&lt;0,0,invoice[[#This Row],[میزان سفارش]]-invoice[[#This Row],[میزان حمل شده ]])</f>
        <v>20000</v>
      </c>
      <c r="S153" s="149">
        <f>invoice[[#This Row],[میزان حمل نشده ]]*invoice[[#This Row],[فی]]</f>
        <v>2330000000</v>
      </c>
    </row>
    <row r="154" spans="1:19" ht="30.6" customHeight="1">
      <c r="A154" s="223" t="s">
        <v>725</v>
      </c>
      <c r="B154" s="150" t="s">
        <v>117</v>
      </c>
      <c r="C154" s="223" t="s">
        <v>717</v>
      </c>
      <c r="D154" s="150" t="s">
        <v>727</v>
      </c>
      <c r="E154" s="243">
        <v>20000</v>
      </c>
      <c r="F154" s="224">
        <v>116500</v>
      </c>
      <c r="G154" s="149" t="str">
        <f>CHOOSE(MID(invoice[[#This Row],[تاریخ]],6,2),"فروردین","اردیبهشت","خرداد","تیر","مرداد","شهریور","مهر","آبان","آذر","دی","بهمن","اسفند")</f>
        <v>مرداد</v>
      </c>
      <c r="H154" s="149">
        <f>_xlfn.NUMBERVALUE(MID(invoice[[#This Row],[تاریخ]],1,4))</f>
        <v>1404</v>
      </c>
      <c r="I154" s="149" t="s">
        <v>240</v>
      </c>
      <c r="J154" s="149" t="s">
        <v>504</v>
      </c>
      <c r="K154" s="232">
        <v>46466</v>
      </c>
      <c r="L154" s="149">
        <f>IF(invoice[[#This Row],[سال]]=year,1,0)</f>
        <v>0</v>
      </c>
      <c r="M154" s="149"/>
      <c r="N154" s="149"/>
      <c r="O154" s="225">
        <f>SUMIF(bargiri[شماره پیش فاکتور],invoice[[#This Row],[شماره پیش فاکتور]],bargiri[میزان بارگیری شده])/invoice[[#This Row],[میزان سفارش]]</f>
        <v>1</v>
      </c>
      <c r="P154" s="149" t="str">
        <f>IF(invoice[[#This Row],[نوع سفارش]]="غیرفعال","عادی",invoice[[#This Row],[نوع سفارش]])</f>
        <v>تعادلی</v>
      </c>
      <c r="Q154" s="149">
        <f>SUMIFS('جزییات بارگیری'!D:D,'جزییات بارگیری'!C:C,invoice[[#This Row],[شماره پیش فاکتور]])</f>
        <v>20000</v>
      </c>
      <c r="R154" s="149">
        <f>IF(invoice[[#This Row],[میزان سفارش]]-invoice[[#This Row],[میزان حمل شده ]]&lt;0,0,invoice[[#This Row],[میزان سفارش]]-invoice[[#This Row],[میزان حمل شده ]])</f>
        <v>0</v>
      </c>
      <c r="S154" s="149">
        <f>invoice[[#This Row],[میزان حمل نشده ]]*invoice[[#This Row],[فی]]</f>
        <v>0</v>
      </c>
    </row>
    <row r="155" spans="1:19" ht="30.6" customHeight="1">
      <c r="A155" s="223" t="s">
        <v>726</v>
      </c>
      <c r="B155" s="150" t="s">
        <v>98</v>
      </c>
      <c r="C155" s="223" t="s">
        <v>717</v>
      </c>
      <c r="D155" s="150" t="s">
        <v>727</v>
      </c>
      <c r="E155" s="243">
        <v>30000</v>
      </c>
      <c r="F155" s="224">
        <v>116500</v>
      </c>
      <c r="G155" s="149" t="str">
        <f>CHOOSE(MID(invoice[[#This Row],[تاریخ]],6,2),"فروردین","اردیبهشت","خرداد","تیر","مرداد","شهریور","مهر","آبان","آذر","دی","بهمن","اسفند")</f>
        <v>مرداد</v>
      </c>
      <c r="H155" s="149">
        <f>_xlfn.NUMBERVALUE(MID(invoice[[#This Row],[تاریخ]],1,4))</f>
        <v>1404</v>
      </c>
      <c r="I155" s="149" t="s">
        <v>240</v>
      </c>
      <c r="J155" s="149" t="s">
        <v>504</v>
      </c>
      <c r="K155" s="232">
        <v>46466</v>
      </c>
      <c r="L155" s="149">
        <f>IF(invoice[[#This Row],[سال]]=year,1,0)</f>
        <v>0</v>
      </c>
      <c r="M155" s="149"/>
      <c r="N155" s="149"/>
      <c r="O155" s="225">
        <f>SUMIF(bargiri[شماره پیش فاکتور],invoice[[#This Row],[شماره پیش فاکتور]],bargiri[میزان بارگیری شده])/invoice[[#This Row],[میزان سفارش]]</f>
        <v>1</v>
      </c>
      <c r="P155" s="149" t="str">
        <f>IF(invoice[[#This Row],[نوع سفارش]]="غیرفعال","عادی",invoice[[#This Row],[نوع سفارش]])</f>
        <v>تعادلی</v>
      </c>
      <c r="Q155" s="149">
        <f>SUMIFS('جزییات بارگیری'!D:D,'جزییات بارگیری'!C:C,invoice[[#This Row],[شماره پیش فاکتور]])</f>
        <v>30000</v>
      </c>
      <c r="R155" s="149">
        <f>IF(invoice[[#This Row],[میزان سفارش]]-invoice[[#This Row],[میزان حمل شده ]]&lt;0,0,invoice[[#This Row],[میزان سفارش]]-invoice[[#This Row],[میزان حمل شده ]])</f>
        <v>0</v>
      </c>
      <c r="S155" s="149">
        <f>invoice[[#This Row],[میزان حمل نشده ]]*invoice[[#This Row],[فی]]</f>
        <v>0</v>
      </c>
    </row>
    <row r="156" spans="1:19" ht="30.6" customHeight="1">
      <c r="A156" s="223" t="s">
        <v>732</v>
      </c>
      <c r="B156" s="150" t="s">
        <v>731</v>
      </c>
      <c r="C156" s="223" t="s">
        <v>727</v>
      </c>
      <c r="D156" s="150" t="s">
        <v>727</v>
      </c>
      <c r="E156" s="243">
        <v>20000</v>
      </c>
      <c r="F156" s="148">
        <v>160000</v>
      </c>
      <c r="G156" s="149" t="str">
        <f>CHOOSE(MID(invoice[[#This Row],[تاریخ]],6,2),"فروردین","اردیبهشت","خرداد","تیر","مرداد","شهریور","مهر","آبان","آذر","دی","بهمن","اسفند")</f>
        <v>مرداد</v>
      </c>
      <c r="H156" s="149">
        <f>_xlfn.NUMBERVALUE(MID(invoice[[#This Row],[تاریخ]],1,4))</f>
        <v>1404</v>
      </c>
      <c r="I156" s="149" t="s">
        <v>243</v>
      </c>
      <c r="J156" s="149" t="s">
        <v>504</v>
      </c>
      <c r="K156" s="233">
        <v>46466</v>
      </c>
      <c r="L156" s="149">
        <f>IF(invoice[[#This Row],[سال]]=year,1,0)</f>
        <v>0</v>
      </c>
      <c r="M156" s="149"/>
      <c r="N156" s="149"/>
      <c r="O156" s="194">
        <f>SUMIF(bargiri[شماره پیش فاکتور],invoice[[#This Row],[شماره پیش فاکتور]],bargiri[میزان بارگیری شده])/invoice[[#This Row],[میزان سفارش]]</f>
        <v>0.44374999999999998</v>
      </c>
      <c r="P156" s="149" t="str">
        <f>IF(invoice[[#This Row],[نوع سفارش]]="غیرفعال","عادی",invoice[[#This Row],[نوع سفارش]])</f>
        <v>عادی</v>
      </c>
      <c r="Q156" s="149">
        <f>SUMIFS('جزییات بارگیری'!D:D,'جزییات بارگیری'!C:C,invoice[[#This Row],[شماره پیش فاکتور]])</f>
        <v>8875</v>
      </c>
      <c r="R156" s="149">
        <f>IF(invoice[[#This Row],[میزان سفارش]]-invoice[[#This Row],[میزان حمل شده ]]&lt;0,0,invoice[[#This Row],[میزان سفارش]]-invoice[[#This Row],[میزان حمل شده ]])</f>
        <v>11125</v>
      </c>
      <c r="S156" s="149">
        <f>invoice[[#This Row],[میزان حمل نشده ]]*invoice[[#This Row],[فی]]</f>
        <v>1780000000</v>
      </c>
    </row>
    <row r="157" spans="1:19" ht="30.6" customHeight="1">
      <c r="A157" s="223" t="s">
        <v>745</v>
      </c>
      <c r="B157" s="150" t="s">
        <v>116</v>
      </c>
      <c r="C157" s="223" t="s">
        <v>738</v>
      </c>
      <c r="D157" s="223" t="s">
        <v>746</v>
      </c>
      <c r="E157" s="243">
        <v>50000</v>
      </c>
      <c r="F157" s="148">
        <v>167500</v>
      </c>
      <c r="G157" s="149" t="str">
        <f>CHOOSE(MID(invoice[[#This Row],[تاریخ]],6,2),"فروردین","اردیبهشت","خرداد","تیر","مرداد","شهریور","مهر","آبان","آذر","دی","بهمن","اسفند")</f>
        <v>مرداد</v>
      </c>
      <c r="H157" s="149">
        <f>_xlfn.NUMBERVALUE(MID(invoice[[#This Row],[تاریخ]],1,4))</f>
        <v>1404</v>
      </c>
      <c r="I157" s="149" t="s">
        <v>242</v>
      </c>
      <c r="J157" s="149" t="s">
        <v>504</v>
      </c>
      <c r="K157" s="233">
        <v>46466</v>
      </c>
      <c r="L157" s="149">
        <f>IF(invoice[[#This Row],[سال]]=year,1,0)</f>
        <v>0</v>
      </c>
      <c r="M157" s="149"/>
      <c r="N157" s="149"/>
      <c r="O157" s="194">
        <f>SUMIF(bargiri[شماره پیش فاکتور],invoice[[#This Row],[شماره پیش فاکتور]],bargiri[میزان بارگیری شده])/invoice[[#This Row],[میزان سفارش]]</f>
        <v>1</v>
      </c>
      <c r="P157" s="149" t="str">
        <f>IF(invoice[[#This Row],[نوع سفارش]]="غیرفعال","عادی",invoice[[#This Row],[نوع سفارش]])</f>
        <v>بورس</v>
      </c>
      <c r="Q157" s="149">
        <f>SUMIFS('جزییات بارگیری'!D:D,'جزییات بارگیری'!C:C,invoice[[#This Row],[شماره پیش فاکتور]])</f>
        <v>50000</v>
      </c>
      <c r="R157" s="149">
        <f>IF(invoice[[#This Row],[میزان سفارش]]-invoice[[#This Row],[میزان حمل شده ]]&lt;0,0,invoice[[#This Row],[میزان سفارش]]-invoice[[#This Row],[میزان حمل شده ]])</f>
        <v>0</v>
      </c>
      <c r="S157" s="149">
        <f>invoice[[#This Row],[میزان حمل نشده ]]*invoice[[#This Row],[فی]]</f>
        <v>0</v>
      </c>
    </row>
    <row r="158" spans="1:19" ht="30.6" customHeight="1">
      <c r="A158" s="223" t="s">
        <v>747</v>
      </c>
      <c r="B158" s="150" t="s">
        <v>121</v>
      </c>
      <c r="C158" s="223" t="s">
        <v>738</v>
      </c>
      <c r="D158" s="223" t="s">
        <v>746</v>
      </c>
      <c r="E158" s="243">
        <v>20000</v>
      </c>
      <c r="F158" s="148">
        <v>167500</v>
      </c>
      <c r="G158" s="149" t="str">
        <f>CHOOSE(MID(invoice[[#This Row],[تاریخ]],6,2),"فروردین","اردیبهشت","خرداد","تیر","مرداد","شهریور","مهر","آبان","آذر","دی","بهمن","اسفند")</f>
        <v>مرداد</v>
      </c>
      <c r="H158" s="149">
        <f>_xlfn.NUMBERVALUE(MID(invoice[[#This Row],[تاریخ]],1,4))</f>
        <v>1404</v>
      </c>
      <c r="I158" s="149" t="s">
        <v>242</v>
      </c>
      <c r="J158" s="149" t="s">
        <v>504</v>
      </c>
      <c r="K158" s="233">
        <v>46466</v>
      </c>
      <c r="L158" s="149">
        <f>IF(invoice[[#This Row],[سال]]=year,1,0)</f>
        <v>0</v>
      </c>
      <c r="M158" s="149"/>
      <c r="N158" s="149"/>
      <c r="O158" s="194">
        <f>SUMIF(bargiri[شماره پیش فاکتور],invoice[[#This Row],[شماره پیش فاکتور]],bargiri[میزان بارگیری شده])/invoice[[#This Row],[میزان سفارش]]</f>
        <v>0</v>
      </c>
      <c r="P158" s="149" t="str">
        <f>IF(invoice[[#This Row],[نوع سفارش]]="غیرفعال","عادی",invoice[[#This Row],[نوع سفارش]])</f>
        <v>بورس</v>
      </c>
      <c r="Q158" s="149">
        <f>SUMIFS('جزییات بارگیری'!D:D,'جزییات بارگیری'!C:C,invoice[[#This Row],[شماره پیش فاکتور]])</f>
        <v>0</v>
      </c>
      <c r="R158" s="149">
        <f>IF(invoice[[#This Row],[میزان سفارش]]-invoice[[#This Row],[میزان حمل شده ]]&lt;0,0,invoice[[#This Row],[میزان سفارش]]-invoice[[#This Row],[میزان حمل شده ]])</f>
        <v>20000</v>
      </c>
      <c r="S158" s="149">
        <f>invoice[[#This Row],[میزان حمل نشده ]]*invoice[[#This Row],[فی]]</f>
        <v>3350000000</v>
      </c>
    </row>
    <row r="159" spans="1:19" ht="30.6" customHeight="1">
      <c r="A159" s="223" t="s">
        <v>748</v>
      </c>
      <c r="B159" s="150" t="s">
        <v>117</v>
      </c>
      <c r="C159" s="223" t="s">
        <v>738</v>
      </c>
      <c r="D159" s="223" t="s">
        <v>746</v>
      </c>
      <c r="E159" s="243">
        <v>30000</v>
      </c>
      <c r="F159" s="148">
        <v>167500</v>
      </c>
      <c r="G159" s="149" t="str">
        <f>CHOOSE(MID(invoice[[#This Row],[تاریخ]],6,2),"فروردین","اردیبهشت","خرداد","تیر","مرداد","شهریور","مهر","آبان","آذر","دی","بهمن","اسفند")</f>
        <v>مرداد</v>
      </c>
      <c r="H159" s="149">
        <f>_xlfn.NUMBERVALUE(MID(invoice[[#This Row],[تاریخ]],1,4))</f>
        <v>1404</v>
      </c>
      <c r="I159" s="149" t="s">
        <v>242</v>
      </c>
      <c r="J159" s="149" t="s">
        <v>504</v>
      </c>
      <c r="K159" s="233">
        <v>46466</v>
      </c>
      <c r="L159" s="149">
        <f>IF(invoice[[#This Row],[سال]]=year,1,0)</f>
        <v>0</v>
      </c>
      <c r="M159" s="149"/>
      <c r="N159" s="149"/>
      <c r="O159" s="194">
        <f>SUMIF(bargiri[شماره پیش فاکتور],invoice[[#This Row],[شماره پیش فاکتور]],bargiri[میزان بارگیری شده])/invoice[[#This Row],[میزان سفارش]]</f>
        <v>1</v>
      </c>
      <c r="P159" s="149" t="str">
        <f>IF(invoice[[#This Row],[نوع سفارش]]="غیرفعال","عادی",invoice[[#This Row],[نوع سفارش]])</f>
        <v>بورس</v>
      </c>
      <c r="Q159" s="149">
        <f>SUMIFS('جزییات بارگیری'!D:D,'جزییات بارگیری'!C:C,invoice[[#This Row],[شماره پیش فاکتور]])</f>
        <v>30000</v>
      </c>
      <c r="R159" s="149">
        <f>IF(invoice[[#This Row],[میزان سفارش]]-invoice[[#This Row],[میزان حمل شده ]]&lt;0,0,invoice[[#This Row],[میزان سفارش]]-invoice[[#This Row],[میزان حمل شده ]])</f>
        <v>0</v>
      </c>
      <c r="S159" s="149">
        <f>invoice[[#This Row],[میزان حمل نشده ]]*invoice[[#This Row],[فی]]</f>
        <v>0</v>
      </c>
    </row>
    <row r="160" spans="1:19" ht="30.6" customHeight="1">
      <c r="A160" s="223" t="s">
        <v>755</v>
      </c>
      <c r="B160" s="150" t="s">
        <v>116</v>
      </c>
      <c r="C160" s="223" t="s">
        <v>743</v>
      </c>
      <c r="D160" s="223" t="s">
        <v>753</v>
      </c>
      <c r="E160" s="243">
        <v>50000</v>
      </c>
      <c r="F160" s="148">
        <v>116500</v>
      </c>
      <c r="G160" s="149" t="str">
        <f>CHOOSE(MID(invoice[[#This Row],[تاریخ]],6,2),"فروردین","اردیبهشت","خرداد","تیر","مرداد","شهریور","مهر","آبان","آذر","دی","بهمن","اسفند")</f>
        <v>شهریور</v>
      </c>
      <c r="H160" s="149">
        <f>_xlfn.NUMBERVALUE(MID(invoice[[#This Row],[تاریخ]],1,4))</f>
        <v>1404</v>
      </c>
      <c r="I160" s="149" t="s">
        <v>240</v>
      </c>
      <c r="J160" s="149" t="s">
        <v>504</v>
      </c>
      <c r="K160" s="233">
        <v>46466</v>
      </c>
      <c r="L160" s="149">
        <f>IF(invoice[[#This Row],[سال]]=year,1,0)</f>
        <v>0</v>
      </c>
      <c r="M160" s="149"/>
      <c r="N160" s="149"/>
      <c r="O160" s="194">
        <f>SUMIF(bargiri[شماره پیش فاکتور],invoice[[#This Row],[شماره پیش فاکتور]],bargiri[میزان بارگیری شده])/invoice[[#This Row],[میزان سفارش]]</f>
        <v>1</v>
      </c>
      <c r="P160" s="149" t="str">
        <f>IF(invoice[[#This Row],[نوع سفارش]]="غیرفعال","عادی",invoice[[#This Row],[نوع سفارش]])</f>
        <v>تعادلی</v>
      </c>
      <c r="Q160" s="149">
        <f>SUMIFS('جزییات بارگیری'!D:D,'جزییات بارگیری'!C:C,invoice[[#This Row],[شماره پیش فاکتور]])</f>
        <v>50000</v>
      </c>
      <c r="R160" s="149">
        <f>IF(invoice[[#This Row],[میزان سفارش]]-invoice[[#This Row],[میزان حمل شده ]]&lt;0,0,invoice[[#This Row],[میزان سفارش]]-invoice[[#This Row],[میزان حمل شده ]])</f>
        <v>0</v>
      </c>
      <c r="S160" s="149">
        <f>invoice[[#This Row],[میزان حمل نشده ]]*invoice[[#This Row],[فی]]</f>
        <v>0</v>
      </c>
    </row>
    <row r="161" spans="1:19" ht="30.6" customHeight="1">
      <c r="A161" s="223" t="s">
        <v>756</v>
      </c>
      <c r="B161" s="150" t="s">
        <v>121</v>
      </c>
      <c r="C161" s="223" t="s">
        <v>743</v>
      </c>
      <c r="D161" s="223" t="s">
        <v>753</v>
      </c>
      <c r="E161" s="243">
        <v>20000</v>
      </c>
      <c r="F161" s="148">
        <v>116500</v>
      </c>
      <c r="G161" s="149" t="str">
        <f>CHOOSE(MID(invoice[[#This Row],[تاریخ]],6,2),"فروردین","اردیبهشت","خرداد","تیر","مرداد","شهریور","مهر","آبان","آذر","دی","بهمن","اسفند")</f>
        <v>شهریور</v>
      </c>
      <c r="H161" s="149">
        <f>_xlfn.NUMBERVALUE(MID(invoice[[#This Row],[تاریخ]],1,4))</f>
        <v>1404</v>
      </c>
      <c r="I161" s="149" t="s">
        <v>240</v>
      </c>
      <c r="J161" s="149" t="s">
        <v>504</v>
      </c>
      <c r="K161" s="233">
        <v>46466</v>
      </c>
      <c r="L161" s="149">
        <f>IF(invoice[[#This Row],[سال]]=year,1,0)</f>
        <v>0</v>
      </c>
      <c r="M161" s="149"/>
      <c r="N161" s="149"/>
      <c r="O161" s="194">
        <f>SUMIF(bargiri[شماره پیش فاکتور],invoice[[#This Row],[شماره پیش فاکتور]],bargiri[میزان بارگیری شده])/invoice[[#This Row],[میزان سفارش]]</f>
        <v>0</v>
      </c>
      <c r="P161" s="149" t="str">
        <f>IF(invoice[[#This Row],[نوع سفارش]]="غیرفعال","عادی",invoice[[#This Row],[نوع سفارش]])</f>
        <v>تعادلی</v>
      </c>
      <c r="Q161" s="149">
        <f>SUMIFS('جزییات بارگیری'!D:D,'جزییات بارگیری'!C:C,invoice[[#This Row],[شماره پیش فاکتور]])</f>
        <v>0</v>
      </c>
      <c r="R161" s="149">
        <f>IF(invoice[[#This Row],[میزان سفارش]]-invoice[[#This Row],[میزان حمل شده ]]&lt;0,0,invoice[[#This Row],[میزان سفارش]]-invoice[[#This Row],[میزان حمل شده ]])</f>
        <v>20000</v>
      </c>
      <c r="S161" s="149">
        <f>invoice[[#This Row],[میزان حمل نشده ]]*invoice[[#This Row],[فی]]</f>
        <v>2330000000</v>
      </c>
    </row>
    <row r="162" spans="1:19" ht="30.6" customHeight="1">
      <c r="A162" s="223" t="s">
        <v>757</v>
      </c>
      <c r="B162" s="150" t="s">
        <v>117</v>
      </c>
      <c r="C162" s="223" t="s">
        <v>743</v>
      </c>
      <c r="D162" s="223" t="s">
        <v>753</v>
      </c>
      <c r="E162" s="243">
        <v>30000</v>
      </c>
      <c r="F162" s="148">
        <v>116500</v>
      </c>
      <c r="G162" s="149" t="str">
        <f>CHOOSE(MID(invoice[[#This Row],[تاریخ]],6,2),"فروردین","اردیبهشت","خرداد","تیر","مرداد","شهریور","مهر","آبان","آذر","دی","بهمن","اسفند")</f>
        <v>شهریور</v>
      </c>
      <c r="H162" s="149">
        <f>_xlfn.NUMBERVALUE(MID(invoice[[#This Row],[تاریخ]],1,4))</f>
        <v>1404</v>
      </c>
      <c r="I162" s="149" t="s">
        <v>240</v>
      </c>
      <c r="J162" s="149" t="s">
        <v>504</v>
      </c>
      <c r="K162" s="233">
        <v>46466</v>
      </c>
      <c r="L162" s="149">
        <f>IF(invoice[[#This Row],[سال]]=year,1,0)</f>
        <v>0</v>
      </c>
      <c r="M162" s="149"/>
      <c r="N162" s="149"/>
      <c r="O162" s="194">
        <f>SUMIF(bargiri[شماره پیش فاکتور],invoice[[#This Row],[شماره پیش فاکتور]],bargiri[میزان بارگیری شده])/invoice[[#This Row],[میزان سفارش]]</f>
        <v>1</v>
      </c>
      <c r="P162" s="149" t="str">
        <f>IF(invoice[[#This Row],[نوع سفارش]]="غیرفعال","عادی",invoice[[#This Row],[نوع سفارش]])</f>
        <v>تعادلی</v>
      </c>
      <c r="Q162" s="149">
        <f>SUMIFS('جزییات بارگیری'!D:D,'جزییات بارگیری'!C:C,invoice[[#This Row],[شماره پیش فاکتور]])</f>
        <v>30000</v>
      </c>
      <c r="R162" s="149">
        <f>IF(invoice[[#This Row],[میزان سفارش]]-invoice[[#This Row],[میزان حمل شده ]]&lt;0,0,invoice[[#This Row],[میزان سفارش]]-invoice[[#This Row],[میزان حمل شده ]])</f>
        <v>0</v>
      </c>
      <c r="S162" s="149">
        <f>invoice[[#This Row],[میزان حمل نشده ]]*invoice[[#This Row],[فی]]</f>
        <v>0</v>
      </c>
    </row>
    <row r="163" spans="1:19" ht="30.6" customHeight="1">
      <c r="A163" s="223" t="s">
        <v>775</v>
      </c>
      <c r="B163" s="150" t="s">
        <v>116</v>
      </c>
      <c r="C163" s="150" t="s">
        <v>762</v>
      </c>
      <c r="D163" s="150" t="s">
        <v>767</v>
      </c>
      <c r="E163" s="243">
        <v>60000</v>
      </c>
      <c r="F163" s="148">
        <v>74000</v>
      </c>
      <c r="G163" s="149" t="str">
        <f>CHOOSE(MID(invoice[[#This Row],[تاریخ]],6,2),"فروردین","اردیبهشت","خرداد","تیر","مرداد","شهریور","مهر","آبان","آذر","دی","بهمن","اسفند")</f>
        <v>شهریور</v>
      </c>
      <c r="H163" s="149">
        <f>_xlfn.NUMBERVALUE(MID(invoice[[#This Row],[تاریخ]],1,4))</f>
        <v>1404</v>
      </c>
      <c r="I163" s="149" t="s">
        <v>240</v>
      </c>
      <c r="J163" s="149" t="s">
        <v>504</v>
      </c>
      <c r="K163" s="233">
        <v>46466</v>
      </c>
      <c r="L163" s="149">
        <f>IF(invoice[[#This Row],[سال]]=year,1,0)</f>
        <v>0</v>
      </c>
      <c r="M163" s="149"/>
      <c r="N163" s="149"/>
      <c r="O163" s="194">
        <f>SUMIF(bargiri[شماره پیش فاکتور],invoice[[#This Row],[شماره پیش فاکتور]],bargiri[میزان بارگیری شده])/invoice[[#This Row],[میزان سفارش]]</f>
        <v>1</v>
      </c>
      <c r="P163" s="149" t="str">
        <f>IF(invoice[[#This Row],[نوع سفارش]]="غیرفعال","عادی",invoice[[#This Row],[نوع سفارش]])</f>
        <v>تعادلی</v>
      </c>
      <c r="Q163" s="149">
        <f>SUMIFS('جزییات بارگیری'!D:D,'جزییات بارگیری'!C:C,invoice[[#This Row],[شماره پیش فاکتور]])</f>
        <v>60000</v>
      </c>
      <c r="R163" s="149">
        <f>IF(invoice[[#This Row],[میزان سفارش]]-invoice[[#This Row],[میزان حمل شده ]]&lt;0,0,invoice[[#This Row],[میزان سفارش]]-invoice[[#This Row],[میزان حمل شده ]])</f>
        <v>0</v>
      </c>
      <c r="S163" s="149">
        <f>invoice[[#This Row],[میزان حمل نشده ]]*invoice[[#This Row],[فی]]</f>
        <v>0</v>
      </c>
    </row>
    <row r="164" spans="1:19" ht="30.6" customHeight="1">
      <c r="A164" s="223" t="s">
        <v>776</v>
      </c>
      <c r="B164" s="150" t="s">
        <v>104</v>
      </c>
      <c r="C164" s="150" t="s">
        <v>754</v>
      </c>
      <c r="D164" s="150" t="s">
        <v>754</v>
      </c>
      <c r="E164" s="243">
        <v>20000</v>
      </c>
      <c r="F164" s="148">
        <v>210000</v>
      </c>
      <c r="G164" s="149" t="str">
        <f>CHOOSE(MID(invoice[[#This Row],[تاریخ]],6,2),"فروردین","اردیبهشت","خرداد","تیر","مرداد","شهریور","مهر","آبان","آذر","دی","بهمن","اسفند")</f>
        <v>شهریور</v>
      </c>
      <c r="H164" s="149">
        <f>_xlfn.NUMBERVALUE(MID(invoice[[#This Row],[تاریخ]],1,4))</f>
        <v>1404</v>
      </c>
      <c r="I164" s="149" t="s">
        <v>242</v>
      </c>
      <c r="J164" s="149" t="s">
        <v>504</v>
      </c>
      <c r="K164" s="233">
        <v>46466</v>
      </c>
      <c r="L164" s="149">
        <f>IF(invoice[[#This Row],[سال]]=year,1,0)</f>
        <v>0</v>
      </c>
      <c r="M164" s="149"/>
      <c r="N164" s="149"/>
      <c r="O164" s="194">
        <f>SUMIF(bargiri[شماره پیش فاکتور],invoice[[#This Row],[شماره پیش فاکتور]],bargiri[میزان بارگیری شده])/invoice[[#This Row],[میزان سفارش]]</f>
        <v>1</v>
      </c>
      <c r="P164" s="149" t="str">
        <f>IF(invoice[[#This Row],[نوع سفارش]]="غیرفعال","عادی",invoice[[#This Row],[نوع سفارش]])</f>
        <v>بورس</v>
      </c>
      <c r="Q164" s="149">
        <f>SUMIFS('جزییات بارگیری'!D:D,'جزییات بارگیری'!C:C,invoice[[#This Row],[شماره پیش فاکتور]])</f>
        <v>20000</v>
      </c>
      <c r="R164" s="149">
        <f>IF(invoice[[#This Row],[میزان سفارش]]-invoice[[#This Row],[میزان حمل شده ]]&lt;0,0,invoice[[#This Row],[میزان سفارش]]-invoice[[#This Row],[میزان حمل شده ]])</f>
        <v>0</v>
      </c>
      <c r="S164" s="149">
        <f>invoice[[#This Row],[میزان حمل نشده ]]*invoice[[#This Row],[فی]]</f>
        <v>0</v>
      </c>
    </row>
    <row r="165" spans="1:19" ht="30.6" customHeight="1">
      <c r="A165" s="223" t="s">
        <v>777</v>
      </c>
      <c r="B165" s="150" t="s">
        <v>101</v>
      </c>
      <c r="C165" s="150" t="s">
        <v>754</v>
      </c>
      <c r="D165" s="150" t="s">
        <v>754</v>
      </c>
      <c r="E165" s="243">
        <v>20000</v>
      </c>
      <c r="F165" s="148">
        <v>196009</v>
      </c>
      <c r="G165" s="149" t="str">
        <f>CHOOSE(MID(invoice[[#This Row],[تاریخ]],6,2),"فروردین","اردیبهشت","خرداد","تیر","مرداد","شهریور","مهر","آبان","آذر","دی","بهمن","اسفند")</f>
        <v>شهریور</v>
      </c>
      <c r="H165" s="149">
        <f>_xlfn.NUMBERVALUE(MID(invoice[[#This Row],[تاریخ]],1,4))</f>
        <v>1404</v>
      </c>
      <c r="I165" s="149" t="s">
        <v>242</v>
      </c>
      <c r="J165" s="149" t="s">
        <v>504</v>
      </c>
      <c r="K165" s="233">
        <v>46466</v>
      </c>
      <c r="L165" s="149">
        <f>IF(invoice[[#This Row],[سال]]=year,1,0)</f>
        <v>0</v>
      </c>
      <c r="M165" s="149"/>
      <c r="N165" s="149"/>
      <c r="O165" s="194">
        <f>SUMIF(bargiri[شماره پیش فاکتور],invoice[[#This Row],[شماره پیش فاکتور]],bargiri[میزان بارگیری شده])/invoice[[#This Row],[میزان سفارش]]</f>
        <v>1</v>
      </c>
      <c r="P165" s="149" t="str">
        <f>IF(invoice[[#This Row],[نوع سفارش]]="غیرفعال","عادی",invoice[[#This Row],[نوع سفارش]])</f>
        <v>بورس</v>
      </c>
      <c r="Q165" s="149">
        <f>SUMIFS('جزییات بارگیری'!D:D,'جزییات بارگیری'!C:C,invoice[[#This Row],[شماره پیش فاکتور]])</f>
        <v>20000</v>
      </c>
      <c r="R165" s="149">
        <f>IF(invoice[[#This Row],[میزان سفارش]]-invoice[[#This Row],[میزان حمل شده ]]&lt;0,0,invoice[[#This Row],[میزان سفارش]]-invoice[[#This Row],[میزان حمل شده ]])</f>
        <v>0</v>
      </c>
      <c r="S165" s="149">
        <f>invoice[[#This Row],[میزان حمل نشده ]]*invoice[[#This Row],[فی]]</f>
        <v>0</v>
      </c>
    </row>
    <row r="166" spans="1:19" ht="30.6" customHeight="1">
      <c r="A166" s="223" t="s">
        <v>778</v>
      </c>
      <c r="B166" s="150" t="s">
        <v>116</v>
      </c>
      <c r="C166" s="150" t="s">
        <v>754</v>
      </c>
      <c r="D166" s="150" t="s">
        <v>754</v>
      </c>
      <c r="E166" s="243">
        <v>60000</v>
      </c>
      <c r="F166" s="148">
        <v>210000</v>
      </c>
      <c r="G166" s="149" t="str">
        <f>CHOOSE(MID(invoice[[#This Row],[تاریخ]],6,2),"فروردین","اردیبهشت","خرداد","تیر","مرداد","شهریور","مهر","آبان","آذر","دی","بهمن","اسفند")</f>
        <v>شهریور</v>
      </c>
      <c r="H166" s="149">
        <f>_xlfn.NUMBERVALUE(MID(invoice[[#This Row],[تاریخ]],1,4))</f>
        <v>1404</v>
      </c>
      <c r="I166" s="149" t="s">
        <v>242</v>
      </c>
      <c r="J166" s="149" t="s">
        <v>504</v>
      </c>
      <c r="K166" s="233">
        <v>46466</v>
      </c>
      <c r="L166" s="149">
        <f>IF(invoice[[#This Row],[سال]]=year,1,0)</f>
        <v>0</v>
      </c>
      <c r="M166" s="149"/>
      <c r="N166" s="149"/>
      <c r="O166" s="194">
        <f>SUMIF(bargiri[شماره پیش فاکتور],invoice[[#This Row],[شماره پیش فاکتور]],bargiri[میزان بارگیری شده])/invoice[[#This Row],[میزان سفارش]]</f>
        <v>1</v>
      </c>
      <c r="P166" s="149" t="str">
        <f>IF(invoice[[#This Row],[نوع سفارش]]="غیرفعال","عادی",invoice[[#This Row],[نوع سفارش]])</f>
        <v>بورس</v>
      </c>
      <c r="Q166" s="149">
        <f>SUMIFS('جزییات بارگیری'!D:D,'جزییات بارگیری'!C:C,invoice[[#This Row],[شماره پیش فاکتور]])</f>
        <v>60000</v>
      </c>
      <c r="R166" s="149">
        <f>IF(invoice[[#This Row],[میزان سفارش]]-invoice[[#This Row],[میزان حمل شده ]]&lt;0,0,invoice[[#This Row],[میزان سفارش]]-invoice[[#This Row],[میزان حمل شده ]])</f>
        <v>0</v>
      </c>
      <c r="S166" s="149">
        <f>invoice[[#This Row],[میزان حمل نشده ]]*invoice[[#This Row],[فی]]</f>
        <v>0</v>
      </c>
    </row>
    <row r="167" spans="1:19" ht="30.6" customHeight="1">
      <c r="A167" s="223" t="s">
        <v>779</v>
      </c>
      <c r="B167" s="150" t="s">
        <v>104</v>
      </c>
      <c r="C167" s="150" t="s">
        <v>762</v>
      </c>
      <c r="D167" s="150" t="s">
        <v>767</v>
      </c>
      <c r="E167" s="243">
        <v>20000</v>
      </c>
      <c r="F167" s="148">
        <v>74000</v>
      </c>
      <c r="G167" s="149" t="str">
        <f>CHOOSE(MID(invoice[[#This Row],[تاریخ]],6,2),"فروردین","اردیبهشت","خرداد","تیر","مرداد","شهریور","مهر","آبان","آذر","دی","بهمن","اسفند")</f>
        <v>شهریور</v>
      </c>
      <c r="H167" s="149">
        <f>_xlfn.NUMBERVALUE(MID(invoice[[#This Row],[تاریخ]],1,4))</f>
        <v>1404</v>
      </c>
      <c r="I167" s="149" t="s">
        <v>240</v>
      </c>
      <c r="J167" s="149" t="s">
        <v>504</v>
      </c>
      <c r="K167" s="233">
        <v>46466</v>
      </c>
      <c r="L167" s="149">
        <f>IF(invoice[[#This Row],[سال]]=year,1,0)</f>
        <v>0</v>
      </c>
      <c r="M167" s="149"/>
      <c r="N167" s="149"/>
      <c r="O167" s="194">
        <f>SUMIF(bargiri[شماره پیش فاکتور],invoice[[#This Row],[شماره پیش فاکتور]],bargiri[میزان بارگیری شده])/invoice[[#This Row],[میزان سفارش]]</f>
        <v>1</v>
      </c>
      <c r="P167" s="149" t="str">
        <f>IF(invoice[[#This Row],[نوع سفارش]]="غیرفعال","عادی",invoice[[#This Row],[نوع سفارش]])</f>
        <v>تعادلی</v>
      </c>
      <c r="Q167" s="149">
        <f>SUMIFS('جزییات بارگیری'!D:D,'جزییات بارگیری'!C:C,invoice[[#This Row],[شماره پیش فاکتور]])</f>
        <v>20000</v>
      </c>
      <c r="R167" s="149">
        <f>IF(invoice[[#This Row],[میزان سفارش]]-invoice[[#This Row],[میزان حمل شده ]]&lt;0,0,invoice[[#This Row],[میزان سفارش]]-invoice[[#This Row],[میزان حمل شده ]])</f>
        <v>0</v>
      </c>
      <c r="S167" s="149">
        <f>invoice[[#This Row],[میزان حمل نشده ]]*invoice[[#This Row],[فی]]</f>
        <v>0</v>
      </c>
    </row>
    <row r="168" spans="1:19" ht="30.6" customHeight="1">
      <c r="A168" s="223" t="s">
        <v>780</v>
      </c>
      <c r="B168" s="150" t="s">
        <v>101</v>
      </c>
      <c r="C168" s="150" t="s">
        <v>762</v>
      </c>
      <c r="D168" s="150" t="s">
        <v>767</v>
      </c>
      <c r="E168" s="243">
        <v>20000</v>
      </c>
      <c r="F168" s="148">
        <v>87991</v>
      </c>
      <c r="G168" s="149" t="str">
        <f>CHOOSE(MID(invoice[[#This Row],[تاریخ]],6,2),"فروردین","اردیبهشت","خرداد","تیر","مرداد","شهریور","مهر","آبان","آذر","دی","بهمن","اسفند")</f>
        <v>شهریور</v>
      </c>
      <c r="H168" s="149">
        <f>_xlfn.NUMBERVALUE(MID(invoice[[#This Row],[تاریخ]],1,4))</f>
        <v>1404</v>
      </c>
      <c r="I168" s="149" t="s">
        <v>240</v>
      </c>
      <c r="J168" s="149" t="s">
        <v>504</v>
      </c>
      <c r="K168" s="233">
        <v>46466</v>
      </c>
      <c r="L168" s="149">
        <f>IF(invoice[[#This Row],[سال]]=year,1,0)</f>
        <v>0</v>
      </c>
      <c r="M168" s="149"/>
      <c r="N168" s="149"/>
      <c r="O168" s="194">
        <f>SUMIF(bargiri[شماره پیش فاکتور],invoice[[#This Row],[شماره پیش فاکتور]],bargiri[میزان بارگیری شده])/invoice[[#This Row],[میزان سفارش]]</f>
        <v>1</v>
      </c>
      <c r="P168" s="149" t="str">
        <f>IF(invoice[[#This Row],[نوع سفارش]]="غیرفعال","عادی",invoice[[#This Row],[نوع سفارش]])</f>
        <v>تعادلی</v>
      </c>
      <c r="Q168" s="149">
        <f>SUMIFS('جزییات بارگیری'!D:D,'جزییات بارگیری'!C:C,invoice[[#This Row],[شماره پیش فاکتور]])</f>
        <v>20000</v>
      </c>
      <c r="R168" s="149">
        <f>IF(invoice[[#This Row],[میزان سفارش]]-invoice[[#This Row],[میزان حمل شده ]]&lt;0,0,invoice[[#This Row],[میزان سفارش]]-invoice[[#This Row],[میزان حمل شده ]])</f>
        <v>0</v>
      </c>
      <c r="S168" s="149">
        <f>invoice[[#This Row],[میزان حمل نشده ]]*invoice[[#This Row],[فی]]</f>
        <v>0</v>
      </c>
    </row>
    <row r="169" spans="1:19" ht="30.6" customHeight="1">
      <c r="A169" s="223" t="s">
        <v>781</v>
      </c>
      <c r="B169" s="150" t="s">
        <v>106</v>
      </c>
      <c r="C169" s="150" t="s">
        <v>772</v>
      </c>
      <c r="D169" s="151">
        <v>45923</v>
      </c>
      <c r="E169" s="243">
        <v>500000</v>
      </c>
      <c r="F169" s="148">
        <v>111000</v>
      </c>
      <c r="G169" s="149" t="str">
        <f>CHOOSE(MID(invoice[[#This Row],[تاریخ]],6,2),"فروردین","اردیبهشت","خرداد","تیر","مرداد","شهریور","مهر","آبان","آذر","دی","بهمن","اسفند")</f>
        <v>شهریور</v>
      </c>
      <c r="H169" s="149">
        <f>_xlfn.NUMBERVALUE(MID(invoice[[#This Row],[تاریخ]],1,4))</f>
        <v>1404</v>
      </c>
      <c r="I169" s="149" t="s">
        <v>243</v>
      </c>
      <c r="J169" s="149" t="s">
        <v>504</v>
      </c>
      <c r="K169" s="233">
        <v>46466</v>
      </c>
      <c r="L169" s="149">
        <f>IF(invoice[[#This Row],[سال]]=year,1,0)</f>
        <v>0</v>
      </c>
      <c r="M169" s="149"/>
      <c r="N169" s="149"/>
      <c r="O169" s="194">
        <f>SUMIF(bargiri[شماره پیش فاکتور],invoice[[#This Row],[شماره پیش فاکتور]],bargiri[میزان بارگیری شده])/invoice[[#This Row],[میزان سفارش]]</f>
        <v>1</v>
      </c>
      <c r="P169" s="149" t="str">
        <f>IF(invoice[[#This Row],[نوع سفارش]]="غیرفعال","عادی",invoice[[#This Row],[نوع سفارش]])</f>
        <v>عادی</v>
      </c>
      <c r="Q169" s="149">
        <f>SUMIFS('جزییات بارگیری'!D:D,'جزییات بارگیری'!C:C,invoice[[#This Row],[شماره پیش فاکتور]])</f>
        <v>500000</v>
      </c>
      <c r="R169" s="149">
        <f>IF(invoice[[#This Row],[میزان سفارش]]-invoice[[#This Row],[میزان حمل شده ]]&lt;0,0,invoice[[#This Row],[میزان سفارش]]-invoice[[#This Row],[میزان حمل شده ]])</f>
        <v>0</v>
      </c>
      <c r="S169" s="149">
        <f>invoice[[#This Row],[میزان حمل نشده ]]*invoice[[#This Row],[فی]]</f>
        <v>0</v>
      </c>
    </row>
    <row r="170" spans="1:19" ht="30.6" customHeight="1">
      <c r="A170" s="223" t="s">
        <v>782</v>
      </c>
      <c r="B170" s="150" t="s">
        <v>116</v>
      </c>
      <c r="C170" s="150" t="s">
        <v>768</v>
      </c>
      <c r="D170" s="151" t="s">
        <v>768</v>
      </c>
      <c r="E170" s="243">
        <v>50000</v>
      </c>
      <c r="F170" s="148">
        <v>167500</v>
      </c>
      <c r="G170" s="149" t="str">
        <f>CHOOSE(MID(invoice[[#This Row],[تاریخ]],6,2),"فروردین","اردیبهشت","خرداد","تیر","مرداد","شهریور","مهر","آبان","آذر","دی","بهمن","اسفند")</f>
        <v>شهریور</v>
      </c>
      <c r="H170" s="149">
        <f>_xlfn.NUMBERVALUE(MID(invoice[[#This Row],[تاریخ]],1,4))</f>
        <v>1404</v>
      </c>
      <c r="I170" s="149" t="s">
        <v>242</v>
      </c>
      <c r="J170" s="149" t="s">
        <v>504</v>
      </c>
      <c r="K170" s="233">
        <v>46466</v>
      </c>
      <c r="L170" s="149">
        <f>IF(invoice[[#This Row],[سال]]=year,1,0)</f>
        <v>0</v>
      </c>
      <c r="M170" s="149"/>
      <c r="N170" s="149"/>
      <c r="O170" s="194">
        <f>SUMIF(bargiri[شماره پیش فاکتور],invoice[[#This Row],[شماره پیش فاکتور]],bargiri[میزان بارگیری شده])/invoice[[#This Row],[میزان سفارش]]</f>
        <v>1</v>
      </c>
      <c r="P170" s="149" t="str">
        <f>IF(invoice[[#This Row],[نوع سفارش]]="غیرفعال","عادی",invoice[[#This Row],[نوع سفارش]])</f>
        <v>بورس</v>
      </c>
      <c r="Q170" s="149">
        <f>SUMIFS('جزییات بارگیری'!D:D,'جزییات بارگیری'!C:C,invoice[[#This Row],[شماره پیش فاکتور]])</f>
        <v>50000</v>
      </c>
      <c r="R170" s="149">
        <f>IF(invoice[[#This Row],[میزان سفارش]]-invoice[[#This Row],[میزان حمل شده ]]&lt;0,0,invoice[[#This Row],[میزان سفارش]]-invoice[[#This Row],[میزان حمل شده ]])</f>
        <v>0</v>
      </c>
      <c r="S170" s="149">
        <f>invoice[[#This Row],[میزان حمل نشده ]]*invoice[[#This Row],[فی]]</f>
        <v>0</v>
      </c>
    </row>
    <row r="171" spans="1:19" ht="30.6" customHeight="1">
      <c r="A171" s="223" t="s">
        <v>783</v>
      </c>
      <c r="B171" s="150" t="s">
        <v>104</v>
      </c>
      <c r="C171" s="150" t="s">
        <v>768</v>
      </c>
      <c r="D171" s="151" t="s">
        <v>768</v>
      </c>
      <c r="E171" s="243">
        <v>20000</v>
      </c>
      <c r="F171" s="148">
        <v>167500</v>
      </c>
      <c r="G171" s="149" t="str">
        <f>CHOOSE(MID(invoice[[#This Row],[تاریخ]],6,2),"فروردین","اردیبهشت","خرداد","تیر","مرداد","شهریور","مهر","آبان","آذر","دی","بهمن","اسفند")</f>
        <v>شهریور</v>
      </c>
      <c r="H171" s="149">
        <f>_xlfn.NUMBERVALUE(MID(invoice[[#This Row],[تاریخ]],1,4))</f>
        <v>1404</v>
      </c>
      <c r="I171" s="149" t="s">
        <v>242</v>
      </c>
      <c r="J171" s="149" t="s">
        <v>504</v>
      </c>
      <c r="K171" s="233">
        <v>46466</v>
      </c>
      <c r="L171" s="149">
        <f>IF(invoice[[#This Row],[سال]]=year,1,0)</f>
        <v>0</v>
      </c>
      <c r="M171" s="149"/>
      <c r="N171" s="149"/>
      <c r="O171" s="194">
        <f>SUMIF(bargiri[شماره پیش فاکتور],invoice[[#This Row],[شماره پیش فاکتور]],bargiri[میزان بارگیری شده])/invoice[[#This Row],[میزان سفارش]]</f>
        <v>1</v>
      </c>
      <c r="P171" s="149" t="str">
        <f>IF(invoice[[#This Row],[نوع سفارش]]="غیرفعال","عادی",invoice[[#This Row],[نوع سفارش]])</f>
        <v>بورس</v>
      </c>
      <c r="Q171" s="149">
        <f>SUMIFS('جزییات بارگیری'!D:D,'جزییات بارگیری'!C:C,invoice[[#This Row],[شماره پیش فاکتور]])</f>
        <v>20000</v>
      </c>
      <c r="R171" s="149">
        <f>IF(invoice[[#This Row],[میزان سفارش]]-invoice[[#This Row],[میزان حمل شده ]]&lt;0,0,invoice[[#This Row],[میزان سفارش]]-invoice[[#This Row],[میزان حمل شده ]])</f>
        <v>0</v>
      </c>
      <c r="S171" s="149">
        <f>invoice[[#This Row],[میزان حمل نشده ]]*invoice[[#This Row],[فی]]</f>
        <v>0</v>
      </c>
    </row>
    <row r="172" spans="1:19" ht="30.6" customHeight="1">
      <c r="A172" s="223" t="s">
        <v>784</v>
      </c>
      <c r="B172" s="150" t="s">
        <v>117</v>
      </c>
      <c r="C172" s="150" t="s">
        <v>768</v>
      </c>
      <c r="D172" s="151" t="s">
        <v>768</v>
      </c>
      <c r="E172" s="243">
        <v>30000</v>
      </c>
      <c r="F172" s="148">
        <v>167500</v>
      </c>
      <c r="G172" s="149" t="str">
        <f>CHOOSE(MID(invoice[[#This Row],[تاریخ]],6,2),"فروردین","اردیبهشت","خرداد","تیر","مرداد","شهریور","مهر","آبان","آذر","دی","بهمن","اسفند")</f>
        <v>شهریور</v>
      </c>
      <c r="H172" s="149">
        <f>_xlfn.NUMBERVALUE(MID(invoice[[#This Row],[تاریخ]],1,4))</f>
        <v>1404</v>
      </c>
      <c r="I172" s="149" t="s">
        <v>242</v>
      </c>
      <c r="J172" s="149" t="s">
        <v>504</v>
      </c>
      <c r="K172" s="233">
        <v>46466</v>
      </c>
      <c r="L172" s="149">
        <f>IF(invoice[[#This Row],[سال]]=year,1,0)</f>
        <v>0</v>
      </c>
      <c r="M172" s="149"/>
      <c r="N172" s="149"/>
      <c r="O172" s="194">
        <f>SUMIF(bargiri[شماره پیش فاکتور],invoice[[#This Row],[شماره پیش فاکتور]],bargiri[میزان بارگیری شده])/invoice[[#This Row],[میزان سفارش]]</f>
        <v>1</v>
      </c>
      <c r="P172" s="149" t="str">
        <f>IF(invoice[[#This Row],[نوع سفارش]]="غیرفعال","عادی",invoice[[#This Row],[نوع سفارش]])</f>
        <v>بورس</v>
      </c>
      <c r="Q172" s="149">
        <f>SUMIFS('جزییات بارگیری'!D:D,'جزییات بارگیری'!C:C,invoice[[#This Row],[شماره پیش فاکتور]])</f>
        <v>30000</v>
      </c>
      <c r="R172" s="149">
        <f>IF(invoice[[#This Row],[میزان سفارش]]-invoice[[#This Row],[میزان حمل شده ]]&lt;0,0,invoice[[#This Row],[میزان سفارش]]-invoice[[#This Row],[میزان حمل شده ]])</f>
        <v>0</v>
      </c>
      <c r="S172" s="149">
        <f>invoice[[#This Row],[میزان حمل نشده ]]*invoice[[#This Row],[فی]]</f>
        <v>0</v>
      </c>
    </row>
    <row r="173" spans="1:19" ht="30.6" customHeight="1">
      <c r="A173" s="223" t="s">
        <v>796</v>
      </c>
      <c r="B173" s="150" t="s">
        <v>116</v>
      </c>
      <c r="C173" s="150" t="s">
        <v>795</v>
      </c>
      <c r="D173" s="151" t="s">
        <v>795</v>
      </c>
      <c r="E173" s="243">
        <v>100000</v>
      </c>
      <c r="F173" s="148">
        <v>167500</v>
      </c>
      <c r="G173" s="149" t="str">
        <f>CHOOSE(MID(invoice[[#This Row],[تاریخ]],6,2),"فروردین","اردیبهشت","خرداد","تیر","مرداد","شهریور","مهر","آبان","آذر","دی","بهمن","اسفند")</f>
        <v>مهر</v>
      </c>
      <c r="H173" s="149">
        <f>_xlfn.NUMBERVALUE(MID(invoice[[#This Row],[تاریخ]],1,4))</f>
        <v>1404</v>
      </c>
      <c r="I173" s="149" t="s">
        <v>242</v>
      </c>
      <c r="J173" s="149" t="s">
        <v>504</v>
      </c>
      <c r="K173" s="233">
        <v>46466</v>
      </c>
      <c r="L173" s="149">
        <f>IF(invoice[[#This Row],[سال]]=year,1,0)</f>
        <v>0</v>
      </c>
      <c r="M173" s="149"/>
      <c r="N173" s="149"/>
      <c r="O173" s="194">
        <f>SUMIF(bargiri[شماره پیش فاکتور],invoice[[#This Row],[شماره پیش فاکتور]],bargiri[میزان بارگیری شده])/invoice[[#This Row],[میزان سفارش]]</f>
        <v>1</v>
      </c>
      <c r="P173" s="149" t="str">
        <f>IF(invoice[[#This Row],[نوع سفارش]]="غیرفعال","عادی",invoice[[#This Row],[نوع سفارش]])</f>
        <v>بورس</v>
      </c>
      <c r="Q173" s="149">
        <f>SUMIFS('جزییات بارگیری'!D:D,'جزییات بارگیری'!C:C,invoice[[#This Row],[شماره پیش فاکتور]])</f>
        <v>100000</v>
      </c>
      <c r="R173" s="149">
        <f>IF(invoice[[#This Row],[میزان سفارش]]-invoice[[#This Row],[میزان حمل شده ]]&lt;0,0,invoice[[#This Row],[میزان سفارش]]-invoice[[#This Row],[میزان حمل شده ]])</f>
        <v>0</v>
      </c>
      <c r="S173" s="149">
        <f>invoice[[#This Row],[میزان حمل نشده ]]*invoice[[#This Row],[فی]]</f>
        <v>0</v>
      </c>
    </row>
    <row r="174" spans="1:19" ht="30.6" customHeight="1">
      <c r="A174" s="223" t="s">
        <v>797</v>
      </c>
      <c r="B174" s="150" t="s">
        <v>104</v>
      </c>
      <c r="C174" s="150" t="s">
        <v>785</v>
      </c>
      <c r="D174" s="151">
        <v>45929</v>
      </c>
      <c r="E174" s="250">
        <v>20000</v>
      </c>
      <c r="F174" s="224">
        <v>116500</v>
      </c>
      <c r="G174" s="149" t="str">
        <f>CHOOSE(MID(invoice[[#This Row],[تاریخ]],6,2),"فروردین","اردیبهشت","خرداد","تیر","مرداد","شهریور","مهر","آبان","آذر","دی","بهمن","اسفند")</f>
        <v>مهر</v>
      </c>
      <c r="H174" s="149">
        <f>_xlfn.NUMBERVALUE(MID(invoice[[#This Row],[تاریخ]],1,4))</f>
        <v>1404</v>
      </c>
      <c r="I174" s="149" t="s">
        <v>240</v>
      </c>
      <c r="J174" s="149" t="s">
        <v>504</v>
      </c>
      <c r="K174" s="233">
        <v>46466</v>
      </c>
      <c r="L174" s="149">
        <f>IF(invoice[[#This Row],[سال]]=year,1,0)</f>
        <v>0</v>
      </c>
      <c r="M174" s="149"/>
      <c r="N174" s="149"/>
      <c r="O174" s="225">
        <f>SUMIF(bargiri[شماره پیش فاکتور],invoice[[#This Row],[شماره پیش فاکتور]],bargiri[میزان بارگیری شده])/invoice[[#This Row],[میزان سفارش]]</f>
        <v>1</v>
      </c>
      <c r="P174" s="149" t="str">
        <f>IF(invoice[[#This Row],[نوع سفارش]]="غیرفعال","عادی",invoice[[#This Row],[نوع سفارش]])</f>
        <v>تعادلی</v>
      </c>
      <c r="Q174" s="149">
        <f>SUMIFS('جزییات بارگیری'!D:D,'جزییات بارگیری'!C:C,invoice[[#This Row],[شماره پیش فاکتور]])</f>
        <v>20000</v>
      </c>
      <c r="R174" s="149">
        <f>IF(invoice[[#This Row],[میزان سفارش]]-invoice[[#This Row],[میزان حمل شده ]]&lt;0,0,invoice[[#This Row],[میزان سفارش]]-invoice[[#This Row],[میزان حمل شده ]])</f>
        <v>0</v>
      </c>
      <c r="S174" s="149">
        <f>invoice[[#This Row],[میزان حمل نشده ]]*invoice[[#This Row],[فی]]</f>
        <v>0</v>
      </c>
    </row>
    <row r="175" spans="1:19" ht="30.6" customHeight="1">
      <c r="A175" s="223" t="s">
        <v>798</v>
      </c>
      <c r="B175" s="150" t="s">
        <v>117</v>
      </c>
      <c r="C175" s="150" t="s">
        <v>785</v>
      </c>
      <c r="D175" s="150" t="s">
        <v>786</v>
      </c>
      <c r="E175" s="243">
        <v>30000</v>
      </c>
      <c r="F175" s="148">
        <v>116500</v>
      </c>
      <c r="G175" s="149" t="str">
        <f>CHOOSE(MID(invoice[[#This Row],[تاریخ]],6,2),"فروردین","اردیبهشت","خرداد","تیر","مرداد","شهریور","مهر","آبان","آذر","دی","بهمن","اسفند")</f>
        <v>مهر</v>
      </c>
      <c r="H175" s="149">
        <f>_xlfn.NUMBERVALUE(MID(invoice[[#This Row],[تاریخ]],1,4))</f>
        <v>1404</v>
      </c>
      <c r="I175" s="149" t="s">
        <v>240</v>
      </c>
      <c r="J175" s="149" t="s">
        <v>504</v>
      </c>
      <c r="K175" s="233">
        <v>46466</v>
      </c>
      <c r="L175" s="149">
        <f>IF(invoice[[#This Row],[سال]]=year,1,0)</f>
        <v>0</v>
      </c>
      <c r="M175" s="149"/>
      <c r="N175" s="149"/>
      <c r="O175" s="225">
        <f>SUMIF(bargiri[شماره پیش فاکتور],invoice[[#This Row],[شماره پیش فاکتور]],bargiri[میزان بارگیری شده])/invoice[[#This Row],[میزان سفارش]]</f>
        <v>1</v>
      </c>
      <c r="P175" s="149" t="str">
        <f>IF(invoice[[#This Row],[نوع سفارش]]="غیرفعال","عادی",invoice[[#This Row],[نوع سفارش]])</f>
        <v>تعادلی</v>
      </c>
      <c r="Q175" s="149">
        <f>SUMIFS('جزییات بارگیری'!D:D,'جزییات بارگیری'!C:C,invoice[[#This Row],[شماره پیش فاکتور]])</f>
        <v>30000</v>
      </c>
      <c r="R175" s="149">
        <f>IF(invoice[[#This Row],[میزان سفارش]]-invoice[[#This Row],[میزان حمل شده ]]&lt;0,0,invoice[[#This Row],[میزان سفارش]]-invoice[[#This Row],[میزان حمل شده ]])</f>
        <v>0</v>
      </c>
      <c r="S175" s="149">
        <f>invoice[[#This Row],[میزان حمل نشده ]]*invoice[[#This Row],[فی]]</f>
        <v>0</v>
      </c>
    </row>
    <row r="176" spans="1:19" ht="30.6" customHeight="1">
      <c r="A176" s="150" t="s">
        <v>821</v>
      </c>
      <c r="B176" s="150" t="s">
        <v>99</v>
      </c>
      <c r="C176" s="150" t="s">
        <v>813</v>
      </c>
      <c r="D176" s="150" t="s">
        <v>818</v>
      </c>
      <c r="E176" s="243">
        <v>1000000</v>
      </c>
      <c r="F176" s="148">
        <v>105000</v>
      </c>
      <c r="G176" s="149" t="str">
        <f>CHOOSE(MID(invoice[[#This Row],[تاریخ]],6,2),"فروردین","اردیبهشت","خرداد","تیر","مرداد","شهریور","مهر","آبان","آذر","دی","بهمن","اسفند")</f>
        <v>مهر</v>
      </c>
      <c r="H176" s="149">
        <f>_xlfn.NUMBERVALUE(MID(invoice[[#This Row],[تاریخ]],1,4))</f>
        <v>1404</v>
      </c>
      <c r="I176" s="149" t="s">
        <v>243</v>
      </c>
      <c r="J176" s="149" t="s">
        <v>504</v>
      </c>
      <c r="K176" s="233">
        <v>46466</v>
      </c>
      <c r="L176" s="149">
        <f>IF(invoice[[#This Row],[سال]]=year,1,0)</f>
        <v>0</v>
      </c>
      <c r="M176" s="149"/>
      <c r="N176" s="149"/>
      <c r="O176" s="194">
        <f>SUMIF(bargiri[شماره پیش فاکتور],invoice[[#This Row],[شماره پیش فاکتور]],bargiri[میزان بارگیری شده])/invoice[[#This Row],[میزان سفارش]]</f>
        <v>0.73824999999999996</v>
      </c>
      <c r="P176" s="149" t="str">
        <f>IF(invoice[[#This Row],[نوع سفارش]]="غیرفعال","عادی",invoice[[#This Row],[نوع سفارش]])</f>
        <v>عادی</v>
      </c>
      <c r="Q176" s="149">
        <f>SUMIFS('جزییات بارگیری'!D:D,'جزییات بارگیری'!C:C,invoice[[#This Row],[شماره پیش فاکتور]])</f>
        <v>738250</v>
      </c>
      <c r="R176" s="149">
        <f>IF(invoice[[#This Row],[میزان سفارش]]-invoice[[#This Row],[میزان حمل شده ]]&lt;0,0,invoice[[#This Row],[میزان سفارش]]-invoice[[#This Row],[میزان حمل شده ]])</f>
        <v>261750</v>
      </c>
      <c r="S176" s="149">
        <f>invoice[[#This Row],[میزان حمل نشده ]]*invoice[[#This Row],[فی]]</f>
        <v>27483750000</v>
      </c>
    </row>
    <row r="177" spans="1:19" ht="30.6" customHeight="1">
      <c r="A177" s="150" t="s">
        <v>822</v>
      </c>
      <c r="B177" s="150" t="s">
        <v>113</v>
      </c>
      <c r="C177" s="150" t="s">
        <v>813</v>
      </c>
      <c r="D177" s="150" t="s">
        <v>818</v>
      </c>
      <c r="E177" s="243">
        <v>1000000</v>
      </c>
      <c r="F177" s="148">
        <v>105000</v>
      </c>
      <c r="G177" s="149" t="str">
        <f>CHOOSE(MID(invoice[[#This Row],[تاریخ]],6,2),"فروردین","اردیبهشت","خرداد","تیر","مرداد","شهریور","مهر","آبان","آذر","دی","بهمن","اسفند")</f>
        <v>مهر</v>
      </c>
      <c r="H177" s="149">
        <f>_xlfn.NUMBERVALUE(MID(invoice[[#This Row],[تاریخ]],1,4))</f>
        <v>1404</v>
      </c>
      <c r="I177" s="149" t="s">
        <v>243</v>
      </c>
      <c r="J177" s="149" t="s">
        <v>504</v>
      </c>
      <c r="K177" s="233">
        <v>46466</v>
      </c>
      <c r="L177" s="149">
        <f>IF(invoice[[#This Row],[سال]]=year,1,0)</f>
        <v>0</v>
      </c>
      <c r="M177" s="149"/>
      <c r="N177" s="149"/>
      <c r="O177" s="194">
        <f>SUMIF(bargiri[شماره پیش فاکتور],invoice[[#This Row],[شماره پیش فاکتور]],bargiri[میزان بارگیری شده])/invoice[[#This Row],[میزان سفارش]]</f>
        <v>0.84570999999999996</v>
      </c>
      <c r="P177" s="149" t="str">
        <f>IF(invoice[[#This Row],[نوع سفارش]]="غیرفعال","عادی",invoice[[#This Row],[نوع سفارش]])</f>
        <v>عادی</v>
      </c>
      <c r="Q177" s="149">
        <f>SUMIFS('جزییات بارگیری'!D:D,'جزییات بارگیری'!C:C,invoice[[#This Row],[شماره پیش فاکتور]])</f>
        <v>845710</v>
      </c>
      <c r="R177" s="149">
        <f>IF(invoice[[#This Row],[میزان سفارش]]-invoice[[#This Row],[میزان حمل شده ]]&lt;0,0,invoice[[#This Row],[میزان سفارش]]-invoice[[#This Row],[میزان حمل شده ]])</f>
        <v>154290</v>
      </c>
      <c r="S177" s="149">
        <f>invoice[[#This Row],[میزان حمل نشده ]]*invoice[[#This Row],[فی]]</f>
        <v>16200450000</v>
      </c>
    </row>
    <row r="178" spans="1:19" ht="30.6" customHeight="1">
      <c r="A178" s="150" t="s">
        <v>832</v>
      </c>
      <c r="B178" s="150" t="s">
        <v>102</v>
      </c>
      <c r="C178" s="150" t="s">
        <v>820</v>
      </c>
      <c r="D178" s="150" t="s">
        <v>831</v>
      </c>
      <c r="E178" s="243">
        <v>500000</v>
      </c>
      <c r="F178" s="148">
        <v>108000</v>
      </c>
      <c r="G178" s="149" t="str">
        <f>CHOOSE(MID(invoice[[#This Row],[تاریخ]],6,2),"فروردین","اردیبهشت","خرداد","تیر","مرداد","شهریور","مهر","آبان","آذر","دی","بهمن","اسفند")</f>
        <v>آبان</v>
      </c>
      <c r="H178" s="149">
        <f>_xlfn.NUMBERVALUE(MID(invoice[[#This Row],[تاریخ]],1,4))</f>
        <v>1404</v>
      </c>
      <c r="I178" s="149" t="s">
        <v>243</v>
      </c>
      <c r="J178" s="149" t="s">
        <v>504</v>
      </c>
      <c r="K178" s="233">
        <v>46466</v>
      </c>
      <c r="L178" s="149">
        <f>IF(invoice[[#This Row],[سال]]=year,1,0)</f>
        <v>0</v>
      </c>
      <c r="M178" s="149"/>
      <c r="N178" s="149"/>
      <c r="O178" s="194">
        <f>SUMIF(bargiri[شماره پیش فاکتور],invoice[[#This Row],[شماره پیش فاکتور]],bargiri[میزان بارگیری شده])/invoice[[#This Row],[میزان سفارش]]</f>
        <v>0.19320000000000001</v>
      </c>
      <c r="P178" s="149" t="str">
        <f>IF(invoice[[#This Row],[نوع سفارش]]="غیرفعال","عادی",invoice[[#This Row],[نوع سفارش]])</f>
        <v>عادی</v>
      </c>
      <c r="Q178" s="149">
        <f>SUMIFS('جزییات بارگیری'!D:D,'جزییات بارگیری'!C:C,invoice[[#This Row],[شماره پیش فاکتور]])</f>
        <v>96600</v>
      </c>
      <c r="R178" s="149">
        <f>IF(invoice[[#This Row],[میزان سفارش]]-invoice[[#This Row],[میزان حمل شده ]]&lt;0,0,invoice[[#This Row],[میزان سفارش]]-invoice[[#This Row],[میزان حمل شده ]])</f>
        <v>403400</v>
      </c>
      <c r="S178" s="149">
        <f>invoice[[#This Row],[میزان حمل نشده ]]*invoice[[#This Row],[فی]]</f>
        <v>43567200000</v>
      </c>
    </row>
    <row r="179" spans="1:19" ht="30.6" customHeight="1">
      <c r="A179" s="150" t="s">
        <v>833</v>
      </c>
      <c r="B179" s="150" t="s">
        <v>116</v>
      </c>
      <c r="C179" s="150" t="s">
        <v>827</v>
      </c>
      <c r="D179" s="150" t="s">
        <v>827</v>
      </c>
      <c r="E179" s="243">
        <v>20000</v>
      </c>
      <c r="F179" s="148">
        <v>167500</v>
      </c>
      <c r="G179" s="149" t="str">
        <f>CHOOSE(MID(invoice[[#This Row],[تاریخ]],6,2),"فروردین","اردیبهشت","خرداد","تیر","مرداد","شهریور","مهر","آبان","آذر","دی","بهمن","اسفند")</f>
        <v>آبان</v>
      </c>
      <c r="H179" s="149">
        <f>_xlfn.NUMBERVALUE(MID(invoice[[#This Row],[تاریخ]],1,4))</f>
        <v>1404</v>
      </c>
      <c r="I179" s="149" t="s">
        <v>242</v>
      </c>
      <c r="J179" s="149" t="s">
        <v>504</v>
      </c>
      <c r="K179" s="233">
        <v>46466</v>
      </c>
      <c r="L179" s="149">
        <f>IF(invoice[[#This Row],[سال]]=year,1,0)</f>
        <v>0</v>
      </c>
      <c r="M179" s="149"/>
      <c r="N179" s="149"/>
      <c r="O179" s="194">
        <f>SUMIF(bargiri[شماره پیش فاکتور],invoice[[#This Row],[شماره پیش فاکتور]],bargiri[میزان بارگیری شده])/invoice[[#This Row],[میزان سفارش]]</f>
        <v>1</v>
      </c>
      <c r="P179" s="149" t="str">
        <f>IF(invoice[[#This Row],[نوع سفارش]]="غیرفعال","عادی",invoice[[#This Row],[نوع سفارش]])</f>
        <v>بورس</v>
      </c>
      <c r="Q179" s="149">
        <f>SUMIFS('جزییات بارگیری'!D:D,'جزییات بارگیری'!C:C,invoice[[#This Row],[شماره پیش فاکتور]])</f>
        <v>20000</v>
      </c>
      <c r="R179" s="149">
        <f>IF(invoice[[#This Row],[میزان سفارش]]-invoice[[#This Row],[میزان حمل شده ]]&lt;0,0,invoice[[#This Row],[میزان سفارش]]-invoice[[#This Row],[میزان حمل شده ]])</f>
        <v>0</v>
      </c>
      <c r="S179" s="149">
        <f>invoice[[#This Row],[میزان حمل نشده ]]*invoice[[#This Row],[فی]]</f>
        <v>0</v>
      </c>
    </row>
    <row r="180" spans="1:19" ht="30.6" customHeight="1">
      <c r="A180" s="150" t="s">
        <v>834</v>
      </c>
      <c r="B180" s="150" t="s">
        <v>104</v>
      </c>
      <c r="C180" s="150" t="s">
        <v>827</v>
      </c>
      <c r="D180" s="150" t="s">
        <v>827</v>
      </c>
      <c r="E180" s="243">
        <v>30000</v>
      </c>
      <c r="F180" s="148">
        <v>167500</v>
      </c>
      <c r="G180" s="149" t="str">
        <f>CHOOSE(MID(invoice[[#This Row],[تاریخ]],6,2),"فروردین","اردیبهشت","خرداد","تیر","مرداد","شهریور","مهر","آبان","آذر","دی","بهمن","اسفند")</f>
        <v>آبان</v>
      </c>
      <c r="H180" s="149">
        <f>_xlfn.NUMBERVALUE(MID(invoice[[#This Row],[تاریخ]],1,4))</f>
        <v>1404</v>
      </c>
      <c r="I180" s="149" t="s">
        <v>242</v>
      </c>
      <c r="J180" s="149" t="s">
        <v>504</v>
      </c>
      <c r="K180" s="233">
        <v>46466</v>
      </c>
      <c r="L180" s="149">
        <f>IF(invoice[[#This Row],[سال]]=year,1,0)</f>
        <v>0</v>
      </c>
      <c r="M180" s="149"/>
      <c r="N180" s="149"/>
      <c r="O180" s="194">
        <f>SUMIF(bargiri[شماره پیش فاکتور],invoice[[#This Row],[شماره پیش فاکتور]],bargiri[میزان بارگیری شده])/invoice[[#This Row],[میزان سفارش]]</f>
        <v>1</v>
      </c>
      <c r="P180" s="149" t="str">
        <f>IF(invoice[[#This Row],[نوع سفارش]]="غیرفعال","عادی",invoice[[#This Row],[نوع سفارش]])</f>
        <v>بورس</v>
      </c>
      <c r="Q180" s="149">
        <f>SUMIFS('جزییات بارگیری'!D:D,'جزییات بارگیری'!C:C,invoice[[#This Row],[شماره پیش فاکتور]])</f>
        <v>30000</v>
      </c>
      <c r="R180" s="149">
        <f>IF(invoice[[#This Row],[میزان سفارش]]-invoice[[#This Row],[میزان حمل شده ]]&lt;0,0,invoice[[#This Row],[میزان سفارش]]-invoice[[#This Row],[میزان حمل شده ]])</f>
        <v>0</v>
      </c>
      <c r="S180" s="149">
        <f>invoice[[#This Row],[میزان حمل نشده ]]*invoice[[#This Row],[فی]]</f>
        <v>0</v>
      </c>
    </row>
    <row r="181" spans="1:19" ht="30.6" customHeight="1">
      <c r="A181" s="150" t="s">
        <v>836</v>
      </c>
      <c r="B181" s="150" t="s">
        <v>98</v>
      </c>
      <c r="C181" s="150" t="s">
        <v>827</v>
      </c>
      <c r="D181" s="150" t="s">
        <v>827</v>
      </c>
      <c r="E181" s="243">
        <v>30000</v>
      </c>
      <c r="F181" s="148">
        <v>167500</v>
      </c>
      <c r="G181" s="149" t="str">
        <f>CHOOSE(MID(invoice[[#This Row],[تاریخ]],6,2),"فروردین","اردیبهشت","خرداد","تیر","مرداد","شهریور","مهر","آبان","آذر","دی","بهمن","اسفند")</f>
        <v>آبان</v>
      </c>
      <c r="H181" s="149">
        <f>_xlfn.NUMBERVALUE(MID(invoice[[#This Row],[تاریخ]],1,4))</f>
        <v>1404</v>
      </c>
      <c r="I181" s="149" t="s">
        <v>242</v>
      </c>
      <c r="J181" s="149" t="s">
        <v>504</v>
      </c>
      <c r="K181" s="233">
        <v>46466</v>
      </c>
      <c r="L181" s="149">
        <f>IF(invoice[[#This Row],[سال]]=year,1,0)</f>
        <v>0</v>
      </c>
      <c r="M181" s="149"/>
      <c r="N181" s="149"/>
      <c r="O181" s="194">
        <f>SUMIF(bargiri[شماره پیش فاکتور],invoice[[#This Row],[شماره پیش فاکتور]],bargiri[میزان بارگیری شده])/invoice[[#This Row],[میزان سفارش]]</f>
        <v>1</v>
      </c>
      <c r="P181" s="149" t="str">
        <f>IF(invoice[[#This Row],[نوع سفارش]]="غیرفعال","عادی",invoice[[#This Row],[نوع سفارش]])</f>
        <v>بورس</v>
      </c>
      <c r="Q181" s="149">
        <f>SUMIFS('جزییات بارگیری'!D:D,'جزییات بارگیری'!C:C,invoice[[#This Row],[شماره پیش فاکتور]])</f>
        <v>30000</v>
      </c>
      <c r="R181" s="149">
        <f>IF(invoice[[#This Row],[میزان سفارش]]-invoice[[#This Row],[میزان حمل شده ]]&lt;0,0,invoice[[#This Row],[میزان سفارش]]-invoice[[#This Row],[میزان حمل شده ]])</f>
        <v>0</v>
      </c>
      <c r="S181" s="149">
        <f>invoice[[#This Row],[میزان حمل نشده ]]*invoice[[#This Row],[فی]]</f>
        <v>0</v>
      </c>
    </row>
    <row r="182" spans="1:19" ht="30.6" customHeight="1">
      <c r="A182" s="150" t="s">
        <v>854</v>
      </c>
      <c r="B182" s="150" t="s">
        <v>116</v>
      </c>
      <c r="C182" s="150" t="s">
        <v>840</v>
      </c>
      <c r="D182" s="150" t="s">
        <v>844</v>
      </c>
      <c r="E182" s="243">
        <v>20000</v>
      </c>
      <c r="F182" s="148">
        <v>116500</v>
      </c>
      <c r="G182" s="149" t="str">
        <f>CHOOSE(MID(invoice[[#This Row],[تاریخ]],6,2),"فروردین","اردیبهشت","خرداد","تیر","مرداد","شهریور","مهر","آبان","آذر","دی","بهمن","اسفند")</f>
        <v>آبان</v>
      </c>
      <c r="H182" s="149">
        <f>_xlfn.NUMBERVALUE(MID(invoice[[#This Row],[تاریخ]],1,4))</f>
        <v>1404</v>
      </c>
      <c r="I182" s="149" t="s">
        <v>240</v>
      </c>
      <c r="J182" s="149" t="s">
        <v>504</v>
      </c>
      <c r="K182" s="233">
        <v>46466</v>
      </c>
      <c r="L182" s="149">
        <f>IF(invoice[[#This Row],[سال]]=year,1,0)</f>
        <v>0</v>
      </c>
      <c r="M182" s="149"/>
      <c r="N182" s="149"/>
      <c r="O182" s="194">
        <f>SUMIF(bargiri[شماره پیش فاکتور],invoice[[#This Row],[شماره پیش فاکتور]],bargiri[میزان بارگیری شده])/invoice[[#This Row],[میزان سفارش]]</f>
        <v>1</v>
      </c>
      <c r="P182" s="149" t="str">
        <f>IF(invoice[[#This Row],[نوع سفارش]]="غیرفعال","عادی",invoice[[#This Row],[نوع سفارش]])</f>
        <v>تعادلی</v>
      </c>
      <c r="Q182" s="149">
        <f>SUMIFS('جزییات بارگیری'!D:D,'جزییات بارگیری'!C:C,invoice[[#This Row],[شماره پیش فاکتور]])</f>
        <v>20000</v>
      </c>
      <c r="R182" s="149">
        <f>IF(invoice[[#This Row],[میزان سفارش]]-invoice[[#This Row],[میزان حمل شده ]]&lt;0,0,invoice[[#This Row],[میزان سفارش]]-invoice[[#This Row],[میزان حمل شده ]])</f>
        <v>0</v>
      </c>
      <c r="S182" s="149">
        <f>invoice[[#This Row],[میزان حمل نشده ]]*invoice[[#This Row],[فی]]</f>
        <v>0</v>
      </c>
    </row>
    <row r="183" spans="1:19" ht="30.6" customHeight="1">
      <c r="A183" s="150" t="s">
        <v>855</v>
      </c>
      <c r="B183" s="150" t="s">
        <v>104</v>
      </c>
      <c r="C183" s="150" t="s">
        <v>840</v>
      </c>
      <c r="D183" s="150" t="s">
        <v>844</v>
      </c>
      <c r="E183" s="243">
        <v>30000</v>
      </c>
      <c r="F183" s="148">
        <v>116500</v>
      </c>
      <c r="G183" s="149" t="str">
        <f>CHOOSE(MID(invoice[[#This Row],[تاریخ]],6,2),"فروردین","اردیبهشت","خرداد","تیر","مرداد","شهریور","مهر","آبان","آذر","دی","بهمن","اسفند")</f>
        <v>آبان</v>
      </c>
      <c r="H183" s="149">
        <f>_xlfn.NUMBERVALUE(MID(invoice[[#This Row],[تاریخ]],1,4))</f>
        <v>1404</v>
      </c>
      <c r="I183" s="149" t="s">
        <v>240</v>
      </c>
      <c r="J183" s="149" t="s">
        <v>504</v>
      </c>
      <c r="K183" s="233">
        <v>46466</v>
      </c>
      <c r="L183" s="149">
        <f>IF(invoice[[#This Row],[سال]]=year,1,0)</f>
        <v>0</v>
      </c>
      <c r="M183" s="149"/>
      <c r="N183" s="149"/>
      <c r="O183" s="194">
        <f>SUMIF(bargiri[شماره پیش فاکتور],invoice[[#This Row],[شماره پیش فاکتور]],bargiri[میزان بارگیری شده])/invoice[[#This Row],[میزان سفارش]]</f>
        <v>1</v>
      </c>
      <c r="P183" s="149" t="str">
        <f>IF(invoice[[#This Row],[نوع سفارش]]="غیرفعال","عادی",invoice[[#This Row],[نوع سفارش]])</f>
        <v>تعادلی</v>
      </c>
      <c r="Q183" s="149">
        <f>SUMIFS('جزییات بارگیری'!D:D,'جزییات بارگیری'!C:C,invoice[[#This Row],[شماره پیش فاکتور]])</f>
        <v>30000</v>
      </c>
      <c r="R183" s="149">
        <f>IF(invoice[[#This Row],[میزان سفارش]]-invoice[[#This Row],[میزان حمل شده ]]&lt;0,0,invoice[[#This Row],[میزان سفارش]]-invoice[[#This Row],[میزان حمل شده ]])</f>
        <v>0</v>
      </c>
      <c r="S183" s="149">
        <f>invoice[[#This Row],[میزان حمل نشده ]]*invoice[[#This Row],[فی]]</f>
        <v>0</v>
      </c>
    </row>
    <row r="184" spans="1:19" ht="30.6" customHeight="1">
      <c r="A184" s="150" t="s">
        <v>856</v>
      </c>
      <c r="B184" s="150" t="s">
        <v>98</v>
      </c>
      <c r="C184" s="150" t="s">
        <v>840</v>
      </c>
      <c r="D184" s="150" t="s">
        <v>844</v>
      </c>
      <c r="E184" s="243">
        <v>30000</v>
      </c>
      <c r="F184" s="148">
        <v>116500</v>
      </c>
      <c r="G184" s="149" t="str">
        <f>CHOOSE(MID(invoice[[#This Row],[تاریخ]],6,2),"فروردین","اردیبهشت","خرداد","تیر","مرداد","شهریور","مهر","آبان","آذر","دی","بهمن","اسفند")</f>
        <v>آبان</v>
      </c>
      <c r="H184" s="149">
        <f>_xlfn.NUMBERVALUE(MID(invoice[[#This Row],[تاریخ]],1,4))</f>
        <v>1404</v>
      </c>
      <c r="I184" s="149" t="s">
        <v>240</v>
      </c>
      <c r="J184" s="149" t="s">
        <v>504</v>
      </c>
      <c r="K184" s="233">
        <v>46466</v>
      </c>
      <c r="L184" s="149">
        <f>IF(invoice[[#This Row],[سال]]=year,1,0)</f>
        <v>0</v>
      </c>
      <c r="M184" s="149"/>
      <c r="N184" s="149"/>
      <c r="O184" s="194">
        <f>SUMIF(bargiri[شماره پیش فاکتور],invoice[[#This Row],[شماره پیش فاکتور]],bargiri[میزان بارگیری شده])/invoice[[#This Row],[میزان سفارش]]</f>
        <v>1</v>
      </c>
      <c r="P184" s="149" t="str">
        <f>IF(invoice[[#This Row],[نوع سفارش]]="غیرفعال","عادی",invoice[[#This Row],[نوع سفارش]])</f>
        <v>تعادلی</v>
      </c>
      <c r="Q184" s="149">
        <f>SUMIFS('جزییات بارگیری'!D:D,'جزییات بارگیری'!C:C,invoice[[#This Row],[شماره پیش فاکتور]])</f>
        <v>30000</v>
      </c>
      <c r="R184" s="149">
        <f>IF(invoice[[#This Row],[میزان سفارش]]-invoice[[#This Row],[میزان حمل شده ]]&lt;0,0,invoice[[#This Row],[میزان سفارش]]-invoice[[#This Row],[میزان حمل شده ]])</f>
        <v>0</v>
      </c>
      <c r="S184" s="149">
        <f>invoice[[#This Row],[میزان حمل نشده ]]*invoice[[#This Row],[فی]]</f>
        <v>0</v>
      </c>
    </row>
    <row r="185" spans="1:19" ht="30.6" customHeight="1">
      <c r="A185" s="150" t="s">
        <v>857</v>
      </c>
      <c r="B185" s="150" t="s">
        <v>113</v>
      </c>
      <c r="C185" s="150" t="s">
        <v>843</v>
      </c>
      <c r="D185" s="150" t="s">
        <v>852</v>
      </c>
      <c r="E185" s="243">
        <v>1000000</v>
      </c>
      <c r="F185" s="148">
        <v>100000</v>
      </c>
      <c r="G185" s="149" t="str">
        <f>CHOOSE(MID(invoice[[#This Row],[تاریخ]],6,2),"فروردین","اردیبهشت","خرداد","تیر","مرداد","شهریور","مهر","آبان","آذر","دی","بهمن","اسفند")</f>
        <v>آبان</v>
      </c>
      <c r="H185" s="149">
        <f>_xlfn.NUMBERVALUE(MID(invoice[[#This Row],[تاریخ]],1,4))</f>
        <v>1404</v>
      </c>
      <c r="I185" s="149" t="s">
        <v>243</v>
      </c>
      <c r="J185" s="149" t="s">
        <v>504</v>
      </c>
      <c r="K185" s="233">
        <v>46466</v>
      </c>
      <c r="L185" s="149">
        <f>IF(invoice[[#This Row],[سال]]=year,1,0)</f>
        <v>0</v>
      </c>
      <c r="M185" s="149"/>
      <c r="N185" s="149"/>
      <c r="O185" s="194">
        <f>SUMIF(bargiri[شماره پیش فاکتور],invoice[[#This Row],[شماره پیش فاکتور]],bargiri[میزان بارگیری شده])/invoice[[#This Row],[میزان سفارش]]</f>
        <v>0</v>
      </c>
      <c r="P185" s="149" t="str">
        <f>IF(invoice[[#This Row],[نوع سفارش]]="غیرفعال","عادی",invoice[[#This Row],[نوع سفارش]])</f>
        <v>عادی</v>
      </c>
      <c r="Q185" s="149">
        <f>SUMIFS('جزییات بارگیری'!D:D,'جزییات بارگیری'!C:C,invoice[[#This Row],[شماره پیش فاکتور]])</f>
        <v>0</v>
      </c>
      <c r="R185" s="149">
        <f>IF(invoice[[#This Row],[میزان سفارش]]-invoice[[#This Row],[میزان حمل شده ]]&lt;0,0,invoice[[#This Row],[میزان سفارش]]-invoice[[#This Row],[میزان حمل شده ]])</f>
        <v>1000000</v>
      </c>
      <c r="S185" s="149">
        <f>invoice[[#This Row],[میزان حمل نشده ]]*invoice[[#This Row],[فی]]</f>
        <v>100000000000</v>
      </c>
    </row>
    <row r="186" spans="1:19" ht="30.6" customHeight="1">
      <c r="A186" s="150" t="s">
        <v>858</v>
      </c>
      <c r="B186" s="150" t="s">
        <v>105</v>
      </c>
      <c r="C186" s="150" t="s">
        <v>843</v>
      </c>
      <c r="D186" s="150" t="s">
        <v>852</v>
      </c>
      <c r="E186" s="243">
        <v>1000000</v>
      </c>
      <c r="F186" s="148">
        <v>100000</v>
      </c>
      <c r="G186" s="149" t="str">
        <f>CHOOSE(MID(invoice[[#This Row],[تاریخ]],6,2),"فروردین","اردیبهشت","خرداد","تیر","مرداد","شهریور","مهر","آبان","آذر","دی","بهمن","اسفند")</f>
        <v>آبان</v>
      </c>
      <c r="H186" s="149">
        <f>_xlfn.NUMBERVALUE(MID(invoice[[#This Row],[تاریخ]],1,4))</f>
        <v>1404</v>
      </c>
      <c r="I186" s="149" t="s">
        <v>243</v>
      </c>
      <c r="J186" s="149" t="s">
        <v>504</v>
      </c>
      <c r="K186" s="233">
        <v>46466</v>
      </c>
      <c r="L186" s="149">
        <f>IF(invoice[[#This Row],[سال]]=year,1,0)</f>
        <v>0</v>
      </c>
      <c r="M186" s="149"/>
      <c r="N186" s="149"/>
      <c r="O186" s="194">
        <f>SUMIF(bargiri[شماره پیش فاکتور],invoice[[#This Row],[شماره پیش فاکتور]],bargiri[میزان بارگیری شده])/invoice[[#This Row],[میزان سفارش]]</f>
        <v>0</v>
      </c>
      <c r="P186" s="149" t="str">
        <f>IF(invoice[[#This Row],[نوع سفارش]]="غیرفعال","عادی",invoice[[#This Row],[نوع سفارش]])</f>
        <v>عادی</v>
      </c>
      <c r="Q186" s="149">
        <f>SUMIFS('جزییات بارگیری'!D:D,'جزییات بارگیری'!C:C,invoice[[#This Row],[شماره پیش فاکتور]])</f>
        <v>0</v>
      </c>
      <c r="R186" s="149">
        <f>IF(invoice[[#This Row],[میزان سفارش]]-invoice[[#This Row],[میزان حمل شده ]]&lt;0,0,invoice[[#This Row],[میزان سفارش]]-invoice[[#This Row],[میزان حمل شده ]])</f>
        <v>1000000</v>
      </c>
      <c r="S186" s="149">
        <f>invoice[[#This Row],[میزان حمل نشده ]]*invoice[[#This Row],[فی]]</f>
        <v>100000000000</v>
      </c>
    </row>
    <row r="187" spans="1:19" ht="30.6" customHeight="1">
      <c r="A187" s="150" t="s">
        <v>853</v>
      </c>
      <c r="B187" s="150" t="s">
        <v>118</v>
      </c>
      <c r="C187" s="150" t="s">
        <v>848</v>
      </c>
      <c r="D187" s="150" t="s">
        <v>848</v>
      </c>
      <c r="E187" s="243">
        <v>4710</v>
      </c>
      <c r="F187" s="148">
        <v>130000</v>
      </c>
      <c r="G187" s="149" t="str">
        <f>CHOOSE(MID(invoice[[#This Row],[تاریخ]],6,2),"فروردین","اردیبهشت","خرداد","تیر","مرداد","شهریور","مهر","آبان","آذر","دی","بهمن","اسفند")</f>
        <v>آبان</v>
      </c>
      <c r="H187" s="149">
        <f>_xlfn.NUMBERVALUE(MID(invoice[[#This Row],[تاریخ]],1,4))</f>
        <v>1404</v>
      </c>
      <c r="I187" s="149" t="s">
        <v>243</v>
      </c>
      <c r="J187" s="149" t="s">
        <v>504</v>
      </c>
      <c r="K187" s="233">
        <v>46466</v>
      </c>
      <c r="L187" s="149">
        <f>IF(invoice[[#This Row],[سال]]=year,1,0)</f>
        <v>0</v>
      </c>
      <c r="M187" s="149"/>
      <c r="N187" s="149"/>
      <c r="O187" s="194">
        <f>SUMIF(bargiri[شماره پیش فاکتور],invoice[[#This Row],[شماره پیش فاکتور]],bargiri[میزان بارگیری شده])/invoice[[#This Row],[میزان سفارش]]</f>
        <v>1</v>
      </c>
      <c r="P187" s="149" t="str">
        <f>IF(invoice[[#This Row],[نوع سفارش]]="غیرفعال","عادی",invoice[[#This Row],[نوع سفارش]])</f>
        <v>عادی</v>
      </c>
      <c r="Q187" s="149">
        <f>SUMIFS('جزییات بارگیری'!D:D,'جزییات بارگیری'!C:C,invoice[[#This Row],[شماره پیش فاکتور]])</f>
        <v>4710</v>
      </c>
      <c r="R187" s="149">
        <f>IF(invoice[[#This Row],[میزان سفارش]]-invoice[[#This Row],[میزان حمل شده ]]&lt;0,0,invoice[[#This Row],[میزان سفارش]]-invoice[[#This Row],[میزان حمل شده ]])</f>
        <v>0</v>
      </c>
      <c r="S187" s="149">
        <f>invoice[[#This Row],[میزان حمل نشده ]]*invoice[[#This Row],[فی]]</f>
        <v>0</v>
      </c>
    </row>
    <row r="188" spans="1:19" ht="30.6" customHeight="1">
      <c r="A188" s="150" t="s">
        <v>860</v>
      </c>
      <c r="B188" s="150" t="s">
        <v>101</v>
      </c>
      <c r="C188" s="150" t="s">
        <v>843</v>
      </c>
      <c r="D188" s="150" t="s">
        <v>852</v>
      </c>
      <c r="E188" s="243">
        <v>40000</v>
      </c>
      <c r="F188" s="148">
        <v>167500</v>
      </c>
      <c r="G188" s="149" t="str">
        <f>CHOOSE(MID(invoice[[#This Row],[تاریخ]],6,2),"فروردین","اردیبهشت","خرداد","تیر","مرداد","شهریور","مهر","آبان","آذر","دی","بهمن","اسفند")</f>
        <v>آبان</v>
      </c>
      <c r="H188" s="149">
        <f>_xlfn.NUMBERVALUE(MID(invoice[[#This Row],[تاریخ]],1,4))</f>
        <v>1404</v>
      </c>
      <c r="I188" s="149" t="s">
        <v>242</v>
      </c>
      <c r="J188" s="149" t="s">
        <v>504</v>
      </c>
      <c r="K188" s="233">
        <v>46466</v>
      </c>
      <c r="L188" s="149">
        <f>IF(invoice[[#This Row],[سال]]=year,1,0)</f>
        <v>0</v>
      </c>
      <c r="M188" s="149"/>
      <c r="N188" s="149"/>
      <c r="O188" s="194">
        <f>SUMIF(bargiri[شماره پیش فاکتور],invoice[[#This Row],[شماره پیش فاکتور]],bargiri[میزان بارگیری شده])/invoice[[#This Row],[میزان سفارش]]</f>
        <v>1</v>
      </c>
      <c r="P188" s="149" t="str">
        <f>IF(invoice[[#This Row],[نوع سفارش]]="غیرفعال","عادی",invoice[[#This Row],[نوع سفارش]])</f>
        <v>بورس</v>
      </c>
      <c r="Q188" s="149">
        <f>SUMIFS('جزییات بارگیری'!D:D,'جزییات بارگیری'!C:C,invoice[[#This Row],[شماره پیش فاکتور]])</f>
        <v>40000</v>
      </c>
      <c r="R188" s="149">
        <f>IF(invoice[[#This Row],[میزان سفارش]]-invoice[[#This Row],[میزان حمل شده ]]&lt;0,0,invoice[[#This Row],[میزان سفارش]]-invoice[[#This Row],[میزان حمل شده ]])</f>
        <v>0</v>
      </c>
      <c r="S188" s="149">
        <f>invoice[[#This Row],[میزان حمل نشده ]]*invoice[[#This Row],[فی]]</f>
        <v>0</v>
      </c>
    </row>
    <row r="189" spans="1:19" ht="30.6" customHeight="1">
      <c r="A189" s="150" t="s">
        <v>859</v>
      </c>
      <c r="B189" s="150" t="s">
        <v>116</v>
      </c>
      <c r="C189" s="150" t="s">
        <v>843</v>
      </c>
      <c r="D189" s="150" t="s">
        <v>852</v>
      </c>
      <c r="E189" s="243">
        <v>40000</v>
      </c>
      <c r="F189" s="148">
        <v>167500</v>
      </c>
      <c r="G189" s="149" t="str">
        <f>CHOOSE(MID(invoice[[#This Row],[تاریخ]],6,2),"فروردین","اردیبهشت","خرداد","تیر","مرداد","شهریور","مهر","آبان","آذر","دی","بهمن","اسفند")</f>
        <v>آبان</v>
      </c>
      <c r="H189" s="149">
        <f>_xlfn.NUMBERVALUE(MID(invoice[[#This Row],[تاریخ]],1,4))</f>
        <v>1404</v>
      </c>
      <c r="I189" s="149" t="s">
        <v>242</v>
      </c>
      <c r="J189" s="149" t="s">
        <v>504</v>
      </c>
      <c r="K189" s="233">
        <v>46466</v>
      </c>
      <c r="L189" s="149">
        <f>IF(invoice[[#This Row],[سال]]=year,1,0)</f>
        <v>0</v>
      </c>
      <c r="M189" s="149"/>
      <c r="N189" s="149"/>
      <c r="O189" s="194">
        <f>SUMIF(bargiri[شماره پیش فاکتور],invoice[[#This Row],[شماره پیش فاکتور]],bargiri[میزان بارگیری شده])/invoice[[#This Row],[میزان سفارش]]</f>
        <v>1</v>
      </c>
      <c r="P189" s="149" t="str">
        <f>IF(invoice[[#This Row],[نوع سفارش]]="غیرفعال","عادی",invoice[[#This Row],[نوع سفارش]])</f>
        <v>بورس</v>
      </c>
      <c r="Q189" s="149">
        <f>SUMIFS('جزییات بارگیری'!D:D,'جزییات بارگیری'!C:C,invoice[[#This Row],[شماره پیش فاکتور]])</f>
        <v>40000</v>
      </c>
      <c r="R189" s="149">
        <f>IF(invoice[[#This Row],[میزان سفارش]]-invoice[[#This Row],[میزان حمل شده ]]&lt;0,0,invoice[[#This Row],[میزان سفارش]]-invoice[[#This Row],[میزان حمل شده ]])</f>
        <v>0</v>
      </c>
      <c r="S189" s="149">
        <f>invoice[[#This Row],[میزان حمل نشده ]]*invoice[[#This Row],[فی]]</f>
        <v>0</v>
      </c>
    </row>
    <row r="190" spans="1:19" ht="30.6" customHeight="1">
      <c r="A190" s="150" t="s">
        <v>861</v>
      </c>
      <c r="B190" s="150" t="s">
        <v>101</v>
      </c>
      <c r="C190" s="150" t="s">
        <v>848</v>
      </c>
      <c r="D190" s="150" t="s">
        <v>852</v>
      </c>
      <c r="E190" s="243">
        <v>40000</v>
      </c>
      <c r="F190" s="148">
        <v>116500</v>
      </c>
      <c r="G190" s="149" t="str">
        <f>CHOOSE(MID(invoice[[#This Row],[تاریخ]],6,2),"فروردین","اردیبهشت","خرداد","تیر","مرداد","شهریور","مهر","آبان","آذر","دی","بهمن","اسفند")</f>
        <v>آبان</v>
      </c>
      <c r="H190" s="149">
        <f>_xlfn.NUMBERVALUE(MID(invoice[[#This Row],[تاریخ]],1,4))</f>
        <v>1404</v>
      </c>
      <c r="I190" s="149" t="s">
        <v>240</v>
      </c>
      <c r="J190" s="149" t="s">
        <v>504</v>
      </c>
      <c r="K190" s="233">
        <v>46466</v>
      </c>
      <c r="L190" s="149">
        <f>IF(invoice[[#This Row],[سال]]=year,1,0)</f>
        <v>0</v>
      </c>
      <c r="M190" s="149"/>
      <c r="N190" s="149"/>
      <c r="O190" s="194">
        <f>SUMIF(bargiri[شماره پیش فاکتور],invoice[[#This Row],[شماره پیش فاکتور]],bargiri[میزان بارگیری شده])/invoice[[#This Row],[میزان سفارش]]</f>
        <v>1</v>
      </c>
      <c r="P190" s="149" t="str">
        <f>IF(invoice[[#This Row],[نوع سفارش]]="غیرفعال","عادی",invoice[[#This Row],[نوع سفارش]])</f>
        <v>تعادلی</v>
      </c>
      <c r="Q190" s="149">
        <f>SUMIFS('جزییات بارگیری'!D:D,'جزییات بارگیری'!C:C,invoice[[#This Row],[شماره پیش فاکتور]])</f>
        <v>40000</v>
      </c>
      <c r="R190" s="149">
        <f>IF(invoice[[#This Row],[میزان سفارش]]-invoice[[#This Row],[میزان حمل شده ]]&lt;0,0,invoice[[#This Row],[میزان سفارش]]-invoice[[#This Row],[میزان حمل شده ]])</f>
        <v>0</v>
      </c>
      <c r="S190" s="149">
        <f>invoice[[#This Row],[میزان حمل نشده ]]*invoice[[#This Row],[فی]]</f>
        <v>0</v>
      </c>
    </row>
    <row r="191" spans="1:19" ht="30.6" customHeight="1">
      <c r="A191" s="150" t="s">
        <v>862</v>
      </c>
      <c r="B191" s="150" t="s">
        <v>116</v>
      </c>
      <c r="C191" s="150" t="s">
        <v>848</v>
      </c>
      <c r="D191" s="150" t="s">
        <v>852</v>
      </c>
      <c r="E191" s="243">
        <v>40000</v>
      </c>
      <c r="F191" s="148">
        <v>116500</v>
      </c>
      <c r="G191" s="149" t="str">
        <f>CHOOSE(MID(invoice[[#This Row],[تاریخ]],6,2),"فروردین","اردیبهشت","خرداد","تیر","مرداد","شهریور","مهر","آبان","آذر","دی","بهمن","اسفند")</f>
        <v>آبان</v>
      </c>
      <c r="H191" s="149">
        <f>_xlfn.NUMBERVALUE(MID(invoice[[#This Row],[تاریخ]],1,4))</f>
        <v>1404</v>
      </c>
      <c r="I191" s="149" t="s">
        <v>240</v>
      </c>
      <c r="J191" s="149" t="s">
        <v>504</v>
      </c>
      <c r="K191" s="233">
        <v>46466</v>
      </c>
      <c r="L191" s="149">
        <f>IF(invoice[[#This Row],[سال]]=year,1,0)</f>
        <v>0</v>
      </c>
      <c r="M191" s="149"/>
      <c r="N191" s="149"/>
      <c r="O191" s="194">
        <f>SUMIF(bargiri[شماره پیش فاکتور],invoice[[#This Row],[شماره پیش فاکتور]],bargiri[میزان بارگیری شده])/invoice[[#This Row],[میزان سفارش]]</f>
        <v>1</v>
      </c>
      <c r="P191" s="149" t="str">
        <f>IF(invoice[[#This Row],[نوع سفارش]]="غیرفعال","عادی",invoice[[#This Row],[نوع سفارش]])</f>
        <v>تعادلی</v>
      </c>
      <c r="Q191" s="149">
        <f>SUMIFS('جزییات بارگیری'!D:D,'جزییات بارگیری'!C:C,invoice[[#This Row],[شماره پیش فاکتور]])</f>
        <v>40000</v>
      </c>
      <c r="R191" s="149">
        <f>IF(invoice[[#This Row],[میزان سفارش]]-invoice[[#This Row],[میزان حمل شده ]]&lt;0,0,invoice[[#This Row],[میزان سفارش]]-invoice[[#This Row],[میزان حمل شده ]])</f>
        <v>0</v>
      </c>
      <c r="S191" s="149">
        <f>invoice[[#This Row],[میزان حمل نشده ]]*invoice[[#This Row],[فی]]</f>
        <v>0</v>
      </c>
    </row>
    <row r="192" spans="1:19" ht="30.6" customHeight="1">
      <c r="A192" s="150" t="s">
        <v>870</v>
      </c>
      <c r="B192" s="150" t="s">
        <v>125</v>
      </c>
      <c r="C192" s="150" t="s">
        <v>864</v>
      </c>
      <c r="D192" s="150" t="s">
        <v>863</v>
      </c>
      <c r="E192" s="243">
        <v>250000</v>
      </c>
      <c r="F192" s="148">
        <v>135000</v>
      </c>
      <c r="G192" s="149" t="str">
        <f>CHOOSE(MID(invoice[[#This Row],[تاریخ]],6,2),"فروردین","اردیبهشت","خرداد","تیر","مرداد","شهریور","مهر","آبان","آذر","دی","بهمن","اسفند")</f>
        <v>آذر</v>
      </c>
      <c r="H192" s="149">
        <f>_xlfn.NUMBERVALUE(MID(invoice[[#This Row],[تاریخ]],1,4))</f>
        <v>1404</v>
      </c>
      <c r="I192" s="149" t="s">
        <v>243</v>
      </c>
      <c r="J192" s="149" t="s">
        <v>504</v>
      </c>
      <c r="K192" s="233">
        <v>46466</v>
      </c>
      <c r="L192" s="149">
        <f>IF(invoice[[#This Row],[سال]]=year,1,0)</f>
        <v>0</v>
      </c>
      <c r="M192" s="149"/>
      <c r="N192" s="149"/>
      <c r="O192" s="194">
        <f>SUMIF(bargiri[شماره پیش فاکتور],invoice[[#This Row],[شماره پیش فاکتور]],bargiri[میزان بارگیری شده])/invoice[[#This Row],[میزان سفارش]]</f>
        <v>1</v>
      </c>
      <c r="P192" s="149" t="str">
        <f>IF(invoice[[#This Row],[نوع سفارش]]="غیرفعال","عادی",invoice[[#This Row],[نوع سفارش]])</f>
        <v>عادی</v>
      </c>
      <c r="Q192" s="149">
        <f>SUMIFS('جزییات بارگیری'!D:D,'جزییات بارگیری'!C:C,invoice[[#This Row],[شماره پیش فاکتور]])</f>
        <v>250000</v>
      </c>
      <c r="R192" s="149">
        <f>IF(invoice[[#This Row],[میزان سفارش]]-invoice[[#This Row],[میزان حمل شده ]]&lt;0,0,invoice[[#This Row],[میزان سفارش]]-invoice[[#This Row],[میزان حمل شده ]])</f>
        <v>0</v>
      </c>
      <c r="S192" s="149">
        <f>invoice[[#This Row],[میزان حمل نشده ]]*invoice[[#This Row],[فی]]</f>
        <v>0</v>
      </c>
    </row>
    <row r="193" spans="1:19" ht="30.6" customHeight="1">
      <c r="A193" s="150" t="s">
        <v>872</v>
      </c>
      <c r="B193" s="150" t="s">
        <v>116</v>
      </c>
      <c r="C193" s="150" t="s">
        <v>864</v>
      </c>
      <c r="D193" s="150" t="s">
        <v>863</v>
      </c>
      <c r="E193" s="243">
        <v>50000</v>
      </c>
      <c r="F193" s="148">
        <v>167500</v>
      </c>
      <c r="G193" s="149" t="str">
        <f>CHOOSE(MID(invoice[[#This Row],[تاریخ]],6,2),"فروردین","اردیبهشت","خرداد","تیر","مرداد","شهریور","مهر","آبان","آذر","دی","بهمن","اسفند")</f>
        <v>آذر</v>
      </c>
      <c r="H193" s="149">
        <f>_xlfn.NUMBERVALUE(MID(invoice[[#This Row],[تاریخ]],1,4))</f>
        <v>1404</v>
      </c>
      <c r="I193" s="149" t="s">
        <v>242</v>
      </c>
      <c r="J193" s="149" t="s">
        <v>504</v>
      </c>
      <c r="K193" s="233">
        <v>46466</v>
      </c>
      <c r="L193" s="149">
        <f>IF(invoice[[#This Row],[سال]]=year,1,0)</f>
        <v>0</v>
      </c>
      <c r="M193" s="149"/>
      <c r="N193" s="149"/>
      <c r="O193" s="194">
        <f>SUMIF(bargiri[شماره پیش فاکتور],invoice[[#This Row],[شماره پیش فاکتور]],bargiri[میزان بارگیری شده])/invoice[[#This Row],[میزان سفارش]]</f>
        <v>1</v>
      </c>
      <c r="P193" s="149" t="str">
        <f>IF(invoice[[#This Row],[نوع سفارش]]="غیرفعال","عادی",invoice[[#This Row],[نوع سفارش]])</f>
        <v>بورس</v>
      </c>
      <c r="Q193" s="149">
        <f>SUMIFS('جزییات بارگیری'!D:D,'جزییات بارگیری'!C:C,invoice[[#This Row],[شماره پیش فاکتور]])</f>
        <v>50000</v>
      </c>
      <c r="R193" s="149">
        <f>IF(invoice[[#This Row],[میزان سفارش]]-invoice[[#This Row],[میزان حمل شده ]]&lt;0,0,invoice[[#This Row],[میزان سفارش]]-invoice[[#This Row],[میزان حمل شده ]])</f>
        <v>0</v>
      </c>
      <c r="S193" s="149">
        <f>invoice[[#This Row],[میزان حمل نشده ]]*invoice[[#This Row],[فی]]</f>
        <v>0</v>
      </c>
    </row>
    <row r="194" spans="1:19" ht="30.6" customHeight="1">
      <c r="A194" s="150" t="s">
        <v>873</v>
      </c>
      <c r="B194" s="150" t="s">
        <v>98</v>
      </c>
      <c r="C194" s="150" t="s">
        <v>864</v>
      </c>
      <c r="D194" s="150" t="s">
        <v>863</v>
      </c>
      <c r="E194" s="243">
        <v>30000</v>
      </c>
      <c r="F194" s="148">
        <v>167500</v>
      </c>
      <c r="G194" s="149" t="str">
        <f>CHOOSE(MID(invoice[[#This Row],[تاریخ]],6,2),"فروردین","اردیبهشت","خرداد","تیر","مرداد","شهریور","مهر","آبان","آذر","دی","بهمن","اسفند")</f>
        <v>آذر</v>
      </c>
      <c r="H194" s="149">
        <f>_xlfn.NUMBERVALUE(MID(invoice[[#This Row],[تاریخ]],1,4))</f>
        <v>1404</v>
      </c>
      <c r="I194" s="149" t="s">
        <v>242</v>
      </c>
      <c r="J194" s="149" t="s">
        <v>504</v>
      </c>
      <c r="K194" s="233">
        <v>46466</v>
      </c>
      <c r="L194" s="149">
        <f>IF(invoice[[#This Row],[سال]]=year,1,0)</f>
        <v>0</v>
      </c>
      <c r="M194" s="149"/>
      <c r="N194" s="149"/>
      <c r="O194" s="194">
        <f>SUMIF(bargiri[شماره پیش فاکتور],invoice[[#This Row],[شماره پیش فاکتور]],bargiri[میزان بارگیری شده])/invoice[[#This Row],[میزان سفارش]]</f>
        <v>1</v>
      </c>
      <c r="P194" s="149" t="str">
        <f>IF(invoice[[#This Row],[نوع سفارش]]="غیرفعال","عادی",invoice[[#This Row],[نوع سفارش]])</f>
        <v>بورس</v>
      </c>
      <c r="Q194" s="149">
        <f>SUMIFS('جزییات بارگیری'!D:D,'جزییات بارگیری'!C:C,invoice[[#This Row],[شماره پیش فاکتور]])</f>
        <v>30000</v>
      </c>
      <c r="R194" s="149">
        <f>IF(invoice[[#This Row],[میزان سفارش]]-invoice[[#This Row],[میزان حمل شده ]]&lt;0,0,invoice[[#This Row],[میزان سفارش]]-invoice[[#This Row],[میزان حمل شده ]])</f>
        <v>0</v>
      </c>
      <c r="S194" s="149">
        <f>invoice[[#This Row],[میزان حمل نشده ]]*invoice[[#This Row],[فی]]</f>
        <v>0</v>
      </c>
    </row>
    <row r="195" spans="1:19" ht="30.6" customHeight="1">
      <c r="A195" s="150" t="s">
        <v>899</v>
      </c>
      <c r="B195" s="150" t="s">
        <v>116</v>
      </c>
      <c r="C195" s="150" t="s">
        <v>869</v>
      </c>
      <c r="D195" s="150" t="s">
        <v>885</v>
      </c>
      <c r="E195" s="243">
        <v>50000</v>
      </c>
      <c r="F195" s="148">
        <v>116500</v>
      </c>
      <c r="G195" s="149" t="str">
        <f>CHOOSE(MID(invoice[[#This Row],[تاریخ]],6,2),"فروردین","اردیبهشت","خرداد","تیر","مرداد","شهریور","مهر","آبان","آذر","دی","بهمن","اسفند")</f>
        <v>آذر</v>
      </c>
      <c r="H195" s="149">
        <f>_xlfn.NUMBERVALUE(MID(invoice[[#This Row],[تاریخ]],1,4))</f>
        <v>1404</v>
      </c>
      <c r="I195" s="149" t="s">
        <v>240</v>
      </c>
      <c r="J195" s="149" t="s">
        <v>504</v>
      </c>
      <c r="K195" s="233">
        <v>46466</v>
      </c>
      <c r="L195" s="149">
        <f>IF(invoice[[#This Row],[سال]]=year,1,0)</f>
        <v>0</v>
      </c>
      <c r="M195" s="149"/>
      <c r="N195" s="149"/>
      <c r="O195" s="194">
        <f>SUMIF(bargiri[شماره پیش فاکتور],invoice[[#This Row],[شماره پیش فاکتور]],bargiri[میزان بارگیری شده])/invoice[[#This Row],[میزان سفارش]]</f>
        <v>1</v>
      </c>
      <c r="P195" s="149" t="str">
        <f>IF(invoice[[#This Row],[نوع سفارش]]="غیرفعال","عادی",invoice[[#This Row],[نوع سفارش]])</f>
        <v>تعادلی</v>
      </c>
      <c r="Q195" s="149">
        <f>SUMIFS('جزییات بارگیری'!D:D,'جزییات بارگیری'!C:C,invoice[[#This Row],[شماره پیش فاکتور]])</f>
        <v>50000</v>
      </c>
      <c r="R195" s="149">
        <f>IF(invoice[[#This Row],[میزان سفارش]]-invoice[[#This Row],[میزان حمل شده ]]&lt;0,0,invoice[[#This Row],[میزان سفارش]]-invoice[[#This Row],[میزان حمل شده ]])</f>
        <v>0</v>
      </c>
      <c r="S195" s="149">
        <f>invoice[[#This Row],[میزان حمل نشده ]]*invoice[[#This Row],[فی]]</f>
        <v>0</v>
      </c>
    </row>
    <row r="196" spans="1:19" ht="30.6" customHeight="1">
      <c r="A196" s="150" t="s">
        <v>900</v>
      </c>
      <c r="B196" s="150" t="s">
        <v>98</v>
      </c>
      <c r="C196" s="150" t="s">
        <v>869</v>
      </c>
      <c r="D196" s="150" t="s">
        <v>885</v>
      </c>
      <c r="E196" s="243">
        <v>30000</v>
      </c>
      <c r="F196" s="148">
        <v>116500</v>
      </c>
      <c r="G196" s="149" t="str">
        <f>CHOOSE(MID(invoice[[#This Row],[تاریخ]],6,2),"فروردین","اردیبهشت","خرداد","تیر","مرداد","شهریور","مهر","آبان","آذر","دی","بهمن","اسفند")</f>
        <v>آذر</v>
      </c>
      <c r="H196" s="149">
        <f>_xlfn.NUMBERVALUE(MID(invoice[[#This Row],[تاریخ]],1,4))</f>
        <v>1404</v>
      </c>
      <c r="I196" s="149" t="s">
        <v>240</v>
      </c>
      <c r="J196" s="149" t="s">
        <v>504</v>
      </c>
      <c r="K196" s="233">
        <v>46466</v>
      </c>
      <c r="L196" s="149">
        <f>IF(invoice[[#This Row],[سال]]=year,1,0)</f>
        <v>0</v>
      </c>
      <c r="M196" s="149"/>
      <c r="N196" s="149"/>
      <c r="O196" s="194">
        <f>SUMIF(bargiri[شماره پیش فاکتور],invoice[[#This Row],[شماره پیش فاکتور]],bargiri[میزان بارگیری شده])/invoice[[#This Row],[میزان سفارش]]</f>
        <v>1</v>
      </c>
      <c r="P196" s="149" t="str">
        <f>IF(invoice[[#This Row],[نوع سفارش]]="غیرفعال","عادی",invoice[[#This Row],[نوع سفارش]])</f>
        <v>تعادلی</v>
      </c>
      <c r="Q196" s="149">
        <f>SUMIFS('جزییات بارگیری'!D:D,'جزییات بارگیری'!C:C,invoice[[#This Row],[شماره پیش فاکتور]])</f>
        <v>30000</v>
      </c>
      <c r="R196" s="149">
        <f>IF(invoice[[#This Row],[میزان سفارش]]-invoice[[#This Row],[میزان حمل شده ]]&lt;0,0,invoice[[#This Row],[میزان سفارش]]-invoice[[#This Row],[میزان حمل شده ]])</f>
        <v>0</v>
      </c>
      <c r="S196" s="149">
        <f>invoice[[#This Row],[میزان حمل نشده ]]*invoice[[#This Row],[فی]]</f>
        <v>0</v>
      </c>
    </row>
    <row r="197" spans="1:19" ht="30.6" customHeight="1">
      <c r="A197" s="150" t="s">
        <v>901</v>
      </c>
      <c r="B197" s="150" t="s">
        <v>104</v>
      </c>
      <c r="C197" s="150" t="s">
        <v>889</v>
      </c>
      <c r="D197" s="150" t="s">
        <v>889</v>
      </c>
      <c r="E197" s="243">
        <v>50000</v>
      </c>
      <c r="F197" s="148">
        <v>167500</v>
      </c>
      <c r="G197" s="149" t="str">
        <f>CHOOSE(MID(invoice[[#This Row],[تاریخ]],6,2),"فروردین","اردیبهشت","خرداد","تیر","مرداد","شهریور","مهر","آبان","آذر","دی","بهمن","اسفند")</f>
        <v>آذر</v>
      </c>
      <c r="H197" s="149">
        <f>_xlfn.NUMBERVALUE(MID(invoice[[#This Row],[تاریخ]],1,4))</f>
        <v>1404</v>
      </c>
      <c r="I197" s="149" t="s">
        <v>242</v>
      </c>
      <c r="J197" s="149" t="s">
        <v>504</v>
      </c>
      <c r="K197" s="233">
        <v>46466</v>
      </c>
      <c r="L197" s="149">
        <f>IF(invoice[[#This Row],[سال]]=year,1,0)</f>
        <v>0</v>
      </c>
      <c r="M197" s="149"/>
      <c r="N197" s="149"/>
      <c r="O197" s="194">
        <f>SUMIF(bargiri[شماره پیش فاکتور],invoice[[#This Row],[شماره پیش فاکتور]],bargiri[میزان بارگیری شده])/invoice[[#This Row],[میزان سفارش]]</f>
        <v>1</v>
      </c>
      <c r="P197" s="149" t="str">
        <f>IF(invoice[[#This Row],[نوع سفارش]]="غیرفعال","عادی",invoice[[#This Row],[نوع سفارش]])</f>
        <v>بورس</v>
      </c>
      <c r="Q197" s="149">
        <f>SUMIFS('جزییات بارگیری'!D:D,'جزییات بارگیری'!C:C,invoice[[#This Row],[شماره پیش فاکتور]])</f>
        <v>50000</v>
      </c>
      <c r="R197" s="149">
        <f>IF(invoice[[#This Row],[میزان سفارش]]-invoice[[#This Row],[میزان حمل شده ]]&lt;0,0,invoice[[#This Row],[میزان سفارش]]-invoice[[#This Row],[میزان حمل شده ]])</f>
        <v>0</v>
      </c>
      <c r="S197" s="149">
        <f>invoice[[#This Row],[میزان حمل نشده ]]*invoice[[#This Row],[فی]]</f>
        <v>0</v>
      </c>
    </row>
    <row r="198" spans="1:19" ht="30.6" customHeight="1">
      <c r="A198" s="150" t="s">
        <v>902</v>
      </c>
      <c r="B198" s="150" t="s">
        <v>101</v>
      </c>
      <c r="C198" s="150" t="s">
        <v>889</v>
      </c>
      <c r="D198" s="150" t="s">
        <v>889</v>
      </c>
      <c r="E198" s="243">
        <v>20000</v>
      </c>
      <c r="F198" s="148">
        <v>167500</v>
      </c>
      <c r="G198" s="149" t="str">
        <f>CHOOSE(MID(invoice[[#This Row],[تاریخ]],6,2),"فروردین","اردیبهشت","خرداد","تیر","مرداد","شهریور","مهر","آبان","آذر","دی","بهمن","اسفند")</f>
        <v>آذر</v>
      </c>
      <c r="H198" s="149">
        <f>_xlfn.NUMBERVALUE(MID(invoice[[#This Row],[تاریخ]],1,4))</f>
        <v>1404</v>
      </c>
      <c r="I198" s="149" t="s">
        <v>242</v>
      </c>
      <c r="J198" s="149" t="s">
        <v>504</v>
      </c>
      <c r="K198" s="233">
        <v>46466</v>
      </c>
      <c r="L198" s="149">
        <f>IF(invoice[[#This Row],[سال]]=year,1,0)</f>
        <v>0</v>
      </c>
      <c r="M198" s="149"/>
      <c r="N198" s="149"/>
      <c r="O198" s="194">
        <f>SUMIF(bargiri[شماره پیش فاکتور],invoice[[#This Row],[شماره پیش فاکتور]],bargiri[میزان بارگیری شده])/invoice[[#This Row],[میزان سفارش]]</f>
        <v>1</v>
      </c>
      <c r="P198" s="149" t="str">
        <f>IF(invoice[[#This Row],[نوع سفارش]]="غیرفعال","عادی",invoice[[#This Row],[نوع سفارش]])</f>
        <v>بورس</v>
      </c>
      <c r="Q198" s="149">
        <f>SUMIFS('جزییات بارگیری'!D:D,'جزییات بارگیری'!C:C,invoice[[#This Row],[شماره پیش فاکتور]])</f>
        <v>20000</v>
      </c>
      <c r="R198" s="149">
        <f>IF(invoice[[#This Row],[میزان سفارش]]-invoice[[#This Row],[میزان حمل شده ]]&lt;0,0,invoice[[#This Row],[میزان سفارش]]-invoice[[#This Row],[میزان حمل شده ]])</f>
        <v>0</v>
      </c>
      <c r="S198" s="149">
        <f>invoice[[#This Row],[میزان حمل نشده ]]*invoice[[#This Row],[فی]]</f>
        <v>0</v>
      </c>
    </row>
    <row r="199" spans="1:19" ht="30.6" customHeight="1">
      <c r="A199" s="150" t="s">
        <v>903</v>
      </c>
      <c r="B199" s="150" t="s">
        <v>104</v>
      </c>
      <c r="C199" s="150" t="s">
        <v>893</v>
      </c>
      <c r="D199" s="150" t="s">
        <v>896</v>
      </c>
      <c r="E199" s="243">
        <v>50000</v>
      </c>
      <c r="F199" s="148">
        <v>116500</v>
      </c>
      <c r="G199" s="149" t="str">
        <f>CHOOSE(MID(invoice[[#This Row],[تاریخ]],6,2),"فروردین","اردیبهشت","خرداد","تیر","مرداد","شهریور","مهر","آبان","آذر","دی","بهمن","اسفند")</f>
        <v>آذر</v>
      </c>
      <c r="H199" s="149">
        <f>_xlfn.NUMBERVALUE(MID(invoice[[#This Row],[تاریخ]],1,4))</f>
        <v>1404</v>
      </c>
      <c r="I199" s="149" t="s">
        <v>240</v>
      </c>
      <c r="J199" s="149" t="s">
        <v>504</v>
      </c>
      <c r="K199" s="233">
        <v>46466</v>
      </c>
      <c r="L199" s="149">
        <f>IF(invoice[[#This Row],[سال]]=year,1,0)</f>
        <v>0</v>
      </c>
      <c r="M199" s="149"/>
      <c r="N199" s="149"/>
      <c r="O199" s="194">
        <f>SUMIF(bargiri[شماره پیش فاکتور],invoice[[#This Row],[شماره پیش فاکتور]],bargiri[میزان بارگیری شده])/invoice[[#This Row],[میزان سفارش]]</f>
        <v>1</v>
      </c>
      <c r="P199" s="149" t="str">
        <f>IF(invoice[[#This Row],[نوع سفارش]]="غیرفعال","عادی",invoice[[#This Row],[نوع سفارش]])</f>
        <v>تعادلی</v>
      </c>
      <c r="Q199" s="149">
        <f>SUMIFS('جزییات بارگیری'!D:D,'جزییات بارگیری'!C:C,invoice[[#This Row],[شماره پیش فاکتور]])</f>
        <v>50000</v>
      </c>
      <c r="R199" s="149">
        <f>IF(invoice[[#This Row],[میزان سفارش]]-invoice[[#This Row],[میزان حمل شده ]]&lt;0,0,invoice[[#This Row],[میزان سفارش]]-invoice[[#This Row],[میزان حمل شده ]])</f>
        <v>0</v>
      </c>
      <c r="S199" s="149">
        <f>invoice[[#This Row],[میزان حمل نشده ]]*invoice[[#This Row],[فی]]</f>
        <v>0</v>
      </c>
    </row>
    <row r="200" spans="1:19" ht="30.6" customHeight="1">
      <c r="A200" s="150" t="s">
        <v>904</v>
      </c>
      <c r="B200" s="150" t="s">
        <v>101</v>
      </c>
      <c r="C200" s="150" t="s">
        <v>893</v>
      </c>
      <c r="D200" s="150" t="s">
        <v>896</v>
      </c>
      <c r="E200" s="243">
        <v>20000</v>
      </c>
      <c r="F200" s="148">
        <v>116500</v>
      </c>
      <c r="G200" s="149" t="str">
        <f>CHOOSE(MID(invoice[[#This Row],[تاریخ]],6,2),"فروردین","اردیبهشت","خرداد","تیر","مرداد","شهریور","مهر","آبان","آذر","دی","بهمن","اسفند")</f>
        <v>آذر</v>
      </c>
      <c r="H200" s="149">
        <f>_xlfn.NUMBERVALUE(MID(invoice[[#This Row],[تاریخ]],1,4))</f>
        <v>1404</v>
      </c>
      <c r="I200" s="149" t="s">
        <v>240</v>
      </c>
      <c r="J200" s="149" t="s">
        <v>504</v>
      </c>
      <c r="K200" s="233">
        <v>46466</v>
      </c>
      <c r="L200" s="149">
        <f>IF(invoice[[#This Row],[سال]]=year,1,0)</f>
        <v>0</v>
      </c>
      <c r="M200" s="149"/>
      <c r="N200" s="149"/>
      <c r="O200" s="194">
        <f>SUMIF(bargiri[شماره پیش فاکتور],invoice[[#This Row],[شماره پیش فاکتور]],bargiri[میزان بارگیری شده])/invoice[[#This Row],[میزان سفارش]]</f>
        <v>1</v>
      </c>
      <c r="P200" s="149" t="str">
        <f>IF(invoice[[#This Row],[نوع سفارش]]="غیرفعال","عادی",invoice[[#This Row],[نوع سفارش]])</f>
        <v>تعادلی</v>
      </c>
      <c r="Q200" s="149">
        <f>SUMIFS('جزییات بارگیری'!D:D,'جزییات بارگیری'!C:C,invoice[[#This Row],[شماره پیش فاکتور]])</f>
        <v>20000</v>
      </c>
      <c r="R200" s="149">
        <f>IF(invoice[[#This Row],[میزان سفارش]]-invoice[[#This Row],[میزان حمل شده ]]&lt;0,0,invoice[[#This Row],[میزان سفارش]]-invoice[[#This Row],[میزان حمل شده ]])</f>
        <v>0</v>
      </c>
      <c r="S200" s="149">
        <f>invoice[[#This Row],[میزان حمل نشده ]]*invoice[[#This Row],[فی]]</f>
        <v>0</v>
      </c>
    </row>
    <row r="201" spans="1:19" ht="30.6" customHeight="1">
      <c r="A201" s="150" t="s">
        <v>905</v>
      </c>
      <c r="B201" s="150" t="s">
        <v>114</v>
      </c>
      <c r="C201" s="150" t="s">
        <v>895</v>
      </c>
      <c r="D201" s="150" t="s">
        <v>906</v>
      </c>
      <c r="E201" s="243">
        <v>500000</v>
      </c>
      <c r="F201" s="148">
        <v>135000</v>
      </c>
      <c r="G201" s="149" t="str">
        <f>CHOOSE(MID(invoice[[#This Row],[تاریخ]],6,2),"فروردین","اردیبهشت","خرداد","تیر","مرداد","شهریور","مهر","آبان","آذر","دی","بهمن","اسفند")</f>
        <v>آذر</v>
      </c>
      <c r="H201" s="149">
        <f>_xlfn.NUMBERVALUE(MID(invoice[[#This Row],[تاریخ]],1,4))</f>
        <v>1404</v>
      </c>
      <c r="I201" s="149" t="s">
        <v>243</v>
      </c>
      <c r="J201" s="149" t="s">
        <v>728</v>
      </c>
      <c r="K201" s="233">
        <v>46466</v>
      </c>
      <c r="L201" s="149">
        <f>IF(invoice[[#This Row],[سال]]=year,1,0)</f>
        <v>0</v>
      </c>
      <c r="M201" s="149"/>
      <c r="N201" s="149"/>
      <c r="O201" s="194">
        <f>SUMIF(bargiri[شماره پیش فاکتور],invoice[[#This Row],[شماره پیش فاکتور]],bargiri[میزان بارگیری شده])/invoice[[#This Row],[میزان سفارش]]</f>
        <v>1</v>
      </c>
      <c r="P201" s="149" t="str">
        <f>IF(invoice[[#This Row],[نوع سفارش]]="غیرفعال","عادی",invoice[[#This Row],[نوع سفارش]])</f>
        <v>عادی</v>
      </c>
      <c r="Q201" s="149">
        <f>SUMIFS('جزییات بارگیری'!D:D,'جزییات بارگیری'!C:C,invoice[[#This Row],[شماره پیش فاکتور]])</f>
        <v>500000</v>
      </c>
      <c r="R201" s="149">
        <f>IF(invoice[[#This Row],[میزان سفارش]]-invoice[[#This Row],[میزان حمل شده ]]&lt;0,0,invoice[[#This Row],[میزان سفارش]]-invoice[[#This Row],[میزان حمل شده ]])</f>
        <v>0</v>
      </c>
      <c r="S201" s="149">
        <f>invoice[[#This Row],[میزان حمل نشده ]]*invoice[[#This Row],[فی]]</f>
        <v>0</v>
      </c>
    </row>
    <row r="202" spans="1:19" ht="30.6" customHeight="1">
      <c r="A202" s="242" t="s">
        <v>918</v>
      </c>
      <c r="B202" s="242" t="s">
        <v>118</v>
      </c>
      <c r="C202" s="242" t="s">
        <v>908</v>
      </c>
      <c r="D202" s="242" t="s">
        <v>908</v>
      </c>
      <c r="E202" s="243">
        <v>520000</v>
      </c>
      <c r="F202" s="243">
        <v>170323</v>
      </c>
      <c r="G202" s="244" t="str">
        <f>CHOOSE(MID(invoice[[#This Row],[تاریخ]],6,2),"فروردین","اردیبهشت","خرداد","تیر","مرداد","شهریور","مهر","آبان","آذر","دی","بهمن","اسفند")</f>
        <v>دی</v>
      </c>
      <c r="H202" s="244">
        <f>_xlfn.NUMBERVALUE(MID(invoice[[#This Row],[تاریخ]],1,4))</f>
        <v>1404</v>
      </c>
      <c r="I202" s="244" t="s">
        <v>243</v>
      </c>
      <c r="J202" s="244" t="s">
        <v>504</v>
      </c>
      <c r="K202" s="245">
        <v>46466</v>
      </c>
      <c r="L202" s="244">
        <f>IF(invoice[[#This Row],[سال]]=year,1,0)</f>
        <v>0</v>
      </c>
      <c r="M202" s="244"/>
      <c r="N202" s="244"/>
      <c r="O202" s="246">
        <f>SUMIF(bargiri[شماره پیش فاکتور],invoice[[#This Row],[شماره پیش فاکتور]],bargiri[میزان بارگیری شده])/invoice[[#This Row],[میزان سفارش]]</f>
        <v>0</v>
      </c>
      <c r="P202" s="244" t="str">
        <f>IF(invoice[[#This Row],[نوع سفارش]]="غیرفعال","عادی",invoice[[#This Row],[نوع سفارش]])</f>
        <v>عادی</v>
      </c>
      <c r="Q202" s="244">
        <f>SUMIFS('جزییات بارگیری'!D:D,'جزییات بارگیری'!C:C,invoice[[#This Row],[شماره پیش فاکتور]])</f>
        <v>0</v>
      </c>
      <c r="R202" s="244">
        <f>IF(invoice[[#This Row],[میزان سفارش]]-invoice[[#This Row],[میزان حمل شده ]]&lt;0,0,invoice[[#This Row],[میزان سفارش]]-invoice[[#This Row],[میزان حمل شده ]])</f>
        <v>520000</v>
      </c>
      <c r="S202" s="244">
        <f>invoice[[#This Row],[میزان حمل نشده ]]*invoice[[#This Row],[فی]]</f>
        <v>88567960000</v>
      </c>
    </row>
    <row r="203" spans="1:19" ht="30.6" customHeight="1">
      <c r="A203" s="150" t="s">
        <v>913</v>
      </c>
      <c r="B203" s="150" t="s">
        <v>106</v>
      </c>
      <c r="C203" s="150" t="s">
        <v>910</v>
      </c>
      <c r="D203" s="150" t="s">
        <v>906</v>
      </c>
      <c r="E203" s="243">
        <v>500000</v>
      </c>
      <c r="F203" s="148">
        <v>125000</v>
      </c>
      <c r="G203" s="149" t="str">
        <f>CHOOSE(MID(invoice[[#This Row],[تاریخ]],6,2),"فروردین","اردیبهشت","خرداد","تیر","مرداد","شهریور","مهر","آبان","آذر","دی","بهمن","اسفند")</f>
        <v>دی</v>
      </c>
      <c r="H203" s="149">
        <f>_xlfn.NUMBERVALUE(MID(invoice[[#This Row],[تاریخ]],1,4))</f>
        <v>1404</v>
      </c>
      <c r="I203" s="149" t="s">
        <v>243</v>
      </c>
      <c r="J203" s="149" t="s">
        <v>504</v>
      </c>
      <c r="K203" s="233">
        <v>46466</v>
      </c>
      <c r="L203" s="149">
        <f>IF(invoice[[#This Row],[سال]]=year,1,0)</f>
        <v>0</v>
      </c>
      <c r="M203" s="149"/>
      <c r="N203" s="149"/>
      <c r="O203" s="194">
        <f>SUMIF(bargiri[شماره پیش فاکتور],invoice[[#This Row],[شماره پیش فاکتور]],bargiri[میزان بارگیری شده])/invoice[[#This Row],[میزان سفارش]]</f>
        <v>1</v>
      </c>
      <c r="P203" s="149" t="str">
        <f>IF(invoice[[#This Row],[نوع سفارش]]="غیرفعال","عادی",invoice[[#This Row],[نوع سفارش]])</f>
        <v>عادی</v>
      </c>
      <c r="Q203" s="149">
        <f>SUMIFS('جزییات بارگیری'!D:D,'جزییات بارگیری'!C:C,invoice[[#This Row],[شماره پیش فاکتور]])</f>
        <v>500000</v>
      </c>
      <c r="R203" s="149">
        <f>IF(invoice[[#This Row],[میزان سفارش]]-invoice[[#This Row],[میزان حمل شده ]]&lt;0,0,invoice[[#This Row],[میزان سفارش]]-invoice[[#This Row],[میزان حمل شده ]])</f>
        <v>0</v>
      </c>
      <c r="S203" s="149">
        <f>invoice[[#This Row],[میزان حمل نشده ]]*invoice[[#This Row],[فی]]</f>
        <v>0</v>
      </c>
    </row>
    <row r="204" spans="1:19" ht="30.6" customHeight="1">
      <c r="A204" s="150" t="s">
        <v>925</v>
      </c>
      <c r="B204" s="150" t="s">
        <v>116</v>
      </c>
      <c r="C204" s="150" t="s">
        <v>915</v>
      </c>
      <c r="D204" s="150" t="s">
        <v>919</v>
      </c>
      <c r="E204" s="243">
        <v>100000</v>
      </c>
      <c r="F204" s="148">
        <v>116500</v>
      </c>
      <c r="G204" s="149" t="str">
        <f>CHOOSE(MID(invoice[[#This Row],[تاریخ]],6,2),"فروردین","اردیبهشت","خرداد","تیر","مرداد","شهریور","مهر","آبان","آذر","دی","بهمن","اسفند")</f>
        <v>دی</v>
      </c>
      <c r="H204" s="149">
        <f>_xlfn.NUMBERVALUE(MID(invoice[[#This Row],[تاریخ]],1,4))</f>
        <v>1404</v>
      </c>
      <c r="I204" s="149" t="s">
        <v>240</v>
      </c>
      <c r="J204" s="149" t="s">
        <v>504</v>
      </c>
      <c r="K204" s="233">
        <v>46466</v>
      </c>
      <c r="L204" s="149">
        <f>IF(invoice[[#This Row],[سال]]=year,1,0)</f>
        <v>0</v>
      </c>
      <c r="M204" s="149"/>
      <c r="N204" s="149"/>
      <c r="O204" s="194">
        <f>SUMIF(bargiri[شماره پیش فاکتور],invoice[[#This Row],[شماره پیش فاکتور]],bargiri[میزان بارگیری شده])/invoice[[#This Row],[میزان سفارش]]</f>
        <v>1</v>
      </c>
      <c r="P204" s="149" t="str">
        <f>IF(invoice[[#This Row],[نوع سفارش]]="غیرفعال","عادی",invoice[[#This Row],[نوع سفارش]])</f>
        <v>تعادلی</v>
      </c>
      <c r="Q204" s="149">
        <f>SUMIFS('جزییات بارگیری'!D:D,'جزییات بارگیری'!C:C,invoice[[#This Row],[شماره پیش فاکتور]])</f>
        <v>100000</v>
      </c>
      <c r="R204" s="149">
        <f>IF(invoice[[#This Row],[میزان سفارش]]-invoice[[#This Row],[میزان حمل شده ]]&lt;0,0,invoice[[#This Row],[میزان سفارش]]-invoice[[#This Row],[میزان حمل شده ]])</f>
        <v>0</v>
      </c>
      <c r="S204" s="149">
        <f>invoice[[#This Row],[میزان حمل نشده ]]*invoice[[#This Row],[فی]]</f>
        <v>0</v>
      </c>
    </row>
    <row r="205" spans="1:19" ht="30.6" customHeight="1">
      <c r="A205" s="150" t="s">
        <v>926</v>
      </c>
      <c r="B205" s="150" t="s">
        <v>116</v>
      </c>
      <c r="C205" s="150" t="s">
        <v>907</v>
      </c>
      <c r="D205" s="150" t="s">
        <v>907</v>
      </c>
      <c r="E205" s="243">
        <v>100000</v>
      </c>
      <c r="F205" s="148">
        <v>167500</v>
      </c>
      <c r="G205" s="149" t="str">
        <f>CHOOSE(MID(invoice[[#This Row],[تاریخ]],6,2),"فروردین","اردیبهشت","خرداد","تیر","مرداد","شهریور","مهر","آبان","آذر","دی","بهمن","اسفند")</f>
        <v>دی</v>
      </c>
      <c r="H205" s="149">
        <f>_xlfn.NUMBERVALUE(MID(invoice[[#This Row],[تاریخ]],1,4))</f>
        <v>1404</v>
      </c>
      <c r="I205" s="149" t="s">
        <v>242</v>
      </c>
      <c r="J205" s="149" t="s">
        <v>504</v>
      </c>
      <c r="K205" s="233">
        <v>46466</v>
      </c>
      <c r="L205" s="149">
        <f>IF(invoice[[#This Row],[سال]]=year,1,0)</f>
        <v>0</v>
      </c>
      <c r="M205" s="149"/>
      <c r="N205" s="149"/>
      <c r="O205" s="194">
        <f>SUMIF(bargiri[شماره پیش فاکتور],invoice[[#This Row],[شماره پیش فاکتور]],bargiri[میزان بارگیری شده])/invoice[[#This Row],[میزان سفارش]]</f>
        <v>1</v>
      </c>
      <c r="P205" s="149" t="str">
        <f>IF(invoice[[#This Row],[نوع سفارش]]="غیرفعال","عادی",invoice[[#This Row],[نوع سفارش]])</f>
        <v>بورس</v>
      </c>
      <c r="Q205" s="149">
        <f>SUMIFS('جزییات بارگیری'!D:D,'جزییات بارگیری'!C:C,invoice[[#This Row],[شماره پیش فاکتور]])</f>
        <v>100000</v>
      </c>
      <c r="R205" s="149">
        <f>IF(invoice[[#This Row],[میزان سفارش]]-invoice[[#This Row],[میزان حمل شده ]]&lt;0,0,invoice[[#This Row],[میزان سفارش]]-invoice[[#This Row],[میزان حمل شده ]])</f>
        <v>0</v>
      </c>
      <c r="S205" s="149">
        <f>invoice[[#This Row],[میزان حمل نشده ]]*invoice[[#This Row],[فی]]</f>
        <v>0</v>
      </c>
    </row>
    <row r="206" spans="1:19" ht="30.6" customHeight="1">
      <c r="A206" s="150" t="s">
        <v>939</v>
      </c>
      <c r="B206" s="150" t="s">
        <v>98</v>
      </c>
      <c r="C206" s="150" t="s">
        <v>930</v>
      </c>
      <c r="D206" s="150" t="s">
        <v>929</v>
      </c>
      <c r="E206" s="243">
        <v>30000</v>
      </c>
      <c r="F206" s="148">
        <v>167500</v>
      </c>
      <c r="G206" s="149" t="str">
        <f>CHOOSE(MID(invoice[[#This Row],[تاریخ]],6,2),"فروردین","اردیبهشت","خرداد","تیر","مرداد","شهریور","مهر","آبان","آذر","دی","بهمن","اسفند")</f>
        <v>دی</v>
      </c>
      <c r="H206" s="149">
        <f>_xlfn.NUMBERVALUE(MID(invoice[[#This Row],[تاریخ]],1,4))</f>
        <v>1404</v>
      </c>
      <c r="I206" s="149" t="s">
        <v>242</v>
      </c>
      <c r="J206" s="149" t="s">
        <v>504</v>
      </c>
      <c r="K206" s="233">
        <v>46466</v>
      </c>
      <c r="L206" s="149">
        <f>IF(invoice[[#This Row],[سال]]=year,1,0)</f>
        <v>0</v>
      </c>
      <c r="M206" s="149"/>
      <c r="N206" s="149"/>
      <c r="O206" s="194">
        <f>SUMIF(bargiri[شماره پیش فاکتور],invoice[[#This Row],[شماره پیش فاکتور]],bargiri[میزان بارگیری شده])/invoice[[#This Row],[میزان سفارش]]</f>
        <v>1</v>
      </c>
      <c r="P206" s="149" t="str">
        <f>IF(invoice[[#This Row],[نوع سفارش]]="غیرفعال","عادی",invoice[[#This Row],[نوع سفارش]])</f>
        <v>بورس</v>
      </c>
      <c r="Q206" s="149">
        <f>SUMIFS('جزییات بارگیری'!D:D,'جزییات بارگیری'!C:C,invoice[[#This Row],[شماره پیش فاکتور]])</f>
        <v>30000</v>
      </c>
      <c r="R206" s="149">
        <f>IF(invoice[[#This Row],[میزان سفارش]]-invoice[[#This Row],[میزان حمل شده ]]&lt;0,0,invoice[[#This Row],[میزان سفارش]]-invoice[[#This Row],[میزان حمل شده ]])</f>
        <v>0</v>
      </c>
      <c r="S206" s="149">
        <f>invoice[[#This Row],[میزان حمل نشده ]]*invoice[[#This Row],[فی]]</f>
        <v>0</v>
      </c>
    </row>
    <row r="207" spans="1:19" ht="30.6" customHeight="1">
      <c r="A207" s="150" t="s">
        <v>940</v>
      </c>
      <c r="B207" s="150" t="s">
        <v>116</v>
      </c>
      <c r="C207" s="150" t="s">
        <v>930</v>
      </c>
      <c r="D207" s="150" t="s">
        <v>929</v>
      </c>
      <c r="E207" s="243">
        <v>20000</v>
      </c>
      <c r="F207" s="148">
        <v>167500</v>
      </c>
      <c r="G207" s="149" t="str">
        <f>CHOOSE(MID(invoice[[#This Row],[تاریخ]],6,2),"فروردین","اردیبهشت","خرداد","تیر","مرداد","شهریور","مهر","آبان","آذر","دی","بهمن","اسفند")</f>
        <v>دی</v>
      </c>
      <c r="H207" s="149">
        <f>_xlfn.NUMBERVALUE(MID(invoice[[#This Row],[تاریخ]],1,4))</f>
        <v>1404</v>
      </c>
      <c r="I207" s="149" t="s">
        <v>242</v>
      </c>
      <c r="J207" s="149" t="s">
        <v>504</v>
      </c>
      <c r="K207" s="233">
        <v>46466</v>
      </c>
      <c r="L207" s="149">
        <f>IF(invoice[[#This Row],[سال]]=year,1,0)</f>
        <v>0</v>
      </c>
      <c r="M207" s="149"/>
      <c r="N207" s="149"/>
      <c r="O207" s="194">
        <f>SUMIF(bargiri[شماره پیش فاکتور],invoice[[#This Row],[شماره پیش فاکتور]],bargiri[میزان بارگیری شده])/invoice[[#This Row],[میزان سفارش]]</f>
        <v>1</v>
      </c>
      <c r="P207" s="149" t="str">
        <f>IF(invoice[[#This Row],[نوع سفارش]]="غیرفعال","عادی",invoice[[#This Row],[نوع سفارش]])</f>
        <v>بورس</v>
      </c>
      <c r="Q207" s="149">
        <f>SUMIFS('جزییات بارگیری'!D:D,'جزییات بارگیری'!C:C,invoice[[#This Row],[شماره پیش فاکتور]])</f>
        <v>20000</v>
      </c>
      <c r="R207" s="149">
        <f>IF(invoice[[#This Row],[میزان سفارش]]-invoice[[#This Row],[میزان حمل شده ]]&lt;0,0,invoice[[#This Row],[میزان سفارش]]-invoice[[#This Row],[میزان حمل شده ]])</f>
        <v>0</v>
      </c>
      <c r="S207" s="149">
        <f>invoice[[#This Row],[میزان حمل نشده ]]*invoice[[#This Row],[فی]]</f>
        <v>0</v>
      </c>
    </row>
    <row r="208" spans="1:19" ht="30.6" customHeight="1">
      <c r="A208" s="150" t="s">
        <v>941</v>
      </c>
      <c r="B208" s="150" t="s">
        <v>104</v>
      </c>
      <c r="C208" s="150" t="s">
        <v>930</v>
      </c>
      <c r="D208" s="150" t="s">
        <v>929</v>
      </c>
      <c r="E208" s="243">
        <v>30000</v>
      </c>
      <c r="F208" s="148">
        <v>167500</v>
      </c>
      <c r="G208" s="149" t="str">
        <f>CHOOSE(MID(invoice[[#This Row],[تاریخ]],6,2),"فروردین","اردیبهشت","خرداد","تیر","مرداد","شهریور","مهر","آبان","آذر","دی","بهمن","اسفند")</f>
        <v>دی</v>
      </c>
      <c r="H208" s="149">
        <f>_xlfn.NUMBERVALUE(MID(invoice[[#This Row],[تاریخ]],1,4))</f>
        <v>1404</v>
      </c>
      <c r="I208" s="149" t="s">
        <v>242</v>
      </c>
      <c r="J208" s="149" t="s">
        <v>504</v>
      </c>
      <c r="K208" s="233">
        <v>46466</v>
      </c>
      <c r="L208" s="149">
        <f>IF(invoice[[#This Row],[سال]]=year,1,0)</f>
        <v>0</v>
      </c>
      <c r="M208" s="149"/>
      <c r="N208" s="149"/>
      <c r="O208" s="194">
        <f>SUMIF(bargiri[شماره پیش فاکتور],invoice[[#This Row],[شماره پیش فاکتور]],bargiri[میزان بارگیری شده])/invoice[[#This Row],[میزان سفارش]]</f>
        <v>1</v>
      </c>
      <c r="P208" s="149" t="str">
        <f>IF(invoice[[#This Row],[نوع سفارش]]="غیرفعال","عادی",invoice[[#This Row],[نوع سفارش]])</f>
        <v>بورس</v>
      </c>
      <c r="Q208" s="149">
        <f>SUMIFS('جزییات بارگیری'!D:D,'جزییات بارگیری'!C:C,invoice[[#This Row],[شماره پیش فاکتور]])</f>
        <v>30000</v>
      </c>
      <c r="R208" s="149">
        <f>IF(invoice[[#This Row],[میزان سفارش]]-invoice[[#This Row],[میزان حمل شده ]]&lt;0,0,invoice[[#This Row],[میزان سفارش]]-invoice[[#This Row],[میزان حمل شده ]])</f>
        <v>0</v>
      </c>
      <c r="S208" s="149">
        <f>invoice[[#This Row],[میزان حمل نشده ]]*invoice[[#This Row],[فی]]</f>
        <v>0</v>
      </c>
    </row>
    <row r="209" spans="1:19" ht="30.6" customHeight="1">
      <c r="A209" s="150" t="s">
        <v>950</v>
      </c>
      <c r="B209" s="242" t="s">
        <v>118</v>
      </c>
      <c r="C209" s="150" t="s">
        <v>908</v>
      </c>
      <c r="D209" s="150" t="s">
        <v>908</v>
      </c>
      <c r="E209" s="243">
        <v>500000</v>
      </c>
      <c r="F209" s="148">
        <v>115372</v>
      </c>
      <c r="G209" s="149" t="str">
        <f>CHOOSE(MID(invoice[[#This Row],[تاریخ]],6,2),"فروردین","اردیبهشت","خرداد","تیر","مرداد","شهریور","مهر","آبان","آذر","دی","بهمن","اسفند")</f>
        <v>دی</v>
      </c>
      <c r="H209" s="149">
        <f>_xlfn.NUMBERVALUE(MID(invoice[[#This Row],[تاریخ]],1,4))</f>
        <v>1404</v>
      </c>
      <c r="I209" s="149" t="s">
        <v>243</v>
      </c>
      <c r="J209" s="149" t="s">
        <v>504</v>
      </c>
      <c r="K209" s="233">
        <v>46466</v>
      </c>
      <c r="L209" s="149">
        <f>IF(invoice[[#This Row],[سال]]=year,1,0)</f>
        <v>0</v>
      </c>
      <c r="M209" s="149"/>
      <c r="N209" s="149"/>
      <c r="O209" s="194">
        <f>SUMIF(bargiri[شماره پیش فاکتور],invoice[[#This Row],[شماره پیش فاکتور]],bargiri[میزان بارگیری شده])/invoice[[#This Row],[میزان سفارش]]</f>
        <v>1</v>
      </c>
      <c r="P209" s="149" t="str">
        <f>IF(invoice[[#This Row],[نوع سفارش]]="غیرفعال","عادی",invoice[[#This Row],[نوع سفارش]])</f>
        <v>عادی</v>
      </c>
      <c r="Q209" s="149">
        <f>SUMIFS('جزییات بارگیری'!D:D,'جزییات بارگیری'!C:C,invoice[[#This Row],[شماره پیش فاکتور]])</f>
        <v>500000</v>
      </c>
      <c r="R209" s="149">
        <f>IF(invoice[[#This Row],[میزان سفارش]]-invoice[[#This Row],[میزان حمل شده ]]&lt;0,0,invoice[[#This Row],[میزان سفارش]]-invoice[[#This Row],[میزان حمل شده ]])</f>
        <v>0</v>
      </c>
      <c r="S209" s="149">
        <f>invoice[[#This Row],[میزان حمل نشده ]]*invoice[[#This Row],[فی]]</f>
        <v>0</v>
      </c>
    </row>
    <row r="210" spans="1:19" ht="30.6" customHeight="1">
      <c r="A210" s="150" t="s">
        <v>948</v>
      </c>
      <c r="B210" s="242" t="s">
        <v>118</v>
      </c>
      <c r="C210" s="150" t="s">
        <v>908</v>
      </c>
      <c r="D210" s="150" t="s">
        <v>908</v>
      </c>
      <c r="E210" s="243">
        <v>500000</v>
      </c>
      <c r="F210" s="148">
        <v>115372</v>
      </c>
      <c r="G210" s="149" t="str">
        <f>CHOOSE(MID(invoice[[#This Row],[تاریخ]],6,2),"فروردین","اردیبهشت","خرداد","تیر","مرداد","شهریور","مهر","آبان","آذر","دی","بهمن","اسفند")</f>
        <v>دی</v>
      </c>
      <c r="H210" s="149">
        <f>_xlfn.NUMBERVALUE(MID(invoice[[#This Row],[تاریخ]],1,4))</f>
        <v>1404</v>
      </c>
      <c r="I210" s="149" t="s">
        <v>243</v>
      </c>
      <c r="J210" s="149" t="s">
        <v>504</v>
      </c>
      <c r="K210" s="233">
        <v>46466</v>
      </c>
      <c r="L210" s="149">
        <f>IF(invoice[[#This Row],[سال]]=year,1,0)</f>
        <v>0</v>
      </c>
      <c r="M210" s="149"/>
      <c r="N210" s="149"/>
      <c r="O210" s="194">
        <f>SUMIF(bargiri[شماره پیش فاکتور],invoice[[#This Row],[شماره پیش فاکتور]],bargiri[میزان بارگیری شده])/invoice[[#This Row],[میزان سفارش]]</f>
        <v>1</v>
      </c>
      <c r="P210" s="149" t="str">
        <f>IF(invoice[[#This Row],[نوع سفارش]]="غیرفعال","عادی",invoice[[#This Row],[نوع سفارش]])</f>
        <v>عادی</v>
      </c>
      <c r="Q210" s="149">
        <f>SUMIFS('جزییات بارگیری'!D:D,'جزییات بارگیری'!C:C,invoice[[#This Row],[شماره پیش فاکتور]])</f>
        <v>500000</v>
      </c>
      <c r="R210" s="149">
        <f>IF(invoice[[#This Row],[میزان سفارش]]-invoice[[#This Row],[میزان حمل شده ]]&lt;0,0,invoice[[#This Row],[میزان سفارش]]-invoice[[#This Row],[میزان حمل شده ]])</f>
        <v>0</v>
      </c>
      <c r="S210" s="149">
        <f>invoice[[#This Row],[میزان حمل نشده ]]*invoice[[#This Row],[فی]]</f>
        <v>0</v>
      </c>
    </row>
    <row r="211" spans="1:19" ht="30.6" customHeight="1">
      <c r="A211" s="150" t="s">
        <v>953</v>
      </c>
      <c r="B211" s="150" t="s">
        <v>101</v>
      </c>
      <c r="C211" s="150" t="s">
        <v>930</v>
      </c>
      <c r="D211" s="150" t="s">
        <v>929</v>
      </c>
      <c r="E211" s="243">
        <v>20000</v>
      </c>
      <c r="F211" s="148">
        <v>167500</v>
      </c>
      <c r="G211" s="149" t="str">
        <f>CHOOSE(MID(invoice[[#This Row],[تاریخ]],6,2),"فروردین","اردیبهشت","خرداد","تیر","مرداد","شهریور","مهر","آبان","آذر","دی","بهمن","اسفند")</f>
        <v>دی</v>
      </c>
      <c r="H211" s="149">
        <f>_xlfn.NUMBERVALUE(MID(invoice[[#This Row],[تاریخ]],1,4))</f>
        <v>1404</v>
      </c>
      <c r="I211" s="149" t="s">
        <v>242</v>
      </c>
      <c r="J211" s="149" t="s">
        <v>504</v>
      </c>
      <c r="K211" s="233">
        <v>46466</v>
      </c>
      <c r="L211" s="149">
        <f>IF(invoice[[#This Row],[سال]]=year,1,0)</f>
        <v>0</v>
      </c>
      <c r="M211" s="149"/>
      <c r="N211" s="149"/>
      <c r="O211" s="194">
        <f>SUMIF(bargiri[شماره پیش فاکتور],invoice[[#This Row],[شماره پیش فاکتور]],bargiri[میزان بارگیری شده])/invoice[[#This Row],[میزان سفارش]]</f>
        <v>1</v>
      </c>
      <c r="P211" s="149" t="str">
        <f>IF(invoice[[#This Row],[نوع سفارش]]="غیرفعال","عادی",invoice[[#This Row],[نوع سفارش]])</f>
        <v>بورس</v>
      </c>
      <c r="Q211" s="149">
        <f>SUMIFS('جزییات بارگیری'!D:D,'جزییات بارگیری'!C:C,invoice[[#This Row],[شماره پیش فاکتور]])</f>
        <v>20000</v>
      </c>
      <c r="R211" s="149">
        <f>IF(invoice[[#This Row],[میزان سفارش]]-invoice[[#This Row],[میزان حمل شده ]]&lt;0,0,invoice[[#This Row],[میزان سفارش]]-invoice[[#This Row],[میزان حمل شده ]])</f>
        <v>0</v>
      </c>
      <c r="S211" s="149">
        <f>invoice[[#This Row],[میزان حمل نشده ]]*invoice[[#This Row],[فی]]</f>
        <v>0</v>
      </c>
    </row>
    <row r="212" spans="1:19" ht="30.6" customHeight="1">
      <c r="A212" s="150" t="s">
        <v>954</v>
      </c>
      <c r="B212" s="150" t="s">
        <v>98</v>
      </c>
      <c r="C212" s="150" t="s">
        <v>933</v>
      </c>
      <c r="D212" s="150" t="s">
        <v>949</v>
      </c>
      <c r="E212" s="243">
        <v>30000</v>
      </c>
      <c r="F212" s="148">
        <v>116500</v>
      </c>
      <c r="G212" s="149" t="str">
        <f>CHOOSE(MID(invoice[[#This Row],[تاریخ]],6,2),"فروردین","اردیبهشت","خرداد","تیر","مرداد","شهریور","مهر","آبان","آذر","دی","بهمن","اسفند")</f>
        <v>دی</v>
      </c>
      <c r="H212" s="149">
        <f>_xlfn.NUMBERVALUE(MID(invoice[[#This Row],[تاریخ]],1,4))</f>
        <v>1404</v>
      </c>
      <c r="I212" s="149" t="s">
        <v>240</v>
      </c>
      <c r="J212" s="149" t="s">
        <v>504</v>
      </c>
      <c r="K212" s="233">
        <v>46466</v>
      </c>
      <c r="L212" s="149">
        <f>IF(invoice[[#This Row],[سال]]=year,1,0)</f>
        <v>0</v>
      </c>
      <c r="M212" s="149"/>
      <c r="N212" s="149"/>
      <c r="O212" s="194">
        <f>SUMIF(bargiri[شماره پیش فاکتور],invoice[[#This Row],[شماره پیش فاکتور]],bargiri[میزان بارگیری شده])/invoice[[#This Row],[میزان سفارش]]</f>
        <v>0.26766666666666666</v>
      </c>
      <c r="P212" s="149" t="str">
        <f>IF(invoice[[#This Row],[نوع سفارش]]="غیرفعال","عادی",invoice[[#This Row],[نوع سفارش]])</f>
        <v>تعادلی</v>
      </c>
      <c r="Q212" s="149">
        <f>SUMIFS('جزییات بارگیری'!D:D,'جزییات بارگیری'!C:C,invoice[[#This Row],[شماره پیش فاکتور]])</f>
        <v>8030</v>
      </c>
      <c r="R212" s="149">
        <f>IF(invoice[[#This Row],[میزان سفارش]]-invoice[[#This Row],[میزان حمل شده ]]&lt;0,0,invoice[[#This Row],[میزان سفارش]]-invoice[[#This Row],[میزان حمل شده ]])</f>
        <v>21970</v>
      </c>
      <c r="S212" s="149">
        <f>invoice[[#This Row],[میزان حمل نشده ]]*invoice[[#This Row],[فی]]</f>
        <v>2559505000</v>
      </c>
    </row>
    <row r="213" spans="1:19" ht="30.6" customHeight="1">
      <c r="A213" s="150" t="s">
        <v>955</v>
      </c>
      <c r="B213" s="150" t="s">
        <v>116</v>
      </c>
      <c r="C213" s="150" t="s">
        <v>933</v>
      </c>
      <c r="D213" s="150" t="s">
        <v>949</v>
      </c>
      <c r="E213" s="243">
        <v>20000</v>
      </c>
      <c r="F213" s="148">
        <v>116500</v>
      </c>
      <c r="G213" s="149" t="str">
        <f>CHOOSE(MID(invoice[[#This Row],[تاریخ]],6,2),"فروردین","اردیبهشت","خرداد","تیر","مرداد","شهریور","مهر","آبان","آذر","دی","بهمن","اسفند")</f>
        <v>دی</v>
      </c>
      <c r="H213" s="149">
        <f>_xlfn.NUMBERVALUE(MID(invoice[[#This Row],[تاریخ]],1,4))</f>
        <v>1404</v>
      </c>
      <c r="I213" s="149" t="s">
        <v>240</v>
      </c>
      <c r="J213" s="149" t="s">
        <v>504</v>
      </c>
      <c r="K213" s="233">
        <v>46466</v>
      </c>
      <c r="L213" s="149">
        <f>IF(invoice[[#This Row],[سال]]=year,1,0)</f>
        <v>0</v>
      </c>
      <c r="M213" s="149"/>
      <c r="N213" s="149"/>
      <c r="O213" s="194">
        <f>SUMIF(bargiri[شماره پیش فاکتور],invoice[[#This Row],[شماره پیش فاکتور]],bargiri[میزان بارگیری شده])/invoice[[#This Row],[میزان سفارش]]</f>
        <v>1</v>
      </c>
      <c r="P213" s="149" t="str">
        <f>IF(invoice[[#This Row],[نوع سفارش]]="غیرفعال","عادی",invoice[[#This Row],[نوع سفارش]])</f>
        <v>تعادلی</v>
      </c>
      <c r="Q213" s="149">
        <f>SUMIFS('جزییات بارگیری'!D:D,'جزییات بارگیری'!C:C,invoice[[#This Row],[شماره پیش فاکتور]])</f>
        <v>20000</v>
      </c>
      <c r="R213" s="149">
        <f>IF(invoice[[#This Row],[میزان سفارش]]-invoice[[#This Row],[میزان حمل شده ]]&lt;0,0,invoice[[#This Row],[میزان سفارش]]-invoice[[#This Row],[میزان حمل شده ]])</f>
        <v>0</v>
      </c>
      <c r="S213" s="149">
        <f>invoice[[#This Row],[میزان حمل نشده ]]*invoice[[#This Row],[فی]]</f>
        <v>0</v>
      </c>
    </row>
    <row r="214" spans="1:19" ht="30.6" customHeight="1">
      <c r="A214" s="150" t="s">
        <v>956</v>
      </c>
      <c r="B214" s="150" t="s">
        <v>104</v>
      </c>
      <c r="C214" s="150" t="s">
        <v>933</v>
      </c>
      <c r="D214" s="151">
        <v>46037</v>
      </c>
      <c r="E214" s="243">
        <v>30000</v>
      </c>
      <c r="F214" s="148">
        <v>116500</v>
      </c>
      <c r="G214" s="149" t="str">
        <f>CHOOSE(MID(invoice[[#This Row],[تاریخ]],6,2),"فروردین","اردیبهشت","خرداد","تیر","مرداد","شهریور","مهر","آبان","آذر","دی","بهمن","اسفند")</f>
        <v>دی</v>
      </c>
      <c r="H214" s="149">
        <f>_xlfn.NUMBERVALUE(MID(invoice[[#This Row],[تاریخ]],1,4))</f>
        <v>1404</v>
      </c>
      <c r="I214" s="149" t="s">
        <v>240</v>
      </c>
      <c r="J214" s="149" t="s">
        <v>504</v>
      </c>
      <c r="K214" s="233">
        <v>46466</v>
      </c>
      <c r="L214" s="149">
        <f>IF(invoice[[#This Row],[سال]]=year,1,0)</f>
        <v>0</v>
      </c>
      <c r="M214" s="149"/>
      <c r="N214" s="149"/>
      <c r="O214" s="194">
        <f>SUMIF(bargiri[شماره پیش فاکتور],invoice[[#This Row],[شماره پیش فاکتور]],bargiri[میزان بارگیری شده])/invoice[[#This Row],[میزان سفارش]]</f>
        <v>0</v>
      </c>
      <c r="P214" s="149" t="str">
        <f>IF(invoice[[#This Row],[نوع سفارش]]="غیرفعال","عادی",invoice[[#This Row],[نوع سفارش]])</f>
        <v>تعادلی</v>
      </c>
      <c r="Q214" s="149">
        <f>SUMIFS('جزییات بارگیری'!D:D,'جزییات بارگیری'!C:C,invoice[[#This Row],[شماره پیش فاکتور]])</f>
        <v>0</v>
      </c>
      <c r="R214" s="149">
        <f>IF(invoice[[#This Row],[میزان سفارش]]-invoice[[#This Row],[میزان حمل شده ]]&lt;0,0,invoice[[#This Row],[میزان سفارش]]-invoice[[#This Row],[میزان حمل شده ]])</f>
        <v>30000</v>
      </c>
      <c r="S214" s="149">
        <f>invoice[[#This Row],[میزان حمل نشده ]]*invoice[[#This Row],[فی]]</f>
        <v>3495000000</v>
      </c>
    </row>
    <row r="215" spans="1:19" ht="30.6" customHeight="1">
      <c r="A215" s="150" t="s">
        <v>957</v>
      </c>
      <c r="B215" s="150" t="s">
        <v>101</v>
      </c>
      <c r="C215" s="150" t="s">
        <v>933</v>
      </c>
      <c r="D215" s="150" t="s">
        <v>949</v>
      </c>
      <c r="E215" s="243">
        <v>20000</v>
      </c>
      <c r="F215" s="148">
        <v>116500</v>
      </c>
      <c r="G215" s="149" t="str">
        <f>CHOOSE(MID(invoice[[#This Row],[تاریخ]],6,2),"فروردین","اردیبهشت","خرداد","تیر","مرداد","شهریور","مهر","آبان","آذر","دی","بهمن","اسفند")</f>
        <v>دی</v>
      </c>
      <c r="H215" s="149">
        <f>_xlfn.NUMBERVALUE(MID(invoice[[#This Row],[تاریخ]],1,4))</f>
        <v>1404</v>
      </c>
      <c r="I215" s="149" t="s">
        <v>240</v>
      </c>
      <c r="J215" s="149" t="s">
        <v>504</v>
      </c>
      <c r="K215" s="233">
        <v>46466</v>
      </c>
      <c r="L215" s="149">
        <f>IF(invoice[[#This Row],[سال]]=year,1,0)</f>
        <v>0</v>
      </c>
      <c r="M215" s="149"/>
      <c r="N215" s="149"/>
      <c r="O215" s="194">
        <f>SUMIF(bargiri[شماره پیش فاکتور],invoice[[#This Row],[شماره پیش فاکتور]],bargiri[میزان بارگیری شده])/invoice[[#This Row],[میزان سفارش]]</f>
        <v>1</v>
      </c>
      <c r="P215" s="149" t="str">
        <f>IF(invoice[[#This Row],[نوع سفارش]]="غیرفعال","عادی",invoice[[#This Row],[نوع سفارش]])</f>
        <v>تعادلی</v>
      </c>
      <c r="Q215" s="149">
        <f>SUMIFS('جزییات بارگیری'!D:D,'جزییات بارگیری'!C:C,invoice[[#This Row],[شماره پیش فاکتور]])</f>
        <v>20000</v>
      </c>
      <c r="R215" s="149">
        <f>IF(invoice[[#This Row],[میزان سفارش]]-invoice[[#This Row],[میزان حمل شده ]]&lt;0,0,invoice[[#This Row],[میزان سفارش]]-invoice[[#This Row],[میزان حمل شده ]])</f>
        <v>0</v>
      </c>
      <c r="S215" s="149">
        <f>invoice[[#This Row],[میزان حمل نشده ]]*invoice[[#This Row],[فی]]</f>
        <v>0</v>
      </c>
    </row>
    <row r="216" spans="1:19" ht="30.6" customHeight="1">
      <c r="A216" s="150" t="s">
        <v>958</v>
      </c>
      <c r="B216" s="150" t="s">
        <v>106</v>
      </c>
      <c r="C216" s="150" t="s">
        <v>938</v>
      </c>
      <c r="D216" s="151">
        <v>46042</v>
      </c>
      <c r="E216" s="243">
        <v>400000</v>
      </c>
      <c r="F216" s="148">
        <v>125000</v>
      </c>
      <c r="G216" s="149" t="str">
        <f>CHOOSE(MID(invoice[[#This Row],[تاریخ]],6,2),"فروردین","اردیبهشت","خرداد","تیر","مرداد","شهریور","مهر","آبان","آذر","دی","بهمن","اسفند")</f>
        <v>دی</v>
      </c>
      <c r="H216" s="149">
        <f>_xlfn.NUMBERVALUE(MID(invoice[[#This Row],[تاریخ]],1,4))</f>
        <v>1404</v>
      </c>
      <c r="I216" s="149" t="s">
        <v>243</v>
      </c>
      <c r="J216" s="149" t="s">
        <v>504</v>
      </c>
      <c r="K216" s="233">
        <v>46466</v>
      </c>
      <c r="L216" s="149">
        <f>IF(invoice[[#This Row],[سال]]=year,1,0)</f>
        <v>0</v>
      </c>
      <c r="M216" s="149"/>
      <c r="N216" s="149"/>
      <c r="O216" s="194">
        <f>SUMIF(bargiri[شماره پیش فاکتور],invoice[[#This Row],[شماره پیش فاکتور]],bargiri[میزان بارگیری شده])/invoice[[#This Row],[میزان سفارش]]</f>
        <v>0.23897499999999999</v>
      </c>
      <c r="P216" s="149" t="str">
        <f>IF(invoice[[#This Row],[نوع سفارش]]="غیرفعال","عادی",invoice[[#This Row],[نوع سفارش]])</f>
        <v>عادی</v>
      </c>
      <c r="Q216" s="149">
        <f>SUMIFS('جزییات بارگیری'!D:D,'جزییات بارگیری'!C:C,invoice[[#This Row],[شماره پیش فاکتور]])</f>
        <v>95590</v>
      </c>
      <c r="R216" s="149">
        <f>IF(invoice[[#This Row],[میزان سفارش]]-invoice[[#This Row],[میزان حمل شده ]]&lt;0,0,invoice[[#This Row],[میزان سفارش]]-invoice[[#This Row],[میزان حمل شده ]])</f>
        <v>304410</v>
      </c>
      <c r="S216" s="149">
        <f>invoice[[#This Row],[میزان حمل نشده ]]*invoice[[#This Row],[فی]]</f>
        <v>38051250000</v>
      </c>
    </row>
    <row r="217" spans="1:19" ht="30.6" customHeight="1">
      <c r="A217" s="150" t="s">
        <v>959</v>
      </c>
      <c r="B217" s="150" t="s">
        <v>116</v>
      </c>
      <c r="C217" s="150" t="s">
        <v>943</v>
      </c>
      <c r="D217" s="150" t="s">
        <v>943</v>
      </c>
      <c r="E217" s="243">
        <v>80000</v>
      </c>
      <c r="F217" s="148">
        <v>167500</v>
      </c>
      <c r="G217" s="149" t="str">
        <f>CHOOSE(MID(invoice[[#This Row],[تاریخ]],6,2),"فروردین","اردیبهشت","خرداد","تیر","مرداد","شهریور","مهر","آبان","آذر","دی","بهمن","اسفند")</f>
        <v>بهمن</v>
      </c>
      <c r="H217" s="149">
        <f>_xlfn.NUMBERVALUE(MID(invoice[[#This Row],[تاریخ]],1,4))</f>
        <v>1404</v>
      </c>
      <c r="I217" s="149" t="s">
        <v>242</v>
      </c>
      <c r="J217" s="149" t="s">
        <v>504</v>
      </c>
      <c r="K217" s="233">
        <v>46466</v>
      </c>
      <c r="L217" s="149">
        <f>IF(invoice[[#This Row],[سال]]=year,1,0)</f>
        <v>0</v>
      </c>
      <c r="M217" s="149"/>
      <c r="N217" s="149"/>
      <c r="O217" s="194">
        <f>SUMIF(bargiri[شماره پیش فاکتور],invoice[[#This Row],[شماره پیش فاکتور]],bargiri[میزان بارگیری شده])/invoice[[#This Row],[میزان سفارش]]</f>
        <v>1</v>
      </c>
      <c r="P217" s="149" t="str">
        <f>IF(invoice[[#This Row],[نوع سفارش]]="غیرفعال","عادی",invoice[[#This Row],[نوع سفارش]])</f>
        <v>بورس</v>
      </c>
      <c r="Q217" s="149">
        <f>SUMIFS('جزییات بارگیری'!D:D,'جزییات بارگیری'!C:C,invoice[[#This Row],[شماره پیش فاکتور]])</f>
        <v>80000</v>
      </c>
      <c r="R217" s="149">
        <f>IF(invoice[[#This Row],[میزان سفارش]]-invoice[[#This Row],[میزان حمل شده ]]&lt;0,0,invoice[[#This Row],[میزان سفارش]]-invoice[[#This Row],[میزان حمل شده ]])</f>
        <v>0</v>
      </c>
      <c r="S217" s="149">
        <f>invoice[[#This Row],[میزان حمل نشده ]]*invoice[[#This Row],[فی]]</f>
        <v>0</v>
      </c>
    </row>
    <row r="218" spans="1:19" ht="30.6" customHeight="1">
      <c r="A218" s="150" t="s">
        <v>960</v>
      </c>
      <c r="B218" s="150" t="s">
        <v>101</v>
      </c>
      <c r="C218" s="150" t="s">
        <v>943</v>
      </c>
      <c r="D218" s="150" t="s">
        <v>943</v>
      </c>
      <c r="E218" s="243">
        <v>20000</v>
      </c>
      <c r="F218" s="148">
        <v>167500</v>
      </c>
      <c r="G218" s="149" t="str">
        <f>CHOOSE(MID(invoice[[#This Row],[تاریخ]],6,2),"فروردین","اردیبهشت","خرداد","تیر","مرداد","شهریور","مهر","آبان","آذر","دی","بهمن","اسفند")</f>
        <v>بهمن</v>
      </c>
      <c r="H218" s="149">
        <f>_xlfn.NUMBERVALUE(MID(invoice[[#This Row],[تاریخ]],1,4))</f>
        <v>1404</v>
      </c>
      <c r="I218" s="149" t="s">
        <v>242</v>
      </c>
      <c r="J218" s="149" t="s">
        <v>504</v>
      </c>
      <c r="K218" s="233">
        <v>46466</v>
      </c>
      <c r="L218" s="149">
        <f>IF(invoice[[#This Row],[سال]]=year,1,0)</f>
        <v>0</v>
      </c>
      <c r="M218" s="149"/>
      <c r="N218" s="149"/>
      <c r="O218" s="194">
        <f>SUMIF(bargiri[شماره پیش فاکتور],invoice[[#This Row],[شماره پیش فاکتور]],bargiri[میزان بارگیری شده])/invoice[[#This Row],[میزان سفارش]]</f>
        <v>1</v>
      </c>
      <c r="P218" s="149" t="str">
        <f>IF(invoice[[#This Row],[نوع سفارش]]="غیرفعال","عادی",invoice[[#This Row],[نوع سفارش]])</f>
        <v>بورس</v>
      </c>
      <c r="Q218" s="149">
        <f>SUMIFS('جزییات بارگیری'!D:D,'جزییات بارگیری'!C:C,invoice[[#This Row],[شماره پیش فاکتور]])</f>
        <v>20000</v>
      </c>
      <c r="R218" s="149">
        <f>IF(invoice[[#This Row],[میزان سفارش]]-invoice[[#This Row],[میزان حمل شده ]]&lt;0,0,invoice[[#This Row],[میزان سفارش]]-invoice[[#This Row],[میزان حمل شده ]])</f>
        <v>0</v>
      </c>
      <c r="S218" s="149">
        <f>invoice[[#This Row],[میزان حمل نشده ]]*invoice[[#This Row],[فی]]</f>
        <v>0</v>
      </c>
    </row>
    <row r="219" spans="1:19" ht="30.6" customHeight="1">
      <c r="A219" s="150" t="s">
        <v>972</v>
      </c>
      <c r="B219" s="150" t="s">
        <v>116</v>
      </c>
      <c r="C219" s="150" t="s">
        <v>946</v>
      </c>
      <c r="D219" s="150" t="s">
        <v>974</v>
      </c>
      <c r="E219" s="243">
        <v>80000</v>
      </c>
      <c r="F219" s="148">
        <v>116500</v>
      </c>
      <c r="G219" s="149" t="str">
        <f>CHOOSE(MID(invoice[[#This Row],[تاریخ]],6,2),"فروردین","اردیبهشت","خرداد","تیر","مرداد","شهریور","مهر","آبان","آذر","دی","بهمن","اسفند")</f>
        <v>بهمن</v>
      </c>
      <c r="H219" s="149">
        <f>_xlfn.NUMBERVALUE(MID(invoice[[#This Row],[تاریخ]],1,4))</f>
        <v>1404</v>
      </c>
      <c r="I219" s="149" t="s">
        <v>240</v>
      </c>
      <c r="J219" s="149" t="s">
        <v>504</v>
      </c>
      <c r="K219" s="233">
        <v>46101</v>
      </c>
      <c r="L219" s="149">
        <f>IF(invoice[[#This Row],[سال]]=year,1,0)</f>
        <v>0</v>
      </c>
      <c r="M219" s="149"/>
      <c r="N219" s="149"/>
      <c r="O219" s="194">
        <f>SUMIF(bargiri[شماره پیش فاکتور],invoice[[#This Row],[شماره پیش فاکتور]],bargiri[میزان بارگیری شده])/invoice[[#This Row],[میزان سفارش]]</f>
        <v>1</v>
      </c>
      <c r="P219" s="149" t="str">
        <f>IF(invoice[[#This Row],[نوع سفارش]]="غیرفعال","عادی",invoice[[#This Row],[نوع سفارش]])</f>
        <v>تعادلی</v>
      </c>
      <c r="Q219" s="149">
        <f>SUMIFS('جزییات بارگیری'!D:D,'جزییات بارگیری'!C:C,invoice[[#This Row],[شماره پیش فاکتور]])</f>
        <v>80000</v>
      </c>
      <c r="R219" s="149">
        <f>IF(invoice[[#This Row],[میزان سفارش]]-invoice[[#This Row],[میزان حمل شده ]]&lt;0,0,invoice[[#This Row],[میزان سفارش]]-invoice[[#This Row],[میزان حمل شده ]])</f>
        <v>0</v>
      </c>
      <c r="S219" s="149">
        <f>invoice[[#This Row],[میزان حمل نشده ]]*invoice[[#This Row],[فی]]</f>
        <v>0</v>
      </c>
    </row>
    <row r="220" spans="1:19" ht="30.6" customHeight="1">
      <c r="A220" s="150" t="s">
        <v>973</v>
      </c>
      <c r="B220" s="150" t="s">
        <v>101</v>
      </c>
      <c r="C220" s="150" t="s">
        <v>946</v>
      </c>
      <c r="D220" s="150" t="s">
        <v>965</v>
      </c>
      <c r="E220" s="243">
        <v>20000</v>
      </c>
      <c r="F220" s="148">
        <v>116500</v>
      </c>
      <c r="G220" s="149" t="str">
        <f>CHOOSE(MID(invoice[[#This Row],[تاریخ]],6,2),"فروردین","اردیبهشت","خرداد","تیر","مرداد","شهریور","مهر","آبان","آذر","دی","بهمن","اسفند")</f>
        <v>بهمن</v>
      </c>
      <c r="H220" s="149">
        <f>_xlfn.NUMBERVALUE(MID(invoice[[#This Row],[تاریخ]],1,4))</f>
        <v>1404</v>
      </c>
      <c r="I220" s="149" t="s">
        <v>240</v>
      </c>
      <c r="J220" s="149" t="s">
        <v>504</v>
      </c>
      <c r="K220" s="233">
        <v>46101</v>
      </c>
      <c r="L220" s="149">
        <f>IF(invoice[[#This Row],[سال]]=year,1,0)</f>
        <v>0</v>
      </c>
      <c r="M220" s="149"/>
      <c r="N220" s="149"/>
      <c r="O220" s="194">
        <f>SUMIF(bargiri[شماره پیش فاکتور],invoice[[#This Row],[شماره پیش فاکتور]],bargiri[میزان بارگیری شده])/invoice[[#This Row],[میزان سفارش]]</f>
        <v>1</v>
      </c>
      <c r="P220" s="149" t="str">
        <f>IF(invoice[[#This Row],[نوع سفارش]]="غیرفعال","عادی",invoice[[#This Row],[نوع سفارش]])</f>
        <v>تعادلی</v>
      </c>
      <c r="Q220" s="149">
        <f>SUMIFS('جزییات بارگیری'!D:D,'جزییات بارگیری'!C:C,invoice[[#This Row],[شماره پیش فاکتور]])</f>
        <v>20000</v>
      </c>
      <c r="R220" s="149">
        <f>IF(invoice[[#This Row],[میزان سفارش]]-invoice[[#This Row],[میزان حمل شده ]]&lt;0,0,invoice[[#This Row],[میزان سفارش]]-invoice[[#This Row],[میزان حمل شده ]])</f>
        <v>0</v>
      </c>
      <c r="S220" s="149">
        <f>invoice[[#This Row],[میزان حمل نشده ]]*invoice[[#This Row],[فی]]</f>
        <v>0</v>
      </c>
    </row>
    <row r="221" spans="1:19" ht="30.6" customHeight="1">
      <c r="A221" s="150" t="s">
        <v>982</v>
      </c>
      <c r="B221" s="150" t="s">
        <v>104</v>
      </c>
      <c r="C221" s="150" t="s">
        <v>966</v>
      </c>
      <c r="D221" s="150" t="s">
        <v>984</v>
      </c>
      <c r="E221" s="243">
        <v>40000</v>
      </c>
      <c r="F221" s="148">
        <v>167500</v>
      </c>
      <c r="G221" s="149" t="str">
        <f>CHOOSE(MID(invoice[[#This Row],[تاریخ]],6,2),"فروردین","اردیبهشت","خرداد","تیر","مرداد","شهریور","مهر","آبان","آذر","دی","بهمن","اسفند")</f>
        <v>بهمن</v>
      </c>
      <c r="H221" s="149">
        <f>_xlfn.NUMBERVALUE(MID(invoice[[#This Row],[تاریخ]],1,4))</f>
        <v>1404</v>
      </c>
      <c r="I221" s="149" t="s">
        <v>242</v>
      </c>
      <c r="J221" s="149" t="s">
        <v>504</v>
      </c>
      <c r="K221" s="233">
        <v>46101</v>
      </c>
      <c r="L221" s="149">
        <f>IF(invoice[[#This Row],[سال]]=year,1,0)</f>
        <v>0</v>
      </c>
      <c r="M221" s="149"/>
      <c r="N221" s="149"/>
      <c r="O221" s="194">
        <f>SUMIF(bargiri[شماره پیش فاکتور],invoice[[#This Row],[شماره پیش فاکتور]],bargiri[میزان بارگیری شده])/invoice[[#This Row],[میزان سفارش]]</f>
        <v>1</v>
      </c>
      <c r="P221" s="149" t="str">
        <f>IF(invoice[[#This Row],[نوع سفارش]]="غیرفعال","عادی",invoice[[#This Row],[نوع سفارش]])</f>
        <v>بورس</v>
      </c>
      <c r="Q221" s="149">
        <f>SUMIFS('جزییات بارگیری'!D:D,'جزییات بارگیری'!C:C,invoice[[#This Row],[شماره پیش فاکتور]])</f>
        <v>40000</v>
      </c>
      <c r="R221" s="149">
        <f>IF(invoice[[#This Row],[میزان سفارش]]-invoice[[#This Row],[میزان حمل شده ]]&lt;0,0,invoice[[#This Row],[میزان سفارش]]-invoice[[#This Row],[میزان حمل شده ]])</f>
        <v>0</v>
      </c>
      <c r="S221" s="149">
        <f>invoice[[#This Row],[میزان حمل نشده ]]*invoice[[#This Row],[فی]]</f>
        <v>0</v>
      </c>
    </row>
    <row r="222" spans="1:19" ht="30.6" customHeight="1">
      <c r="A222" s="150" t="s">
        <v>983</v>
      </c>
      <c r="B222" s="150" t="s">
        <v>117</v>
      </c>
      <c r="C222" s="150" t="s">
        <v>975</v>
      </c>
      <c r="D222" s="150" t="s">
        <v>974</v>
      </c>
      <c r="E222" s="243">
        <v>40000</v>
      </c>
      <c r="F222" s="148">
        <v>167500</v>
      </c>
      <c r="G222" s="149" t="str">
        <f>CHOOSE(MID(invoice[[#This Row],[تاریخ]],6,2),"فروردین","اردیبهشت","خرداد","تیر","مرداد","شهریور","مهر","آبان","آذر","دی","بهمن","اسفند")</f>
        <v>بهمن</v>
      </c>
      <c r="H222" s="149">
        <f>_xlfn.NUMBERVALUE(MID(invoice[[#This Row],[تاریخ]],1,4))</f>
        <v>1404</v>
      </c>
      <c r="I222" s="149" t="s">
        <v>242</v>
      </c>
      <c r="J222" s="149" t="s">
        <v>504</v>
      </c>
      <c r="K222" s="233">
        <v>46101</v>
      </c>
      <c r="L222" s="149">
        <f>IF(invoice[[#This Row],[سال]]=year,1,0)</f>
        <v>0</v>
      </c>
      <c r="M222" s="149"/>
      <c r="N222" s="149"/>
      <c r="O222" s="194">
        <f>SUMIF(bargiri[شماره پیش فاکتور],invoice[[#This Row],[شماره پیش فاکتور]],bargiri[میزان بارگیری شده])/invoice[[#This Row],[میزان سفارش]]</f>
        <v>1</v>
      </c>
      <c r="P222" s="149" t="str">
        <f>IF(invoice[[#This Row],[نوع سفارش]]="غیرفعال","عادی",invoice[[#This Row],[نوع سفارش]])</f>
        <v>بورس</v>
      </c>
      <c r="Q222" s="149">
        <f>SUMIFS('جزییات بارگیری'!D:D,'جزییات بارگیری'!C:C,invoice[[#This Row],[شماره پیش فاکتور]])</f>
        <v>40000</v>
      </c>
      <c r="R222" s="149">
        <f>IF(invoice[[#This Row],[میزان سفارش]]-invoice[[#This Row],[میزان حمل شده ]]&lt;0,0,invoice[[#This Row],[میزان سفارش]]-invoice[[#This Row],[میزان حمل شده ]])</f>
        <v>0</v>
      </c>
      <c r="S222" s="149">
        <f>invoice[[#This Row],[میزان حمل نشده ]]*invoice[[#This Row],[فی]]</f>
        <v>0</v>
      </c>
    </row>
    <row r="223" spans="1:19" ht="30.6" customHeight="1">
      <c r="A223" s="150" t="s">
        <v>985</v>
      </c>
      <c r="B223" s="150" t="s">
        <v>116</v>
      </c>
      <c r="C223" s="150" t="s">
        <v>975</v>
      </c>
      <c r="D223" s="150" t="s">
        <v>974</v>
      </c>
      <c r="E223" s="243">
        <v>20000</v>
      </c>
      <c r="F223" s="148">
        <v>167500</v>
      </c>
      <c r="G223" s="149" t="str">
        <f>CHOOSE(MID(invoice[[#This Row],[تاریخ]],6,2),"فروردین","اردیبهشت","خرداد","تیر","مرداد","شهریور","مهر","آبان","آذر","دی","بهمن","اسفند")</f>
        <v>بهمن</v>
      </c>
      <c r="H223" s="149">
        <f>_xlfn.NUMBERVALUE(MID(invoice[[#This Row],[تاریخ]],1,4))</f>
        <v>1404</v>
      </c>
      <c r="I223" s="149" t="s">
        <v>242</v>
      </c>
      <c r="J223" s="149" t="s">
        <v>504</v>
      </c>
      <c r="K223" s="233">
        <v>46101</v>
      </c>
      <c r="L223" s="149">
        <f>IF(invoice[[#This Row],[سال]]=year,1,0)</f>
        <v>0</v>
      </c>
      <c r="M223" s="149"/>
      <c r="N223" s="149"/>
      <c r="O223" s="194">
        <f>SUMIF(bargiri[شماره پیش فاکتور],invoice[[#This Row],[شماره پیش فاکتور]],bargiri[میزان بارگیری شده])/invoice[[#This Row],[میزان سفارش]]</f>
        <v>1</v>
      </c>
      <c r="P223" s="149" t="str">
        <f>IF(invoice[[#This Row],[نوع سفارش]]="غیرفعال","عادی",invoice[[#This Row],[نوع سفارش]])</f>
        <v>بورس</v>
      </c>
      <c r="Q223" s="149">
        <f>SUMIFS('جزییات بارگیری'!D:D,'جزییات بارگیری'!C:C,invoice[[#This Row],[شماره پیش فاکتور]])</f>
        <v>20000</v>
      </c>
      <c r="R223" s="149">
        <f>IF(invoice[[#This Row],[میزان سفارش]]-invoice[[#This Row],[میزان حمل شده ]]&lt;0,0,invoice[[#This Row],[میزان سفارش]]-invoice[[#This Row],[میزان حمل شده ]])</f>
        <v>0</v>
      </c>
      <c r="S223" s="149">
        <f>invoice[[#This Row],[میزان حمل نشده ]]*invoice[[#This Row],[فی]]</f>
        <v>0</v>
      </c>
    </row>
    <row r="224" spans="1:19" ht="30.6" customHeight="1">
      <c r="A224" s="150" t="s">
        <v>979</v>
      </c>
      <c r="B224" s="150" t="s">
        <v>124</v>
      </c>
      <c r="C224" s="150" t="s">
        <v>864</v>
      </c>
      <c r="D224" s="150" t="s">
        <v>933</v>
      </c>
      <c r="E224" s="243">
        <v>126480</v>
      </c>
      <c r="F224" s="148">
        <v>110000</v>
      </c>
      <c r="G224" s="149" t="str">
        <f>CHOOSE(MID(invoice[[#This Row],[تاریخ]],6,2),"فروردین","اردیبهشت","خرداد","تیر","مرداد","شهریور","مهر","آبان","آذر","دی","بهمن","اسفند")</f>
        <v>آذر</v>
      </c>
      <c r="H224" s="149">
        <f>_xlfn.NUMBERVALUE(MID(invoice[[#This Row],[تاریخ]],1,4))</f>
        <v>1404</v>
      </c>
      <c r="I224" s="149" t="s">
        <v>243</v>
      </c>
      <c r="J224" s="149" t="s">
        <v>504</v>
      </c>
      <c r="K224" s="233">
        <v>46101</v>
      </c>
      <c r="L224" s="149">
        <f>IF(invoice[[#This Row],[سال]]=year,1,0)</f>
        <v>0</v>
      </c>
      <c r="M224" s="149"/>
      <c r="N224" s="149"/>
      <c r="O224" s="194">
        <f>SUMIF(bargiri[شماره پیش فاکتور],invoice[[#This Row],[شماره پیش فاکتور]],bargiri[میزان بارگیری شده])/invoice[[#This Row],[میزان سفارش]]</f>
        <v>0.17852624920936117</v>
      </c>
      <c r="P224" s="149" t="str">
        <f>IF(invoice[[#This Row],[نوع سفارش]]="غیرفعال","عادی",invoice[[#This Row],[نوع سفارش]])</f>
        <v>عادی</v>
      </c>
      <c r="Q224" s="149">
        <f>SUMIFS('جزییات بارگیری'!D:D,'جزییات بارگیری'!C:C,invoice[[#This Row],[شماره پیش فاکتور]])</f>
        <v>22580</v>
      </c>
      <c r="R224" s="149">
        <f>IF(invoice[[#This Row],[میزان سفارش]]-invoice[[#This Row],[میزان حمل شده ]]&lt;0,0,invoice[[#This Row],[میزان سفارش]]-invoice[[#This Row],[میزان حمل شده ]])</f>
        <v>103900</v>
      </c>
      <c r="S224" s="149">
        <f>invoice[[#This Row],[میزان حمل نشده ]]*invoice[[#This Row],[فی]]</f>
        <v>11429000000</v>
      </c>
    </row>
    <row r="225" spans="1:19" ht="30.6" customHeight="1">
      <c r="A225" s="150" t="s">
        <v>991</v>
      </c>
      <c r="B225" s="242" t="s">
        <v>118</v>
      </c>
      <c r="C225" s="150" t="s">
        <v>908</v>
      </c>
      <c r="D225" s="151" t="s">
        <v>908</v>
      </c>
      <c r="E225" s="148">
        <v>500000</v>
      </c>
      <c r="F225" s="148">
        <v>130266</v>
      </c>
      <c r="G225" s="149" t="str">
        <f>CHOOSE(MID(invoice[[#This Row],[تاریخ]],6,2),"فروردین","اردیبهشت","خرداد","تیر","مرداد","شهریور","مهر","آبان","آذر","دی","بهمن","اسفند")</f>
        <v>دی</v>
      </c>
      <c r="H225" s="149">
        <f>_xlfn.NUMBERVALUE(MID(invoice[[#This Row],[تاریخ]],1,4))</f>
        <v>1404</v>
      </c>
      <c r="I225" s="149" t="s">
        <v>243</v>
      </c>
      <c r="J225" s="149" t="s">
        <v>504</v>
      </c>
      <c r="K225" s="233">
        <v>46392</v>
      </c>
      <c r="L225" s="149">
        <f>IF(invoice[[#This Row],[سال]]=year,1,0)</f>
        <v>0</v>
      </c>
      <c r="M225" s="149"/>
      <c r="N225" s="149"/>
      <c r="O225" s="194">
        <f>SUMIF(bargiri[شماره پیش فاکتور],invoice[[#This Row],[شماره پیش فاکتور]],bargiri[میزان بارگیری شده])/invoice[[#This Row],[میزان سفارش]]</f>
        <v>1</v>
      </c>
      <c r="P225" s="149" t="str">
        <f>IF(invoice[[#This Row],[نوع سفارش]]="غیرفعال","عادی",invoice[[#This Row],[نوع سفارش]])</f>
        <v>عادی</v>
      </c>
      <c r="Q225" s="149">
        <f>SUMIFS('جزییات بارگیری'!D:D,'جزییات بارگیری'!C:C,invoice[[#This Row],[شماره پیش فاکتور]])</f>
        <v>500000</v>
      </c>
      <c r="R225" s="149">
        <f>IF(invoice[[#This Row],[میزان سفارش]]-invoice[[#This Row],[میزان حمل شده ]]&lt;0,0,invoice[[#This Row],[میزان سفارش]]-invoice[[#This Row],[میزان حمل شده ]])</f>
        <v>0</v>
      </c>
      <c r="S225" s="149">
        <f>invoice[[#This Row],[میزان حمل نشده ]]*invoice[[#This Row],[فی]]</f>
        <v>0</v>
      </c>
    </row>
    <row r="226" spans="1:19" ht="30.6" customHeight="1">
      <c r="A226" s="150" t="s">
        <v>1006</v>
      </c>
      <c r="B226" s="150" t="s">
        <v>104</v>
      </c>
      <c r="C226" s="150" t="s">
        <v>978</v>
      </c>
      <c r="D226" s="151" t="s">
        <v>988</v>
      </c>
      <c r="E226" s="148">
        <v>40000</v>
      </c>
      <c r="F226" s="148">
        <v>116500</v>
      </c>
      <c r="G226" s="149" t="str">
        <f>CHOOSE(MID(invoice[[#This Row],[تاریخ]],6,2),"فروردین","اردیبهشت","خرداد","تیر","مرداد","شهریور","مهر","آبان","آذر","دی","بهمن","اسفند")</f>
        <v>بهمن</v>
      </c>
      <c r="H226" s="149">
        <f>_xlfn.NUMBERVALUE(MID(invoice[[#This Row],[تاریخ]],1,4))</f>
        <v>1404</v>
      </c>
      <c r="I226" s="149" t="s">
        <v>240</v>
      </c>
      <c r="J226" s="149" t="s">
        <v>504</v>
      </c>
      <c r="K226" s="233">
        <v>46287</v>
      </c>
      <c r="L226" s="149">
        <f>IF(invoice[[#This Row],[سال]]=year,1,0)</f>
        <v>0</v>
      </c>
      <c r="M226" s="149"/>
      <c r="N226" s="149"/>
      <c r="O226" s="194">
        <f>SUMIF(bargiri[شماره پیش فاکتور],invoice[[#This Row],[شماره پیش فاکتور]],bargiri[میزان بارگیری شده])/invoice[[#This Row],[میزان سفارش]]</f>
        <v>0</v>
      </c>
      <c r="P226" s="149" t="str">
        <f>IF(invoice[[#This Row],[نوع سفارش]]="غیرفعال","عادی",invoice[[#This Row],[نوع سفارش]])</f>
        <v>تعادلی</v>
      </c>
      <c r="Q226" s="149">
        <f>SUMIFS('جزییات بارگیری'!D:D,'جزییات بارگیری'!C:C,invoice[[#This Row],[شماره پیش فاکتور]])</f>
        <v>0</v>
      </c>
      <c r="R226" s="149">
        <f>IF(invoice[[#This Row],[میزان سفارش]]-invoice[[#This Row],[میزان حمل شده ]]&lt;0,0,invoice[[#This Row],[میزان سفارش]]-invoice[[#This Row],[میزان حمل شده ]])</f>
        <v>40000</v>
      </c>
      <c r="S226" s="149">
        <f>invoice[[#This Row],[میزان حمل نشده ]]*invoice[[#This Row],[فی]]</f>
        <v>4660000000</v>
      </c>
    </row>
    <row r="227" spans="1:19" ht="30.6" customHeight="1">
      <c r="A227" s="150" t="s">
        <v>1007</v>
      </c>
      <c r="B227" s="150" t="s">
        <v>117</v>
      </c>
      <c r="C227" s="150" t="s">
        <v>978</v>
      </c>
      <c r="D227" s="151" t="s">
        <v>988</v>
      </c>
      <c r="E227" s="148">
        <v>40000</v>
      </c>
      <c r="F227" s="148">
        <v>116500</v>
      </c>
      <c r="G227" s="149" t="str">
        <f>CHOOSE(MID(invoice[[#This Row],[تاریخ]],6,2),"فروردین","اردیبهشت","خرداد","تیر","مرداد","شهریور","مهر","آبان","آذر","دی","بهمن","اسفند")</f>
        <v>بهمن</v>
      </c>
      <c r="H227" s="149">
        <f>_xlfn.NUMBERVALUE(MID(invoice[[#This Row],[تاریخ]],1,4))</f>
        <v>1404</v>
      </c>
      <c r="I227" s="149" t="s">
        <v>240</v>
      </c>
      <c r="J227" s="149" t="s">
        <v>504</v>
      </c>
      <c r="K227" s="233">
        <v>46287</v>
      </c>
      <c r="L227" s="149">
        <f>IF(invoice[[#This Row],[سال]]=year,1,0)</f>
        <v>0</v>
      </c>
      <c r="M227" s="149"/>
      <c r="N227" s="149"/>
      <c r="O227" s="194">
        <f>SUMIF(bargiri[شماره پیش فاکتور],invoice[[#This Row],[شماره پیش فاکتور]],bargiri[میزان بارگیری شده])/invoice[[#This Row],[میزان سفارش]]</f>
        <v>0.24875</v>
      </c>
      <c r="P227" s="149" t="str">
        <f>IF(invoice[[#This Row],[نوع سفارش]]="غیرفعال","عادی",invoice[[#This Row],[نوع سفارش]])</f>
        <v>تعادلی</v>
      </c>
      <c r="Q227" s="149">
        <f>SUMIFS('جزییات بارگیری'!D:D,'جزییات بارگیری'!C:C,invoice[[#This Row],[شماره پیش فاکتور]])</f>
        <v>9950</v>
      </c>
      <c r="R227" s="149">
        <f>IF(invoice[[#This Row],[میزان سفارش]]-invoice[[#This Row],[میزان حمل شده ]]&lt;0,0,invoice[[#This Row],[میزان سفارش]]-invoice[[#This Row],[میزان حمل شده ]])</f>
        <v>30050</v>
      </c>
      <c r="S227" s="149">
        <f>invoice[[#This Row],[میزان حمل نشده ]]*invoice[[#This Row],[فی]]</f>
        <v>3500825000</v>
      </c>
    </row>
    <row r="228" spans="1:19" ht="30.6" customHeight="1">
      <c r="A228" s="150" t="s">
        <v>1008</v>
      </c>
      <c r="B228" s="150" t="s">
        <v>116</v>
      </c>
      <c r="C228" s="150" t="s">
        <v>978</v>
      </c>
      <c r="D228" s="151" t="s">
        <v>988</v>
      </c>
      <c r="E228" s="148">
        <v>20000</v>
      </c>
      <c r="F228" s="148">
        <v>116500</v>
      </c>
      <c r="G228" s="149" t="str">
        <f>CHOOSE(MID(invoice[[#This Row],[تاریخ]],6,2),"فروردین","اردیبهشت","خرداد","تیر","مرداد","شهریور","مهر","آبان","آذر","دی","بهمن","اسفند")</f>
        <v>بهمن</v>
      </c>
      <c r="H228" s="149">
        <f>_xlfn.NUMBERVALUE(MID(invoice[[#This Row],[تاریخ]],1,4))</f>
        <v>1404</v>
      </c>
      <c r="I228" s="149" t="s">
        <v>240</v>
      </c>
      <c r="J228" s="149" t="s">
        <v>504</v>
      </c>
      <c r="K228" s="233">
        <v>46287</v>
      </c>
      <c r="L228" s="149">
        <f>IF(invoice[[#This Row],[سال]]=year,1,0)</f>
        <v>0</v>
      </c>
      <c r="M228" s="149"/>
      <c r="N228" s="149"/>
      <c r="O228" s="194">
        <f>SUMIF(bargiri[شماره پیش فاکتور],invoice[[#This Row],[شماره پیش فاکتور]],bargiri[میزان بارگیری شده])/invoice[[#This Row],[میزان سفارش]]</f>
        <v>1</v>
      </c>
      <c r="P228" s="149" t="str">
        <f>IF(invoice[[#This Row],[نوع سفارش]]="غیرفعال","عادی",invoice[[#This Row],[نوع سفارش]])</f>
        <v>تعادلی</v>
      </c>
      <c r="Q228" s="149">
        <f>SUMIFS('جزییات بارگیری'!D:D,'جزییات بارگیری'!C:C,invoice[[#This Row],[شماره پیش فاکتور]])</f>
        <v>20000</v>
      </c>
      <c r="R228" s="149">
        <f>IF(invoice[[#This Row],[میزان سفارش]]-invoice[[#This Row],[میزان حمل شده ]]&lt;0,0,invoice[[#This Row],[میزان سفارش]]-invoice[[#This Row],[میزان حمل شده ]])</f>
        <v>0</v>
      </c>
      <c r="S228" s="149">
        <f>invoice[[#This Row],[میزان حمل نشده ]]*invoice[[#This Row],[فی]]</f>
        <v>0</v>
      </c>
    </row>
    <row r="229" spans="1:19" ht="30.6" customHeight="1">
      <c r="A229" s="150" t="s">
        <v>1009</v>
      </c>
      <c r="B229" s="150" t="s">
        <v>125</v>
      </c>
      <c r="C229" s="150" t="s">
        <v>1000</v>
      </c>
      <c r="D229" s="151" t="s">
        <v>998</v>
      </c>
      <c r="E229" s="148">
        <v>200000</v>
      </c>
      <c r="F229" s="148">
        <v>120000</v>
      </c>
      <c r="G229" s="149" t="str">
        <f>CHOOSE(MID(invoice[[#This Row],[تاریخ]],6,2),"فروردین","اردیبهشت","خرداد","تیر","مرداد","شهریور","مهر","آبان","آذر","دی","بهمن","اسفند")</f>
        <v>اسفند</v>
      </c>
      <c r="H229" s="149">
        <f>_xlfn.NUMBERVALUE(MID(invoice[[#This Row],[تاریخ]],1,4))</f>
        <v>1404</v>
      </c>
      <c r="I229" s="149" t="s">
        <v>243</v>
      </c>
      <c r="J229" s="149" t="s">
        <v>504</v>
      </c>
      <c r="K229" s="233">
        <v>46466</v>
      </c>
      <c r="L229" s="149">
        <f>IF(invoice[[#This Row],[سال]]=year,1,0)</f>
        <v>0</v>
      </c>
      <c r="M229" s="149"/>
      <c r="N229" s="149"/>
      <c r="O229" s="194">
        <f>SUMIF(bargiri[شماره پیش فاکتور],invoice[[#This Row],[شماره پیش فاکتور]],bargiri[میزان بارگیری شده])/invoice[[#This Row],[میزان سفارش]]</f>
        <v>0.9526</v>
      </c>
      <c r="P229" s="149" t="str">
        <f>IF(invoice[[#This Row],[نوع سفارش]]="غیرفعال","عادی",invoice[[#This Row],[نوع سفارش]])</f>
        <v>عادی</v>
      </c>
      <c r="Q229" s="149">
        <f>SUMIFS('جزییات بارگیری'!D:D,'جزییات بارگیری'!C:C,invoice[[#This Row],[شماره پیش فاکتور]])</f>
        <v>190520</v>
      </c>
      <c r="R229" s="149">
        <f>IF(invoice[[#This Row],[میزان سفارش]]-invoice[[#This Row],[میزان حمل شده ]]&lt;0,0,invoice[[#This Row],[میزان سفارش]]-invoice[[#This Row],[میزان حمل شده ]])</f>
        <v>9480</v>
      </c>
      <c r="S229" s="149">
        <f>invoice[[#This Row],[میزان حمل نشده ]]*invoice[[#This Row],[فی]]</f>
        <v>1137600000</v>
      </c>
    </row>
    <row r="230" spans="1:19" ht="30.6" customHeight="1">
      <c r="A230" s="150" t="s">
        <v>1010</v>
      </c>
      <c r="B230" s="150" t="s">
        <v>114</v>
      </c>
      <c r="C230" s="150" t="s">
        <v>1000</v>
      </c>
      <c r="D230" s="151" t="s">
        <v>998</v>
      </c>
      <c r="E230" s="148">
        <v>300000</v>
      </c>
      <c r="F230" s="148">
        <v>130000</v>
      </c>
      <c r="G230" s="149" t="str">
        <f>CHOOSE(MID(invoice[[#This Row],[تاریخ]],6,2),"فروردین","اردیبهشت","خرداد","تیر","مرداد","شهریور","مهر","آبان","آذر","دی","بهمن","اسفند")</f>
        <v>اسفند</v>
      </c>
      <c r="H230" s="149">
        <f>_xlfn.NUMBERVALUE(MID(invoice[[#This Row],[تاریخ]],1,4))</f>
        <v>1404</v>
      </c>
      <c r="I230" s="149" t="s">
        <v>243</v>
      </c>
      <c r="J230" s="149" t="s">
        <v>728</v>
      </c>
      <c r="K230" s="233">
        <v>46407</v>
      </c>
      <c r="L230" s="149">
        <f>IF(invoice[[#This Row],[سال]]=year,1,0)</f>
        <v>0</v>
      </c>
      <c r="M230" s="149"/>
      <c r="N230" s="149"/>
      <c r="O230" s="194">
        <f>SUMIF(bargiri[شماره پیش فاکتور],invoice[[#This Row],[شماره پیش فاکتور]],bargiri[میزان بارگیری شده])/invoice[[#This Row],[میزان سفارش]]</f>
        <v>0.27843333333333331</v>
      </c>
      <c r="P230" s="149" t="str">
        <f>IF(invoice[[#This Row],[نوع سفارش]]="غیرفعال","عادی",invoice[[#This Row],[نوع سفارش]])</f>
        <v>عادی</v>
      </c>
      <c r="Q230" s="149">
        <f>SUMIFS('جزییات بارگیری'!D:D,'جزییات بارگیری'!C:C,invoice[[#This Row],[شماره پیش فاکتور]])</f>
        <v>83530</v>
      </c>
      <c r="R230" s="149">
        <f>IF(invoice[[#This Row],[میزان سفارش]]-invoice[[#This Row],[میزان حمل شده ]]&lt;0,0,invoice[[#This Row],[میزان سفارش]]-invoice[[#This Row],[میزان حمل شده ]])</f>
        <v>216470</v>
      </c>
      <c r="S230" s="149">
        <f>invoice[[#This Row],[میزان حمل نشده ]]*invoice[[#This Row],[فی]]</f>
        <v>28141100000</v>
      </c>
    </row>
    <row r="231" spans="1:19" ht="30.6" customHeight="1">
      <c r="A231" s="150" t="s">
        <v>1011</v>
      </c>
      <c r="B231" s="150" t="s">
        <v>102</v>
      </c>
      <c r="C231" s="150" t="s">
        <v>999</v>
      </c>
      <c r="D231" s="151" t="s">
        <v>998</v>
      </c>
      <c r="E231" s="148">
        <v>250000</v>
      </c>
      <c r="F231" s="148">
        <v>120000</v>
      </c>
      <c r="G231" s="149" t="str">
        <f>CHOOSE(MID(invoice[[#This Row],[تاریخ]],6,2),"فروردین","اردیبهشت","خرداد","تیر","مرداد","شهریور","مهر","آبان","آذر","دی","بهمن","اسفند")</f>
        <v>اسفند</v>
      </c>
      <c r="H231" s="149">
        <f>_xlfn.NUMBERVALUE(MID(invoice[[#This Row],[تاریخ]],1,4))</f>
        <v>1404</v>
      </c>
      <c r="I231" s="149" t="s">
        <v>243</v>
      </c>
      <c r="J231" s="149" t="s">
        <v>504</v>
      </c>
      <c r="K231" s="233">
        <v>46466</v>
      </c>
      <c r="L231" s="149">
        <f>IF(invoice[[#This Row],[سال]]=year,1,0)</f>
        <v>0</v>
      </c>
      <c r="M231" s="149"/>
      <c r="N231" s="149"/>
      <c r="O231" s="194">
        <f>SUMIF(bargiri[شماره پیش فاکتور],invoice[[#This Row],[شماره پیش فاکتور]],bargiri[میزان بارگیری شده])/invoice[[#This Row],[میزان سفارش]]</f>
        <v>0.43947999999999998</v>
      </c>
      <c r="P231" s="149" t="str">
        <f>IF(invoice[[#This Row],[نوع سفارش]]="غیرفعال","عادی",invoice[[#This Row],[نوع سفارش]])</f>
        <v>عادی</v>
      </c>
      <c r="Q231" s="149">
        <f>SUMIFS('جزییات بارگیری'!D:D,'جزییات بارگیری'!C:C,invoice[[#This Row],[شماره پیش فاکتور]])</f>
        <v>109870</v>
      </c>
      <c r="R231" s="149">
        <f>IF(invoice[[#This Row],[میزان سفارش]]-invoice[[#This Row],[میزان حمل شده ]]&lt;0,0,invoice[[#This Row],[میزان سفارش]]-invoice[[#This Row],[میزان حمل شده ]])</f>
        <v>140130</v>
      </c>
      <c r="S231" s="149">
        <f>invoice[[#This Row],[میزان حمل نشده ]]*invoice[[#This Row],[فی]]</f>
        <v>16815600000</v>
      </c>
    </row>
    <row r="232" spans="1:19" ht="30.6" customHeight="1">
      <c r="A232" s="150" t="s">
        <v>1012</v>
      </c>
      <c r="B232" s="242" t="s">
        <v>118</v>
      </c>
      <c r="C232" s="150" t="s">
        <v>908</v>
      </c>
      <c r="D232" s="150" t="s">
        <v>908</v>
      </c>
      <c r="E232" s="148">
        <v>500000</v>
      </c>
      <c r="F232" s="148">
        <v>127675</v>
      </c>
      <c r="G232" s="149" t="str">
        <f>CHOOSE(MID(invoice[[#This Row],[تاریخ]],6,2),"فروردین","اردیبهشت","خرداد","تیر","مرداد","شهریور","مهر","آبان","آذر","دی","بهمن","اسفند")</f>
        <v>دی</v>
      </c>
      <c r="H232" s="149">
        <f>_xlfn.NUMBERVALUE(MID(invoice[[#This Row],[تاریخ]],1,4))</f>
        <v>1404</v>
      </c>
      <c r="I232" s="149" t="s">
        <v>243</v>
      </c>
      <c r="J232" s="149" t="s">
        <v>504</v>
      </c>
      <c r="K232" s="233">
        <v>46392</v>
      </c>
      <c r="L232" s="149">
        <f>IF(invoice[[#This Row],[سال]]=year,1,0)</f>
        <v>0</v>
      </c>
      <c r="M232" s="149"/>
      <c r="N232" s="149"/>
      <c r="O232" s="194">
        <f>SUMIF(bargiri[شماره پیش فاکتور],invoice[[#This Row],[شماره پیش فاکتور]],bargiri[میزان بارگیری شده])/invoice[[#This Row],[میزان سفارش]]</f>
        <v>1</v>
      </c>
      <c r="P232" s="149" t="str">
        <f>IF(invoice[[#This Row],[نوع سفارش]]="غیرفعال","عادی",invoice[[#This Row],[نوع سفارش]])</f>
        <v>عادی</v>
      </c>
      <c r="Q232" s="149">
        <f>SUMIFS('جزییات بارگیری'!D:D,'جزییات بارگیری'!C:C,invoice[[#This Row],[شماره پیش فاکتور]])</f>
        <v>500000</v>
      </c>
      <c r="R232" s="149">
        <f>IF(invoice[[#This Row],[میزان سفارش]]-invoice[[#This Row],[میزان حمل شده ]]&lt;0,0,invoice[[#This Row],[میزان سفارش]]-invoice[[#This Row],[میزان حمل شده ]])</f>
        <v>0</v>
      </c>
      <c r="S232" s="149">
        <f>invoice[[#This Row],[میزان حمل نشده ]]*invoice[[#This Row],[فی]]</f>
        <v>0</v>
      </c>
    </row>
    <row r="233" spans="1:19" ht="30.6" customHeight="1">
      <c r="A233" s="150" t="s">
        <v>1013</v>
      </c>
      <c r="B233" s="150" t="s">
        <v>117</v>
      </c>
      <c r="C233" s="150" t="s">
        <v>969</v>
      </c>
      <c r="D233" s="150" t="s">
        <v>969</v>
      </c>
      <c r="E233" s="148">
        <v>278200</v>
      </c>
      <c r="F233" s="148">
        <v>120000</v>
      </c>
      <c r="G233" s="149" t="str">
        <f>CHOOSE(MID(invoice[[#This Row],[تاریخ]],6,2),"فروردین","اردیبهشت","خرداد","تیر","مرداد","شهریور","مهر","آبان","آذر","دی","بهمن","اسفند")</f>
        <v>بهمن</v>
      </c>
      <c r="H233" s="149">
        <f>_xlfn.NUMBERVALUE(MID(invoice[[#This Row],[تاریخ]],1,4))</f>
        <v>1404</v>
      </c>
      <c r="I233" s="149" t="s">
        <v>243</v>
      </c>
      <c r="J233" s="149" t="s">
        <v>504</v>
      </c>
      <c r="K233" s="233">
        <v>46287</v>
      </c>
      <c r="L233" s="149">
        <f>IF(invoice[[#This Row],[سال]]=year,1,0)</f>
        <v>0</v>
      </c>
      <c r="M233" s="149"/>
      <c r="N233" s="149"/>
      <c r="O233" s="194">
        <f>SUMIF(bargiri[شماره پیش فاکتور],invoice[[#This Row],[شماره پیش فاکتور]],bargiri[میزان بارگیری شده])/invoice[[#This Row],[میزان سفارش]]</f>
        <v>0.715079079798706</v>
      </c>
      <c r="P233" s="149" t="str">
        <f>IF(invoice[[#This Row],[نوع سفارش]]="غیرفعال","عادی",invoice[[#This Row],[نوع سفارش]])</f>
        <v>عادی</v>
      </c>
      <c r="Q233" s="149">
        <f>SUMIFS('جزییات بارگیری'!D:D,'جزییات بارگیری'!C:C,invoice[[#This Row],[شماره پیش فاکتور]])</f>
        <v>198935</v>
      </c>
      <c r="R233" s="149">
        <f>IF(invoice[[#This Row],[میزان سفارش]]-invoice[[#This Row],[میزان حمل شده ]]&lt;0,0,invoice[[#This Row],[میزان سفارش]]-invoice[[#This Row],[میزان حمل شده ]])</f>
        <v>79265</v>
      </c>
      <c r="S233" s="149">
        <f>invoice[[#This Row],[میزان حمل نشده ]]*invoice[[#This Row],[فی]]</f>
        <v>9511800000</v>
      </c>
    </row>
    <row r="234" spans="1:19" ht="30.6" customHeight="1">
      <c r="A234" s="150" t="s">
        <v>1035</v>
      </c>
      <c r="B234" s="150" t="s">
        <v>123</v>
      </c>
      <c r="C234" s="150" t="s">
        <v>1030</v>
      </c>
      <c r="D234" s="150" t="s">
        <v>1031</v>
      </c>
      <c r="E234" s="148">
        <v>308755</v>
      </c>
      <c r="F234" s="148">
        <v>240000</v>
      </c>
      <c r="G234" s="149" t="str">
        <f>CHOOSE(MID(invoice[[#This Row],[تاریخ]],6,2),"فروردین","اردیبهشت","خرداد","تیر","مرداد","شهریور","مهر","آبان","آذر","دی","بهمن","اسفند")</f>
        <v>اردیبهشت</v>
      </c>
      <c r="H234" s="149">
        <f>_xlfn.NUMBERVALUE(MID(invoice[[#This Row],[تاریخ]],1,4))</f>
        <v>1405</v>
      </c>
      <c r="I234" s="149" t="s">
        <v>241</v>
      </c>
      <c r="J234" s="149" t="s">
        <v>504</v>
      </c>
      <c r="K234" s="233">
        <v>46466</v>
      </c>
      <c r="L234" s="149">
        <f>IF(invoice[[#This Row],[سال]]=year,1,0)</f>
        <v>1</v>
      </c>
      <c r="M234" s="149"/>
      <c r="N234" s="149"/>
      <c r="O234" s="194">
        <f>SUMIF(bargiri[شماره پیش فاکتور],invoice[[#This Row],[شماره پیش فاکتور]],bargiri[میزان بارگیری شده])/invoice[[#This Row],[میزان سفارش]]</f>
        <v>0.51659082444009008</v>
      </c>
      <c r="P234" s="149" t="str">
        <f>IF(invoice[[#This Row],[نوع سفارش]]="غیرفعال","عادی",invoice[[#This Row],[نوع سفارش]])</f>
        <v>انجمن</v>
      </c>
      <c r="Q234" s="149">
        <f>SUMIFS('جزییات بارگیری'!D:D,'جزییات بارگیری'!C:C,invoice[[#This Row],[شماره پیش فاکتور]])</f>
        <v>159500</v>
      </c>
      <c r="R234" s="149">
        <f>IF(invoice[[#This Row],[میزان سفارش]]-invoice[[#This Row],[میزان حمل شده ]]&lt;0,0,invoice[[#This Row],[میزان سفارش]]-invoice[[#This Row],[میزان حمل شده ]])</f>
        <v>149255</v>
      </c>
      <c r="S234" s="149">
        <f>invoice[[#This Row],[میزان حمل نشده ]]*invoice[[#This Row],[فی]]</f>
        <v>35821200000</v>
      </c>
    </row>
    <row r="235" spans="1:19" ht="30.6" customHeight="1">
      <c r="A235" s="150" t="s">
        <v>1036</v>
      </c>
      <c r="B235" s="150" t="s">
        <v>109</v>
      </c>
      <c r="C235" s="150" t="s">
        <v>1030</v>
      </c>
      <c r="D235" s="150" t="s">
        <v>1031</v>
      </c>
      <c r="E235" s="148">
        <v>1982500</v>
      </c>
      <c r="F235" s="148">
        <v>240000</v>
      </c>
      <c r="G235" s="149" t="str">
        <f>CHOOSE(MID(invoice[[#This Row],[تاریخ]],6,2),"فروردین","اردیبهشت","خرداد","تیر","مرداد","شهریور","مهر","آبان","آذر","دی","بهمن","اسفند")</f>
        <v>اردیبهشت</v>
      </c>
      <c r="H235" s="149">
        <f>_xlfn.NUMBERVALUE(MID(invoice[[#This Row],[تاریخ]],1,4))</f>
        <v>1405</v>
      </c>
      <c r="I235" s="149" t="s">
        <v>241</v>
      </c>
      <c r="J235" s="149" t="s">
        <v>504</v>
      </c>
      <c r="K235" s="233">
        <v>46466</v>
      </c>
      <c r="L235" s="149">
        <f>IF(invoice[[#This Row],[سال]]=year,1,0)</f>
        <v>1</v>
      </c>
      <c r="M235" s="149"/>
      <c r="N235" s="149"/>
      <c r="O235" s="194">
        <f>SUMIF(bargiri[شماره پیش فاکتور],invoice[[#This Row],[شماره پیش فاکتور]],bargiri[میزان بارگیری شده])/invoice[[#This Row],[میزان سفارش]]</f>
        <v>0.11477427490542244</v>
      </c>
      <c r="P235" s="149" t="str">
        <f>IF(invoice[[#This Row],[نوع سفارش]]="غیرفعال","عادی",invoice[[#This Row],[نوع سفارش]])</f>
        <v>انجمن</v>
      </c>
      <c r="Q235" s="149">
        <f>SUMIFS('جزییات بارگیری'!D:D,'جزییات بارگیری'!C:C,invoice[[#This Row],[شماره پیش فاکتور]])</f>
        <v>227540</v>
      </c>
      <c r="R235" s="149">
        <f>IF(invoice[[#This Row],[میزان سفارش]]-invoice[[#This Row],[میزان حمل شده ]]&lt;0,0,invoice[[#This Row],[میزان سفارش]]-invoice[[#This Row],[میزان حمل شده ]])</f>
        <v>1754960</v>
      </c>
      <c r="S235" s="149">
        <f>invoice[[#This Row],[میزان حمل نشده ]]*invoice[[#This Row],[فی]]</f>
        <v>421190400000</v>
      </c>
    </row>
    <row r="236" spans="1:19" ht="30.6" customHeight="1">
      <c r="A236" s="150" t="s">
        <v>1040</v>
      </c>
      <c r="B236" s="150" t="s">
        <v>1042</v>
      </c>
      <c r="C236" s="150" t="s">
        <v>1030</v>
      </c>
      <c r="D236" s="150" t="s">
        <v>1031</v>
      </c>
      <c r="E236" s="148">
        <v>150000</v>
      </c>
      <c r="F236" s="148">
        <v>240000</v>
      </c>
      <c r="G236" s="149" t="str">
        <f>CHOOSE(MID(invoice[[#This Row],[تاریخ]],6,2),"فروردین","اردیبهشت","خرداد","تیر","مرداد","شهریور","مهر","آبان","آذر","دی","بهمن","اسفند")</f>
        <v>اردیبهشت</v>
      </c>
      <c r="H236" s="149">
        <f>_xlfn.NUMBERVALUE(MID(invoice[[#This Row],[تاریخ]],1,4))</f>
        <v>1405</v>
      </c>
      <c r="I236" s="149" t="s">
        <v>241</v>
      </c>
      <c r="J236" s="149" t="s">
        <v>504</v>
      </c>
      <c r="K236" s="233">
        <v>46466</v>
      </c>
      <c r="L236" s="149">
        <f>IF(invoice[[#This Row],[سال]]=year,1,0)</f>
        <v>1</v>
      </c>
      <c r="M236" s="149"/>
      <c r="N236" s="149"/>
      <c r="O236" s="194">
        <f>SUMIF(bargiri[شماره پیش فاکتور],invoice[[#This Row],[شماره پیش فاکتور]],bargiri[میزان بارگیری شده])/invoice[[#This Row],[میزان سفارش]]</f>
        <v>0.28666666666666668</v>
      </c>
      <c r="P236" s="149" t="str">
        <f>IF(invoice[[#This Row],[نوع سفارش]]="غیرفعال","عادی",invoice[[#This Row],[نوع سفارش]])</f>
        <v>انجمن</v>
      </c>
      <c r="Q236" s="149">
        <f>SUMIFS('جزییات بارگیری'!D:D,'جزییات بارگیری'!C:C,invoice[[#This Row],[شماره پیش فاکتور]])</f>
        <v>43000</v>
      </c>
      <c r="R236" s="149">
        <f>IF(invoice[[#This Row],[میزان سفارش]]-invoice[[#This Row],[میزان حمل شده ]]&lt;0,0,invoice[[#This Row],[میزان سفارش]]-invoice[[#This Row],[میزان حمل شده ]])</f>
        <v>107000</v>
      </c>
      <c r="S236" s="149">
        <f>invoice[[#This Row],[میزان حمل نشده ]]*invoice[[#This Row],[فی]]</f>
        <v>25680000000</v>
      </c>
    </row>
    <row r="237" spans="1:19" ht="30.6" customHeight="1">
      <c r="A237" s="150" t="s">
        <v>1041</v>
      </c>
      <c r="B237" s="150" t="s">
        <v>1043</v>
      </c>
      <c r="C237" s="150" t="s">
        <v>1030</v>
      </c>
      <c r="D237" s="150" t="s">
        <v>1031</v>
      </c>
      <c r="E237" s="148">
        <v>150000</v>
      </c>
      <c r="F237" s="148">
        <v>240000</v>
      </c>
      <c r="G237" s="149" t="str">
        <f>CHOOSE(MID(invoice[[#This Row],[تاریخ]],6,2),"فروردین","اردیبهشت","خرداد","تیر","مرداد","شهریور","مهر","آبان","آذر","دی","بهمن","اسفند")</f>
        <v>اردیبهشت</v>
      </c>
      <c r="H237" s="149">
        <f>_xlfn.NUMBERVALUE(MID(invoice[[#This Row],[تاریخ]],1,4))</f>
        <v>1405</v>
      </c>
      <c r="I237" s="149" t="s">
        <v>241</v>
      </c>
      <c r="J237" s="149" t="s">
        <v>504</v>
      </c>
      <c r="K237" s="233">
        <v>46466</v>
      </c>
      <c r="L237" s="149">
        <f>IF(invoice[[#This Row],[سال]]=year,1,0)</f>
        <v>1</v>
      </c>
      <c r="M237" s="149"/>
      <c r="N237" s="149"/>
      <c r="O237" s="194">
        <f>SUMIF(bargiri[شماره پیش فاکتور],invoice[[#This Row],[شماره پیش فاکتور]],bargiri[میزان بارگیری شده])/invoice[[#This Row],[میزان سفارش]]</f>
        <v>0</v>
      </c>
      <c r="P237" s="149" t="str">
        <f>IF(invoice[[#This Row],[نوع سفارش]]="غیرفعال","عادی",invoice[[#This Row],[نوع سفارش]])</f>
        <v>انجمن</v>
      </c>
      <c r="Q237" s="149">
        <f>SUMIFS('جزییات بارگیری'!D:D,'جزییات بارگیری'!C:C,invoice[[#This Row],[شماره پیش فاکتور]])</f>
        <v>0</v>
      </c>
      <c r="R237" s="149">
        <f>IF(invoice[[#This Row],[میزان سفارش]]-invoice[[#This Row],[میزان حمل شده ]]&lt;0,0,invoice[[#This Row],[میزان سفارش]]-invoice[[#This Row],[میزان حمل شده ]])</f>
        <v>150000</v>
      </c>
      <c r="S237" s="149">
        <f>invoice[[#This Row],[میزان حمل نشده ]]*invoice[[#This Row],[فی]]</f>
        <v>36000000000</v>
      </c>
    </row>
    <row r="238" spans="1:19" ht="30.6" customHeight="1">
      <c r="A238" s="150" t="s">
        <v>1045</v>
      </c>
      <c r="B238" s="150" t="s">
        <v>1046</v>
      </c>
      <c r="C238" s="150" t="s">
        <v>1047</v>
      </c>
      <c r="D238" s="150" t="s">
        <v>1044</v>
      </c>
      <c r="E238" s="148">
        <v>20000</v>
      </c>
      <c r="F238" s="148">
        <v>245000</v>
      </c>
      <c r="G238" s="149" t="str">
        <f>CHOOSE(MID(invoice[[#This Row],[تاریخ]],6,2),"فروردین","اردیبهشت","خرداد","تیر","مرداد","شهریور","مهر","آبان","آذر","دی","بهمن","اسفند")</f>
        <v>اردیبهشت</v>
      </c>
      <c r="H238" s="149">
        <f>_xlfn.NUMBERVALUE(MID(invoice[[#This Row],[تاریخ]],1,4))</f>
        <v>1405</v>
      </c>
      <c r="I238" s="149" t="s">
        <v>243</v>
      </c>
      <c r="J238" s="149" t="s">
        <v>504</v>
      </c>
      <c r="K238" s="233">
        <v>46466</v>
      </c>
      <c r="L238" s="149">
        <f>IF(invoice[[#This Row],[سال]]=year,1,0)</f>
        <v>1</v>
      </c>
      <c r="M238" s="149"/>
      <c r="N238" s="149"/>
      <c r="O238" s="194">
        <f>SUMIF(bargiri[شماره پیش فاکتور],invoice[[#This Row],[شماره پیش فاکتور]],bargiri[میزان بارگیری شده])/invoice[[#This Row],[میزان سفارش]]</f>
        <v>1.0004999999999999</v>
      </c>
      <c r="P238" s="149" t="str">
        <f>IF(invoice[[#This Row],[نوع سفارش]]="غیرفعال","عادی",invoice[[#This Row],[نوع سفارش]])</f>
        <v>عادی</v>
      </c>
      <c r="Q238" s="149">
        <f>SUMIFS('جزییات بارگیری'!D:D,'جزییات بارگیری'!C:C,invoice[[#This Row],[شماره پیش فاکتور]])</f>
        <v>20010</v>
      </c>
      <c r="R238" s="149">
        <f>IF(invoice[[#This Row],[میزان سفارش]]-invoice[[#This Row],[میزان حمل شده ]]&lt;0,0,invoice[[#This Row],[میزان سفارش]]-invoice[[#This Row],[میزان حمل شده ]])</f>
        <v>0</v>
      </c>
      <c r="S238" s="149">
        <f>invoice[[#This Row],[میزان حمل نشده ]]*invoice[[#This Row],[فی]]</f>
        <v>0</v>
      </c>
    </row>
    <row r="239" spans="1:19" ht="30.6" customHeight="1">
      <c r="A239" s="150" t="s">
        <v>1049</v>
      </c>
      <c r="B239" s="150" t="s">
        <v>100</v>
      </c>
      <c r="C239" s="150" t="s">
        <v>1030</v>
      </c>
      <c r="D239" s="150" t="s">
        <v>1031</v>
      </c>
      <c r="E239" s="148">
        <v>62100</v>
      </c>
      <c r="F239" s="148">
        <v>240000</v>
      </c>
      <c r="G239" s="149" t="str">
        <f>CHOOSE(MID(invoice[[#This Row],[تاریخ]],6,2),"فروردین","اردیبهشت","خرداد","تیر","مرداد","شهریور","مهر","آبان","آذر","دی","بهمن","اسفند")</f>
        <v>اردیبهشت</v>
      </c>
      <c r="H239" s="149">
        <f>_xlfn.NUMBERVALUE(MID(invoice[[#This Row],[تاریخ]],1,4))</f>
        <v>1405</v>
      </c>
      <c r="I239" s="149" t="s">
        <v>241</v>
      </c>
      <c r="J239" s="149" t="s">
        <v>504</v>
      </c>
      <c r="K239" s="233">
        <v>46466</v>
      </c>
      <c r="L239" s="149">
        <f>IF(invoice[[#This Row],[سال]]=year,1,0)</f>
        <v>1</v>
      </c>
      <c r="M239" s="149"/>
      <c r="N239" s="149"/>
      <c r="O239" s="194">
        <f>SUMIF(bargiri[شماره پیش فاکتور],invoice[[#This Row],[شماره پیش فاکتور]],bargiri[میزان بارگیری شده])/invoice[[#This Row],[میزان سفارش]]</f>
        <v>1</v>
      </c>
      <c r="P239" s="149" t="str">
        <f>IF(invoice[[#This Row],[نوع سفارش]]="غیرفعال","عادی",invoice[[#This Row],[نوع سفارش]])</f>
        <v>انجمن</v>
      </c>
      <c r="Q239" s="149">
        <f>SUMIFS('جزییات بارگیری'!D:D,'جزییات بارگیری'!C:C,invoice[[#This Row],[شماره پیش فاکتور]])</f>
        <v>62100</v>
      </c>
      <c r="R239" s="149">
        <f>IF(invoice[[#This Row],[میزان سفارش]]-invoice[[#This Row],[میزان حمل شده ]]&lt;0,0,invoice[[#This Row],[میزان سفارش]]-invoice[[#This Row],[میزان حمل شده ]])</f>
        <v>0</v>
      </c>
      <c r="S239" s="149">
        <f>invoice[[#This Row],[میزان حمل نشده ]]*invoice[[#This Row],[فی]]</f>
        <v>0</v>
      </c>
    </row>
    <row r="240" spans="1:19" ht="30.6" customHeight="1">
      <c r="A240" s="150" t="s">
        <v>1050</v>
      </c>
      <c r="B240" s="150" t="s">
        <v>102</v>
      </c>
      <c r="C240" s="150" t="s">
        <v>1030</v>
      </c>
      <c r="D240" s="150" t="s">
        <v>1031</v>
      </c>
      <c r="E240" s="148">
        <v>555055</v>
      </c>
      <c r="F240" s="148">
        <v>240000</v>
      </c>
      <c r="G240" s="149" t="str">
        <f>CHOOSE(MID(invoice[[#This Row],[تاریخ]],6,2),"فروردین","اردیبهشت","خرداد","تیر","مرداد","شهریور","مهر","آبان","آذر","دی","بهمن","اسفند")</f>
        <v>اردیبهشت</v>
      </c>
      <c r="H240" s="149">
        <f>_xlfn.NUMBERVALUE(MID(invoice[[#This Row],[تاریخ]],1,4))</f>
        <v>1405</v>
      </c>
      <c r="I240" s="149" t="s">
        <v>241</v>
      </c>
      <c r="J240" s="149" t="s">
        <v>504</v>
      </c>
      <c r="K240" s="233">
        <v>46466</v>
      </c>
      <c r="L240" s="149">
        <f>IF(invoice[[#This Row],[سال]]=year,1,0)</f>
        <v>1</v>
      </c>
      <c r="M240" s="149"/>
      <c r="N240" s="149"/>
      <c r="O240" s="194">
        <f>SUMIF(bargiri[شماره پیش فاکتور],invoice[[#This Row],[شماره پیش فاکتور]],bargiri[میزان بارگیری شده])/invoice[[#This Row],[میزان سفارش]]</f>
        <v>0.17218113520281775</v>
      </c>
      <c r="P240" s="149" t="str">
        <f>IF(invoice[[#This Row],[نوع سفارش]]="غیرفعال","عادی",invoice[[#This Row],[نوع سفارش]])</f>
        <v>انجمن</v>
      </c>
      <c r="Q240" s="149">
        <f>SUMIFS('جزییات بارگیری'!D:D,'جزییات بارگیری'!C:C,invoice[[#This Row],[شماره پیش فاکتور]])</f>
        <v>95570</v>
      </c>
      <c r="R240" s="149">
        <f>IF(invoice[[#This Row],[میزان سفارش]]-invoice[[#This Row],[میزان حمل شده ]]&lt;0,0,invoice[[#This Row],[میزان سفارش]]-invoice[[#This Row],[میزان حمل شده ]])</f>
        <v>459485</v>
      </c>
      <c r="S240" s="149">
        <f>invoice[[#This Row],[میزان حمل نشده ]]*invoice[[#This Row],[فی]]</f>
        <v>110276400000</v>
      </c>
    </row>
    <row r="241" spans="1:19" ht="30.6" customHeight="1">
      <c r="A241" s="150" t="s">
        <v>1051</v>
      </c>
      <c r="B241" s="150" t="s">
        <v>103</v>
      </c>
      <c r="C241" s="150" t="s">
        <v>1030</v>
      </c>
      <c r="D241" s="150" t="s">
        <v>1031</v>
      </c>
      <c r="E241" s="148">
        <v>286068</v>
      </c>
      <c r="F241" s="148">
        <v>240000</v>
      </c>
      <c r="G241" s="149" t="str">
        <f>CHOOSE(MID(invoice[[#This Row],[تاریخ]],6,2),"فروردین","اردیبهشت","خرداد","تیر","مرداد","شهریور","مهر","آبان","آذر","دی","بهمن","اسفند")</f>
        <v>اردیبهشت</v>
      </c>
      <c r="H241" s="149">
        <f>_xlfn.NUMBERVALUE(MID(invoice[[#This Row],[تاریخ]],1,4))</f>
        <v>1405</v>
      </c>
      <c r="I241" s="149" t="s">
        <v>241</v>
      </c>
      <c r="J241" s="149" t="s">
        <v>504</v>
      </c>
      <c r="K241" s="233">
        <v>46466</v>
      </c>
      <c r="L241" s="149">
        <f>IF(invoice[[#This Row],[سال]]=year,1,0)</f>
        <v>1</v>
      </c>
      <c r="M241" s="149"/>
      <c r="N241" s="149"/>
      <c r="O241" s="194">
        <f>SUMIF(bargiri[شماره پیش فاکتور],invoice[[#This Row],[شماره پیش فاکتور]],bargiri[میزان بارگیری شده])/invoice[[#This Row],[میزان سفارش]]</f>
        <v>0.51361913950529248</v>
      </c>
      <c r="P241" s="149" t="str">
        <f>IF(invoice[[#This Row],[نوع سفارش]]="غیرفعال","عادی",invoice[[#This Row],[نوع سفارش]])</f>
        <v>انجمن</v>
      </c>
      <c r="Q241" s="149">
        <f>SUMIFS('جزییات بارگیری'!D:D,'جزییات بارگیری'!C:C,invoice[[#This Row],[شماره پیش فاکتور]])</f>
        <v>146930</v>
      </c>
      <c r="R241" s="149">
        <f>IF(invoice[[#This Row],[میزان سفارش]]-invoice[[#This Row],[میزان حمل شده ]]&lt;0,0,invoice[[#This Row],[میزان سفارش]]-invoice[[#This Row],[میزان حمل شده ]])</f>
        <v>139138</v>
      </c>
      <c r="S241" s="149">
        <f>invoice[[#This Row],[میزان حمل نشده ]]*invoice[[#This Row],[فی]]</f>
        <v>33393120000</v>
      </c>
    </row>
    <row r="242" spans="1:19" ht="30.6" customHeight="1">
      <c r="A242" s="150" t="s">
        <v>1052</v>
      </c>
      <c r="B242" s="150" t="s">
        <v>104</v>
      </c>
      <c r="C242" s="150" t="s">
        <v>1030</v>
      </c>
      <c r="D242" s="150" t="s">
        <v>1031</v>
      </c>
      <c r="E242" s="148">
        <v>121230</v>
      </c>
      <c r="F242" s="148">
        <v>240000</v>
      </c>
      <c r="G242" s="149" t="str">
        <f>CHOOSE(MID(invoice[[#This Row],[تاریخ]],6,2),"فروردین","اردیبهشت","خرداد","تیر","مرداد","شهریور","مهر","آبان","آذر","دی","بهمن","اسفند")</f>
        <v>اردیبهشت</v>
      </c>
      <c r="H242" s="149">
        <f>_xlfn.NUMBERVALUE(MID(invoice[[#This Row],[تاریخ]],1,4))</f>
        <v>1405</v>
      </c>
      <c r="I242" s="149" t="s">
        <v>241</v>
      </c>
      <c r="J242" s="149" t="s">
        <v>504</v>
      </c>
      <c r="K242" s="233">
        <v>46466</v>
      </c>
      <c r="L242" s="149">
        <f>IF(invoice[[#This Row],[سال]]=year,1,0)</f>
        <v>1</v>
      </c>
      <c r="M242" s="149"/>
      <c r="N242" s="149"/>
      <c r="O242" s="194">
        <f>SUMIF(bargiri[شماره پیش فاکتور],invoice[[#This Row],[شماره پیش فاکتور]],bargiri[میزان بارگیری شده])/invoice[[#This Row],[میزان سفارش]]</f>
        <v>1</v>
      </c>
      <c r="P242" s="149" t="str">
        <f>IF(invoice[[#This Row],[نوع سفارش]]="غیرفعال","عادی",invoice[[#This Row],[نوع سفارش]])</f>
        <v>انجمن</v>
      </c>
      <c r="Q242" s="149">
        <f>SUMIFS('جزییات بارگیری'!D:D,'جزییات بارگیری'!C:C,invoice[[#This Row],[شماره پیش فاکتور]])</f>
        <v>121230</v>
      </c>
      <c r="R242" s="149">
        <f>IF(invoice[[#This Row],[میزان سفارش]]-invoice[[#This Row],[میزان حمل شده ]]&lt;0,0,invoice[[#This Row],[میزان سفارش]]-invoice[[#This Row],[میزان حمل شده ]])</f>
        <v>0</v>
      </c>
      <c r="S242" s="149">
        <f>invoice[[#This Row],[میزان حمل نشده ]]*invoice[[#This Row],[فی]]</f>
        <v>0</v>
      </c>
    </row>
    <row r="243" spans="1:19" ht="30.6" customHeight="1">
      <c r="A243" s="150" t="s">
        <v>1053</v>
      </c>
      <c r="B243" s="150" t="s">
        <v>121</v>
      </c>
      <c r="C243" s="150" t="s">
        <v>1030</v>
      </c>
      <c r="D243" s="150" t="s">
        <v>1031</v>
      </c>
      <c r="E243" s="148">
        <v>83865</v>
      </c>
      <c r="F243" s="148">
        <v>240000</v>
      </c>
      <c r="G243" s="149" t="str">
        <f>CHOOSE(MID(invoice[[#This Row],[تاریخ]],6,2),"فروردین","اردیبهشت","خرداد","تیر","مرداد","شهریور","مهر","آبان","آذر","دی","بهمن","اسفند")</f>
        <v>اردیبهشت</v>
      </c>
      <c r="H243" s="149">
        <f>_xlfn.NUMBERVALUE(MID(invoice[[#This Row],[تاریخ]],1,4))</f>
        <v>1405</v>
      </c>
      <c r="I243" s="149" t="s">
        <v>241</v>
      </c>
      <c r="J243" s="149" t="s">
        <v>504</v>
      </c>
      <c r="K243" s="233">
        <v>46466</v>
      </c>
      <c r="L243" s="149">
        <f>IF(invoice[[#This Row],[سال]]=year,1,0)</f>
        <v>1</v>
      </c>
      <c r="M243" s="149"/>
      <c r="N243" s="149"/>
      <c r="O243" s="194">
        <f>SUMIF(bargiri[شماره پیش فاکتور],invoice[[#This Row],[شماره پیش فاکتور]],bargiri[میزان بارگیری شده])/invoice[[#This Row],[میزان سفارش]]</f>
        <v>0.91301496452632203</v>
      </c>
      <c r="P243" s="149" t="str">
        <f>IF(invoice[[#This Row],[نوع سفارش]]="غیرفعال","عادی",invoice[[#This Row],[نوع سفارش]])</f>
        <v>انجمن</v>
      </c>
      <c r="Q243" s="149">
        <f>SUMIFS('جزییات بارگیری'!D:D,'جزییات بارگیری'!C:C,invoice[[#This Row],[شماره پیش فاکتور]])</f>
        <v>76570</v>
      </c>
      <c r="R243" s="149">
        <f>IF(invoice[[#This Row],[میزان سفارش]]-invoice[[#This Row],[میزان حمل شده ]]&lt;0,0,invoice[[#This Row],[میزان سفارش]]-invoice[[#This Row],[میزان حمل شده ]])</f>
        <v>7295</v>
      </c>
      <c r="S243" s="149">
        <f>invoice[[#This Row],[میزان حمل نشده ]]*invoice[[#This Row],[فی]]</f>
        <v>1750800000</v>
      </c>
    </row>
    <row r="244" spans="1:19" ht="30.6" customHeight="1">
      <c r="A244" s="150" t="s">
        <v>1054</v>
      </c>
      <c r="B244" s="150" t="s">
        <v>122</v>
      </c>
      <c r="C244" s="150" t="s">
        <v>1030</v>
      </c>
      <c r="D244" s="150" t="s">
        <v>1031</v>
      </c>
      <c r="E244" s="148">
        <v>102310</v>
      </c>
      <c r="F244" s="148">
        <v>240000</v>
      </c>
      <c r="G244" s="149" t="str">
        <f>CHOOSE(MID(invoice[[#This Row],[تاریخ]],6,2),"فروردین","اردیبهشت","خرداد","تیر","مرداد","شهریور","مهر","آبان","آذر","دی","بهمن","اسفند")</f>
        <v>اردیبهشت</v>
      </c>
      <c r="H244" s="149">
        <f>_xlfn.NUMBERVALUE(MID(invoice[[#This Row],[تاریخ]],1,4))</f>
        <v>1405</v>
      </c>
      <c r="I244" s="149" t="s">
        <v>241</v>
      </c>
      <c r="J244" s="149" t="s">
        <v>504</v>
      </c>
      <c r="K244" s="233">
        <v>46466</v>
      </c>
      <c r="L244" s="149">
        <f>IF(invoice[[#This Row],[سال]]=year,1,0)</f>
        <v>1</v>
      </c>
      <c r="M244" s="149"/>
      <c r="N244" s="149"/>
      <c r="O244" s="194">
        <f>SUMIF(bargiri[شماره پیش فاکتور],invoice[[#This Row],[شماره پیش فاکتور]],bargiri[میزان بارگیری شده])/invoice[[#This Row],[میزان سفارش]]</f>
        <v>1</v>
      </c>
      <c r="P244" s="149" t="str">
        <f>IF(invoice[[#This Row],[نوع سفارش]]="غیرفعال","عادی",invoice[[#This Row],[نوع سفارش]])</f>
        <v>انجمن</v>
      </c>
      <c r="Q244" s="149">
        <f>SUMIFS('جزییات بارگیری'!D:D,'جزییات بارگیری'!C:C,invoice[[#This Row],[شماره پیش فاکتور]])</f>
        <v>102310</v>
      </c>
      <c r="R244" s="149">
        <f>IF(invoice[[#This Row],[میزان سفارش]]-invoice[[#This Row],[میزان حمل شده ]]&lt;0,0,invoice[[#This Row],[میزان سفارش]]-invoice[[#This Row],[میزان حمل شده ]])</f>
        <v>0</v>
      </c>
      <c r="S244" s="149">
        <f>invoice[[#This Row],[میزان حمل نشده ]]*invoice[[#This Row],[فی]]</f>
        <v>0</v>
      </c>
    </row>
    <row r="245" spans="1:19" ht="30.6" customHeight="1">
      <c r="A245" s="150" t="s">
        <v>1055</v>
      </c>
      <c r="B245" s="150" t="s">
        <v>105</v>
      </c>
      <c r="C245" s="150" t="s">
        <v>1030</v>
      </c>
      <c r="D245" s="150" t="s">
        <v>1031</v>
      </c>
      <c r="E245" s="148">
        <v>287210</v>
      </c>
      <c r="F245" s="148">
        <v>240000</v>
      </c>
      <c r="G245" s="149" t="str">
        <f>CHOOSE(MID(invoice[[#This Row],[تاریخ]],6,2),"فروردین","اردیبهشت","خرداد","تیر","مرداد","شهریور","مهر","آبان","آذر","دی","بهمن","اسفند")</f>
        <v>اردیبهشت</v>
      </c>
      <c r="H245" s="149">
        <f>_xlfn.NUMBERVALUE(MID(invoice[[#This Row],[تاریخ]],1,4))</f>
        <v>1405</v>
      </c>
      <c r="I245" s="149" t="s">
        <v>241</v>
      </c>
      <c r="J245" s="149" t="s">
        <v>504</v>
      </c>
      <c r="K245" s="233">
        <v>46466</v>
      </c>
      <c r="L245" s="149">
        <f>IF(invoice[[#This Row],[سال]]=year,1,0)</f>
        <v>1</v>
      </c>
      <c r="M245" s="149"/>
      <c r="N245" s="149"/>
      <c r="O245" s="194">
        <f>SUMIF(bargiri[شماره پیش فاکتور],invoice[[#This Row],[شماره پیش فاکتور]],bargiri[میزان بارگیری شده])/invoice[[#This Row],[میزان سفارش]]</f>
        <v>0</v>
      </c>
      <c r="P245" s="149" t="str">
        <f>IF(invoice[[#This Row],[نوع سفارش]]="غیرفعال","عادی",invoice[[#This Row],[نوع سفارش]])</f>
        <v>انجمن</v>
      </c>
      <c r="Q245" s="149">
        <f>SUMIFS('جزییات بارگیری'!D:D,'جزییات بارگیری'!C:C,invoice[[#This Row],[شماره پیش فاکتور]])</f>
        <v>0</v>
      </c>
      <c r="R245" s="149">
        <f>IF(invoice[[#This Row],[میزان سفارش]]-invoice[[#This Row],[میزان حمل شده ]]&lt;0,0,invoice[[#This Row],[میزان سفارش]]-invoice[[#This Row],[میزان حمل شده ]])</f>
        <v>287210</v>
      </c>
      <c r="S245" s="149">
        <f>invoice[[#This Row],[میزان حمل نشده ]]*invoice[[#This Row],[فی]]</f>
        <v>68930400000</v>
      </c>
    </row>
    <row r="246" spans="1:19" ht="30.6" customHeight="1">
      <c r="A246" s="242" t="s">
        <v>1056</v>
      </c>
      <c r="B246" s="242" t="s">
        <v>118</v>
      </c>
      <c r="C246" s="242" t="s">
        <v>908</v>
      </c>
      <c r="D246" s="242" t="s">
        <v>907</v>
      </c>
      <c r="E246" s="148">
        <v>500000</v>
      </c>
      <c r="F246" s="148">
        <v>123481</v>
      </c>
      <c r="G246" s="242" t="str">
        <f>CHOOSE(MID(invoice[[#This Row],[تاریخ]],6,2),"فروردین","اردیبهشت","خرداد","تیر","مرداد","شهریور","مهر","آبان","آذر","دی","بهمن","اسفند")</f>
        <v>دی</v>
      </c>
      <c r="H246" s="242">
        <f>_xlfn.NUMBERVALUE(MID(invoice[[#This Row],[تاریخ]],1,4))</f>
        <v>1404</v>
      </c>
      <c r="I246" s="242" t="s">
        <v>243</v>
      </c>
      <c r="J246" s="242" t="s">
        <v>504</v>
      </c>
      <c r="K246" s="233">
        <v>46422</v>
      </c>
      <c r="L246" s="149">
        <f>IF(invoice[[#This Row],[سال]]=year,1,0)</f>
        <v>0</v>
      </c>
      <c r="M246" s="149"/>
      <c r="N246" s="149"/>
      <c r="O246" s="194">
        <f>SUMIF(bargiri[شماره پیش فاکتور],invoice[[#This Row],[شماره پیش فاکتور]],bargiri[میزان بارگیری شده])/invoice[[#This Row],[میزان سفارش]]</f>
        <v>1</v>
      </c>
      <c r="P246" s="149" t="str">
        <f>IF(invoice[[#This Row],[نوع سفارش]]="غیرفعال","عادی",invoice[[#This Row],[نوع سفارش]])</f>
        <v>عادی</v>
      </c>
      <c r="Q246" s="149">
        <f>SUMIFS('جزییات بارگیری'!D:D,'جزییات بارگیری'!C:C,invoice[[#This Row],[شماره پیش فاکتور]])</f>
        <v>500000</v>
      </c>
      <c r="R246" s="149">
        <f>IF(invoice[[#This Row],[میزان سفارش]]-invoice[[#This Row],[میزان حمل شده ]]&lt;0,0,invoice[[#This Row],[میزان سفارش]]-invoice[[#This Row],[میزان حمل شده ]])</f>
        <v>0</v>
      </c>
      <c r="S246" s="149">
        <f>invoice[[#This Row],[میزان حمل نشده ]]*invoice[[#This Row],[فی]]</f>
        <v>0</v>
      </c>
    </row>
    <row r="247" spans="1:19" ht="30.6" customHeight="1">
      <c r="A247" s="242" t="s">
        <v>1072</v>
      </c>
      <c r="B247" s="242" t="s">
        <v>118</v>
      </c>
      <c r="C247" s="242" t="s">
        <v>908</v>
      </c>
      <c r="D247" s="242" t="s">
        <v>907</v>
      </c>
      <c r="E247" s="148">
        <v>500000</v>
      </c>
      <c r="F247" s="148">
        <v>129730</v>
      </c>
      <c r="G247" s="149" t="str">
        <f>CHOOSE(MID(invoice[[#This Row],[تاریخ]],6,2),"فروردین","اردیبهشت","خرداد","تیر","مرداد","شهریور","مهر","آبان","آذر","دی","بهمن","اسفند")</f>
        <v>دی</v>
      </c>
      <c r="H247" s="149">
        <f>_xlfn.NUMBERVALUE(MID(invoice[[#This Row],[تاریخ]],1,4))</f>
        <v>1404</v>
      </c>
      <c r="I247" s="149" t="s">
        <v>243</v>
      </c>
      <c r="J247" s="149" t="s">
        <v>504</v>
      </c>
      <c r="K247" s="233">
        <v>46422</v>
      </c>
      <c r="L247" s="149">
        <f>IF(invoice[[#This Row],[سال]]=year,1,0)</f>
        <v>0</v>
      </c>
      <c r="M247" s="149"/>
      <c r="N247" s="149"/>
      <c r="O247" s="194">
        <f>SUMIF(bargiri[شماره پیش فاکتور],invoice[[#This Row],[شماره پیش فاکتور]],bargiri[میزان بارگیری شده])/invoice[[#This Row],[میزان سفارش]]</f>
        <v>1</v>
      </c>
      <c r="P247" s="149" t="str">
        <f>IF(invoice[[#This Row],[نوع سفارش]]="غیرفعال","عادی",invoice[[#This Row],[نوع سفارش]])</f>
        <v>عادی</v>
      </c>
      <c r="Q247" s="149">
        <f>SUMIFS('جزییات بارگیری'!D:D,'جزییات بارگیری'!C:C,invoice[[#This Row],[شماره پیش فاکتور]])</f>
        <v>500000</v>
      </c>
      <c r="R247" s="149">
        <f>IF(invoice[[#This Row],[میزان سفارش]]-invoice[[#This Row],[میزان حمل شده ]]&lt;0,0,invoice[[#This Row],[میزان سفارش]]-invoice[[#This Row],[میزان حمل شده ]])</f>
        <v>0</v>
      </c>
      <c r="S247" s="149">
        <f>invoice[[#This Row],[میزان حمل نشده ]]*invoice[[#This Row],[فی]]</f>
        <v>0</v>
      </c>
    </row>
    <row r="248" spans="1:19" ht="30.6" customHeight="1">
      <c r="A248" s="242" t="s">
        <v>1090</v>
      </c>
      <c r="B248" s="242" t="s">
        <v>118</v>
      </c>
      <c r="C248" s="242" t="s">
        <v>907</v>
      </c>
      <c r="D248" s="242" t="s">
        <v>907</v>
      </c>
      <c r="E248" s="148">
        <v>500000</v>
      </c>
      <c r="F248" s="148">
        <v>131890</v>
      </c>
      <c r="G248" s="149" t="str">
        <f>CHOOSE(MID(invoice[[#This Row],[تاریخ]],6,2),"فروردین","اردیبهشت","خرداد","تیر","مرداد","شهریور","مهر","آبان","آذر","دی","بهمن","اسفند")</f>
        <v>دی</v>
      </c>
      <c r="H248" s="149">
        <f>_xlfn.NUMBERVALUE(MID(invoice[[#This Row],[تاریخ]],1,4))</f>
        <v>1404</v>
      </c>
      <c r="I248" s="149" t="s">
        <v>243</v>
      </c>
      <c r="J248" s="149" t="s">
        <v>504</v>
      </c>
      <c r="K248" s="233">
        <v>46422</v>
      </c>
      <c r="L248" s="149">
        <f>IF(invoice[[#This Row],[سال]]=year,1,0)</f>
        <v>0</v>
      </c>
      <c r="M248" s="149"/>
      <c r="N248" s="149"/>
      <c r="O248" s="194">
        <f>SUMIF(bargiri[شماره پیش فاکتور],invoice[[#This Row],[شماره پیش فاکتور]],bargiri[میزان بارگیری شده])/invoice[[#This Row],[میزان سفارش]]</f>
        <v>1</v>
      </c>
      <c r="P248" s="149" t="str">
        <f>IF(invoice[[#This Row],[نوع سفارش]]="غیرفعال","عادی",invoice[[#This Row],[نوع سفارش]])</f>
        <v>عادی</v>
      </c>
      <c r="Q248" s="149">
        <f>SUMIFS('جزییات بارگیری'!D:D,'جزییات بارگیری'!C:C,invoice[[#This Row],[شماره پیش فاکتور]])</f>
        <v>500000</v>
      </c>
      <c r="R248" s="149">
        <f>IF(invoice[[#This Row],[میزان سفارش]]-invoice[[#This Row],[میزان حمل شده ]]&lt;0,0,invoice[[#This Row],[میزان سفارش]]-invoice[[#This Row],[میزان حمل شده ]])</f>
        <v>0</v>
      </c>
      <c r="S248" s="149">
        <f>invoice[[#This Row],[میزان حمل نشده ]]*invoice[[#This Row],[فی]]</f>
        <v>0</v>
      </c>
    </row>
    <row r="249" spans="1:19" ht="30.6" customHeight="1">
      <c r="A249" s="242" t="s">
        <v>1097</v>
      </c>
      <c r="B249" s="242" t="s">
        <v>118</v>
      </c>
      <c r="C249" s="242" t="s">
        <v>907</v>
      </c>
      <c r="D249" s="242" t="s">
        <v>907</v>
      </c>
      <c r="E249" s="148">
        <v>500000</v>
      </c>
      <c r="F249" s="148">
        <v>125844</v>
      </c>
      <c r="G249" s="149" t="str">
        <f>CHOOSE(MID(invoice[[#This Row],[تاریخ]],6,2),"فروردین","اردیبهشت","خرداد","تیر","مرداد","شهریور","مهر","آبان","آذر","دی","بهمن","اسفند")</f>
        <v>دی</v>
      </c>
      <c r="H249" s="149">
        <f>_xlfn.NUMBERVALUE(MID(invoice[[#This Row],[تاریخ]],1,4))</f>
        <v>1404</v>
      </c>
      <c r="I249" s="149" t="s">
        <v>243</v>
      </c>
      <c r="J249" s="149" t="s">
        <v>504</v>
      </c>
      <c r="K249" s="233">
        <v>46422</v>
      </c>
      <c r="L249" s="149">
        <f>IF(invoice[[#This Row],[سال]]=year,1,0)</f>
        <v>0</v>
      </c>
      <c r="M249" s="149"/>
      <c r="N249" s="149"/>
      <c r="O249" s="194">
        <f>SUMIF(bargiri[شماره پیش فاکتور],invoice[[#This Row],[شماره پیش فاکتور]],bargiri[میزان بارگیری شده])/invoice[[#This Row],[میزان سفارش]]</f>
        <v>1</v>
      </c>
      <c r="P249" s="149" t="str">
        <f>IF(invoice[[#This Row],[نوع سفارش]]="غیرفعال","عادی",invoice[[#This Row],[نوع سفارش]])</f>
        <v>عادی</v>
      </c>
      <c r="Q249" s="149">
        <f>SUMIFS('جزییات بارگیری'!D:D,'جزییات بارگیری'!C:C,invoice[[#This Row],[شماره پیش فاکتور]])</f>
        <v>500000</v>
      </c>
      <c r="R249" s="149">
        <f>IF(invoice[[#This Row],[میزان سفارش]]-invoice[[#This Row],[میزان حمل شده ]]&lt;0,0,invoice[[#This Row],[میزان سفارش]]-invoice[[#This Row],[میزان حمل شده ]])</f>
        <v>0</v>
      </c>
      <c r="S249" s="149">
        <f>invoice[[#This Row],[میزان حمل نشده ]]*invoice[[#This Row],[فی]]</f>
        <v>0</v>
      </c>
    </row>
    <row r="250" spans="1:19" ht="30.6" customHeight="1">
      <c r="A250" s="150" t="s">
        <v>1099</v>
      </c>
      <c r="B250" s="150" t="s">
        <v>1100</v>
      </c>
      <c r="C250" s="150" t="s">
        <v>1077</v>
      </c>
      <c r="D250" s="151">
        <v>46164</v>
      </c>
      <c r="E250" s="148">
        <v>200000</v>
      </c>
      <c r="F250" s="148">
        <v>240000</v>
      </c>
      <c r="G250" s="149" t="str">
        <f>CHOOSE(MID(invoice[[#This Row],[تاریخ]],6,2),"فروردین","اردیبهشت","خرداد","تیر","مرداد","شهریور","مهر","آبان","آذر","دی","بهمن","اسفند")</f>
        <v>اردیبهشت</v>
      </c>
      <c r="H250" s="149">
        <f>_xlfn.NUMBERVALUE(MID(invoice[[#This Row],[تاریخ]],1,4))</f>
        <v>1405</v>
      </c>
      <c r="I250" s="149" t="s">
        <v>241</v>
      </c>
      <c r="J250" s="149" t="s">
        <v>504</v>
      </c>
      <c r="K250" s="233">
        <v>46559</v>
      </c>
      <c r="L250" s="149">
        <f>IF(invoice[[#This Row],[سال]]=year,1,0)</f>
        <v>1</v>
      </c>
      <c r="M250" s="149"/>
      <c r="N250" s="149"/>
      <c r="O250" s="194">
        <f>SUMIF(bargiri[شماره پیش فاکتور],invoice[[#This Row],[شماره پیش فاکتور]],bargiri[میزان بارگیری شده])/invoice[[#This Row],[میزان سفارش]]</f>
        <v>0.25395000000000001</v>
      </c>
      <c r="P250" s="149" t="str">
        <f>IF(invoice[[#This Row],[نوع سفارش]]="غیرفعال","عادی",invoice[[#This Row],[نوع سفارش]])</f>
        <v>انجمن</v>
      </c>
      <c r="Q250" s="149">
        <f>SUMIFS('جزییات بارگیری'!D:D,'جزییات بارگیری'!C:C,invoice[[#This Row],[شماره پیش فاکتور]])</f>
        <v>50790</v>
      </c>
      <c r="R250" s="149">
        <f>IF(invoice[[#This Row],[میزان سفارش]]-invoice[[#This Row],[میزان حمل شده ]]&lt;0,0,invoice[[#This Row],[میزان سفارش]]-invoice[[#This Row],[میزان حمل شده ]])</f>
        <v>149210</v>
      </c>
      <c r="S250" s="149">
        <f>invoice[[#This Row],[میزان حمل نشده ]]*invoice[[#This Row],[فی]]</f>
        <v>35810400000</v>
      </c>
    </row>
    <row r="251" spans="1:19" ht="30.6" customHeight="1">
      <c r="A251" s="150" t="s">
        <v>1103</v>
      </c>
      <c r="B251" s="150" t="s">
        <v>101</v>
      </c>
      <c r="C251" s="150" t="s">
        <v>1077</v>
      </c>
      <c r="D251" s="150" t="s">
        <v>1062</v>
      </c>
      <c r="E251" s="148">
        <v>300000</v>
      </c>
      <c r="F251" s="148">
        <v>240000</v>
      </c>
      <c r="G251" s="149" t="str">
        <f>CHOOSE(MID(invoice[[#This Row],[تاریخ]],6,2),"فروردین","اردیبهشت","خرداد","تیر","مرداد","شهریور","مهر","آبان","آذر","دی","بهمن","اسفند")</f>
        <v>اردیبهشت</v>
      </c>
      <c r="H251" s="149">
        <f>_xlfn.NUMBERVALUE(MID(invoice[[#This Row],[تاریخ]],1,4))</f>
        <v>1405</v>
      </c>
      <c r="I251" s="149" t="s">
        <v>241</v>
      </c>
      <c r="J251" s="149" t="s">
        <v>504</v>
      </c>
      <c r="K251" s="233">
        <v>46559</v>
      </c>
      <c r="L251" s="149">
        <f>IF(invoice[[#This Row],[سال]]=year,1,0)</f>
        <v>1</v>
      </c>
      <c r="M251" s="149"/>
      <c r="N251" s="149"/>
      <c r="O251" s="194">
        <f>SUMIF(bargiri[شماره پیش فاکتور],invoice[[#This Row],[شماره پیش فاکتور]],bargiri[میزان بارگیری شده])/invoice[[#This Row],[میزان سفارش]]</f>
        <v>0.42098333333333332</v>
      </c>
      <c r="P251" s="149" t="str">
        <f>IF(invoice[[#This Row],[نوع سفارش]]="غیرفعال","عادی",invoice[[#This Row],[نوع سفارش]])</f>
        <v>انجمن</v>
      </c>
      <c r="Q251" s="149">
        <f>SUMIFS('جزییات بارگیری'!D:D,'جزییات بارگیری'!C:C,invoice[[#This Row],[شماره پیش فاکتور]])</f>
        <v>126295</v>
      </c>
      <c r="R251" s="149">
        <f>IF(invoice[[#This Row],[میزان سفارش]]-invoice[[#This Row],[میزان حمل شده ]]&lt;0,0,invoice[[#This Row],[میزان سفارش]]-invoice[[#This Row],[میزان حمل شده ]])</f>
        <v>173705</v>
      </c>
      <c r="S251" s="149">
        <f>invoice[[#This Row],[میزان حمل نشده ]]*invoice[[#This Row],[فی]]</f>
        <v>41689200000</v>
      </c>
    </row>
    <row r="252" spans="1:19" ht="30.6" customHeight="1">
      <c r="A252" s="150" t="s">
        <v>1105</v>
      </c>
      <c r="B252" s="150" t="s">
        <v>104</v>
      </c>
      <c r="C252" s="150" t="s">
        <v>1077</v>
      </c>
      <c r="D252" s="150" t="s">
        <v>1062</v>
      </c>
      <c r="E252" s="148">
        <v>300000</v>
      </c>
      <c r="F252" s="148">
        <v>240000</v>
      </c>
      <c r="G252" s="149" t="str">
        <f>CHOOSE(MID(invoice[[#This Row],[تاریخ]],6,2),"فروردین","اردیبهشت","خرداد","تیر","مرداد","شهریور","مهر","آبان","آذر","دی","بهمن","اسفند")</f>
        <v>اردیبهشت</v>
      </c>
      <c r="H252" s="149">
        <f>_xlfn.NUMBERVALUE(MID(invoice[[#This Row],[تاریخ]],1,4))</f>
        <v>1405</v>
      </c>
      <c r="I252" s="149" t="s">
        <v>241</v>
      </c>
      <c r="J252" s="149" t="s">
        <v>504</v>
      </c>
      <c r="K252" s="233">
        <v>46559</v>
      </c>
      <c r="L252" s="149">
        <f>IF(invoice[[#This Row],[سال]]=year,1,0)</f>
        <v>1</v>
      </c>
      <c r="M252" s="149"/>
      <c r="N252" s="149"/>
      <c r="O252" s="194">
        <f>SUMIF(bargiri[شماره پیش فاکتور],invoice[[#This Row],[شماره پیش فاکتور]],bargiri[میزان بارگیری شده])/invoice[[#This Row],[میزان سفارش]]</f>
        <v>0.11566666666666667</v>
      </c>
      <c r="P252" s="149" t="str">
        <f>IF(invoice[[#This Row],[نوع سفارش]]="غیرفعال","عادی",invoice[[#This Row],[نوع سفارش]])</f>
        <v>انجمن</v>
      </c>
      <c r="Q252" s="149">
        <f>SUMIFS('جزییات بارگیری'!D:D,'جزییات بارگیری'!C:C,invoice[[#This Row],[شماره پیش فاکتور]])</f>
        <v>34700</v>
      </c>
      <c r="R252" s="149">
        <f>IF(invoice[[#This Row],[میزان سفارش]]-invoice[[#This Row],[میزان حمل شده ]]&lt;0,0,invoice[[#This Row],[میزان سفارش]]-invoice[[#This Row],[میزان حمل شده ]])</f>
        <v>265300</v>
      </c>
      <c r="S252" s="149">
        <f>invoice[[#This Row],[میزان حمل نشده ]]*invoice[[#This Row],[فی]]</f>
        <v>63672000000</v>
      </c>
    </row>
    <row r="253" spans="1:19" ht="30.6" customHeight="1">
      <c r="A253" s="150" t="s">
        <v>1106</v>
      </c>
      <c r="B253" s="150" t="s">
        <v>1042</v>
      </c>
      <c r="C253" s="150" t="s">
        <v>1077</v>
      </c>
      <c r="D253" s="150" t="s">
        <v>1062</v>
      </c>
      <c r="E253" s="148">
        <v>50000</v>
      </c>
      <c r="F253" s="148">
        <v>240000</v>
      </c>
      <c r="G253" s="149" t="str">
        <f>CHOOSE(MID(invoice[[#This Row],[تاریخ]],6,2),"فروردین","اردیبهشت","خرداد","تیر","مرداد","شهریور","مهر","آبان","آذر","دی","بهمن","اسفند")</f>
        <v>اردیبهشت</v>
      </c>
      <c r="H253" s="149">
        <f>_xlfn.NUMBERVALUE(MID(invoice[[#This Row],[تاریخ]],1,4))</f>
        <v>1405</v>
      </c>
      <c r="I253" s="149" t="s">
        <v>241</v>
      </c>
      <c r="J253" s="149" t="s">
        <v>504</v>
      </c>
      <c r="K253" s="233">
        <v>46559</v>
      </c>
      <c r="L253" s="149">
        <f>IF(invoice[[#This Row],[سال]]=year,1,0)</f>
        <v>1</v>
      </c>
      <c r="M253" s="149"/>
      <c r="N253" s="149"/>
      <c r="O253" s="194">
        <f>SUMIF(bargiri[شماره پیش فاکتور],invoice[[#This Row],[شماره پیش فاکتور]],bargiri[میزان بارگیری شده])/invoice[[#This Row],[میزان سفارش]]</f>
        <v>0</v>
      </c>
      <c r="P253" s="149" t="str">
        <f>IF(invoice[[#This Row],[نوع سفارش]]="غیرفعال","عادی",invoice[[#This Row],[نوع سفارش]])</f>
        <v>انجمن</v>
      </c>
      <c r="Q253" s="149">
        <f>SUMIFS('جزییات بارگیری'!D:D,'جزییات بارگیری'!C:C,invoice[[#This Row],[شماره پیش فاکتور]])</f>
        <v>0</v>
      </c>
      <c r="R253" s="149">
        <f>IF(invoice[[#This Row],[میزان سفارش]]-invoice[[#This Row],[میزان حمل شده ]]&lt;0,0,invoice[[#This Row],[میزان سفارش]]-invoice[[#This Row],[میزان حمل شده ]])</f>
        <v>50000</v>
      </c>
      <c r="S253" s="149">
        <f>invoice[[#This Row],[میزان حمل نشده ]]*invoice[[#This Row],[فی]]</f>
        <v>12000000000</v>
      </c>
    </row>
    <row r="254" spans="1:19" ht="30.6" customHeight="1">
      <c r="A254" s="150" t="s">
        <v>1107</v>
      </c>
      <c r="B254" s="150" t="s">
        <v>117</v>
      </c>
      <c r="C254" s="150" t="s">
        <v>1077</v>
      </c>
      <c r="D254" s="150" t="s">
        <v>1062</v>
      </c>
      <c r="E254" s="148">
        <v>500000</v>
      </c>
      <c r="F254" s="148">
        <v>240000</v>
      </c>
      <c r="G254" s="149" t="str">
        <f>CHOOSE(MID(invoice[[#This Row],[تاریخ]],6,2),"فروردین","اردیبهشت","خرداد","تیر","مرداد","شهریور","مهر","آبان","آذر","دی","بهمن","اسفند")</f>
        <v>اردیبهشت</v>
      </c>
      <c r="H254" s="149">
        <f>_xlfn.NUMBERVALUE(MID(invoice[[#This Row],[تاریخ]],1,4))</f>
        <v>1405</v>
      </c>
      <c r="I254" s="149" t="s">
        <v>241</v>
      </c>
      <c r="J254" s="149" t="s">
        <v>504</v>
      </c>
      <c r="K254" s="233">
        <v>46559</v>
      </c>
      <c r="L254" s="149">
        <f>IF(invoice[[#This Row],[سال]]=year,1,0)</f>
        <v>1</v>
      </c>
      <c r="M254" s="149"/>
      <c r="N254" s="149"/>
      <c r="O254" s="194">
        <f>SUMIF(bargiri[شماره پیش فاکتور],invoice[[#This Row],[شماره پیش فاکتور]],bargiri[میزان بارگیری شده])/invoice[[#This Row],[میزان سفارش]]</f>
        <v>3.9960000000000002E-2</v>
      </c>
      <c r="P254" s="149" t="str">
        <f>IF(invoice[[#This Row],[نوع سفارش]]="غیرفعال","عادی",invoice[[#This Row],[نوع سفارش]])</f>
        <v>انجمن</v>
      </c>
      <c r="Q254" s="149">
        <f>SUMIFS('جزییات بارگیری'!D:D,'جزییات بارگیری'!C:C,invoice[[#This Row],[شماره پیش فاکتور]])</f>
        <v>19980</v>
      </c>
      <c r="R254" s="149">
        <f>IF(invoice[[#This Row],[میزان سفارش]]-invoice[[#This Row],[میزان حمل شده ]]&lt;0,0,invoice[[#This Row],[میزان سفارش]]-invoice[[#This Row],[میزان حمل شده ]])</f>
        <v>480020</v>
      </c>
      <c r="S254" s="149">
        <f>invoice[[#This Row],[میزان حمل نشده ]]*invoice[[#This Row],[فی]]</f>
        <v>115204800000</v>
      </c>
    </row>
    <row r="255" spans="1:19" ht="30.6" customHeight="1">
      <c r="A255" s="150" t="s">
        <v>1108</v>
      </c>
      <c r="B255" s="150" t="s">
        <v>100</v>
      </c>
      <c r="C255" s="150" t="s">
        <v>1077</v>
      </c>
      <c r="D255" s="150" t="s">
        <v>1062</v>
      </c>
      <c r="E255" s="148">
        <v>200000</v>
      </c>
      <c r="F255" s="148">
        <v>240000</v>
      </c>
      <c r="G255" s="149" t="str">
        <f>CHOOSE(MID(invoice[[#This Row],[تاریخ]],6,2),"فروردین","اردیبهشت","خرداد","تیر","مرداد","شهریور","مهر","آبان","آذر","دی","بهمن","اسفند")</f>
        <v>اردیبهشت</v>
      </c>
      <c r="H255" s="149">
        <f>_xlfn.NUMBERVALUE(MID(invoice[[#This Row],[تاریخ]],1,4))</f>
        <v>1405</v>
      </c>
      <c r="I255" s="149" t="s">
        <v>241</v>
      </c>
      <c r="J255" s="149" t="s">
        <v>504</v>
      </c>
      <c r="K255" s="233">
        <v>46559</v>
      </c>
      <c r="L255" s="149">
        <f>IF(invoice[[#This Row],[سال]]=year,1,0)</f>
        <v>1</v>
      </c>
      <c r="M255" s="149"/>
      <c r="N255" s="149"/>
      <c r="O255" s="194">
        <f>SUMIF(bargiri[شماره پیش فاکتور],invoice[[#This Row],[شماره پیش فاکتور]],bargiri[میزان بارگیری شده])/invoice[[#This Row],[میزان سفارش]]</f>
        <v>0.11785</v>
      </c>
      <c r="P255" s="149" t="str">
        <f>IF(invoice[[#This Row],[نوع سفارش]]="غیرفعال","عادی",invoice[[#This Row],[نوع سفارش]])</f>
        <v>انجمن</v>
      </c>
      <c r="Q255" s="149">
        <f>SUMIFS('جزییات بارگیری'!D:D,'جزییات بارگیری'!C:C,invoice[[#This Row],[شماره پیش فاکتور]])</f>
        <v>23570</v>
      </c>
      <c r="R255" s="149">
        <f>IF(invoice[[#This Row],[میزان سفارش]]-invoice[[#This Row],[میزان حمل شده ]]&lt;0,0,invoice[[#This Row],[میزان سفارش]]-invoice[[#This Row],[میزان حمل شده ]])</f>
        <v>176430</v>
      </c>
      <c r="S255" s="149">
        <f>invoice[[#This Row],[میزان حمل نشده ]]*invoice[[#This Row],[فی]]</f>
        <v>42343200000</v>
      </c>
    </row>
    <row r="256" spans="1:19" ht="30.6" customHeight="1">
      <c r="A256" s="150" t="s">
        <v>1109</v>
      </c>
      <c r="B256" s="150" t="s">
        <v>122</v>
      </c>
      <c r="C256" s="150" t="s">
        <v>1077</v>
      </c>
      <c r="D256" s="150" t="s">
        <v>1062</v>
      </c>
      <c r="E256" s="148">
        <v>400000</v>
      </c>
      <c r="F256" s="148">
        <v>240000</v>
      </c>
      <c r="G256" s="149" t="str">
        <f>CHOOSE(MID(invoice[[#This Row],[تاریخ]],6,2),"فروردین","اردیبهشت","خرداد","تیر","مرداد","شهریور","مهر","آبان","آذر","دی","بهمن","اسفند")</f>
        <v>اردیبهشت</v>
      </c>
      <c r="H256" s="149">
        <f>_xlfn.NUMBERVALUE(MID(invoice[[#This Row],[تاریخ]],1,4))</f>
        <v>1405</v>
      </c>
      <c r="I256" s="149" t="s">
        <v>241</v>
      </c>
      <c r="J256" s="149" t="s">
        <v>504</v>
      </c>
      <c r="K256" s="233">
        <v>46559</v>
      </c>
      <c r="L256" s="149">
        <f>IF(invoice[[#This Row],[سال]]=year,1,0)</f>
        <v>1</v>
      </c>
      <c r="M256" s="149"/>
      <c r="N256" s="149"/>
      <c r="O256" s="194">
        <f>SUMIF(bargiri[شماره پیش فاکتور],invoice[[#This Row],[شماره پیش فاکتور]],bargiri[میزان بارگیری شده])/invoice[[#This Row],[میزان سفارش]]</f>
        <v>0.21315000000000001</v>
      </c>
      <c r="P256" s="149" t="str">
        <f>IF(invoice[[#This Row],[نوع سفارش]]="غیرفعال","عادی",invoice[[#This Row],[نوع سفارش]])</f>
        <v>انجمن</v>
      </c>
      <c r="Q256" s="149">
        <f>SUMIFS('جزییات بارگیری'!D:D,'جزییات بارگیری'!C:C,invoice[[#This Row],[شماره پیش فاکتور]])</f>
        <v>85260</v>
      </c>
      <c r="R256" s="149">
        <f>IF(invoice[[#This Row],[میزان سفارش]]-invoice[[#This Row],[میزان حمل شده ]]&lt;0,0,invoice[[#This Row],[میزان سفارش]]-invoice[[#This Row],[میزان حمل شده ]])</f>
        <v>314740</v>
      </c>
      <c r="S256" s="149">
        <f>invoice[[#This Row],[میزان حمل نشده ]]*invoice[[#This Row],[فی]]</f>
        <v>75537600000</v>
      </c>
    </row>
    <row r="257" spans="1:19" ht="30.6" customHeight="1">
      <c r="A257" s="150" t="s">
        <v>1110</v>
      </c>
      <c r="B257" s="150" t="s">
        <v>123</v>
      </c>
      <c r="C257" s="150" t="s">
        <v>1077</v>
      </c>
      <c r="D257" s="150" t="s">
        <v>1062</v>
      </c>
      <c r="E257" s="148">
        <v>300000</v>
      </c>
      <c r="F257" s="148">
        <v>240000</v>
      </c>
      <c r="G257" s="149" t="str">
        <f>CHOOSE(MID(invoice[[#This Row],[تاریخ]],6,2),"فروردین","اردیبهشت","خرداد","تیر","مرداد","شهریور","مهر","آبان","آذر","دی","بهمن","اسفند")</f>
        <v>اردیبهشت</v>
      </c>
      <c r="H257" s="149">
        <f>_xlfn.NUMBERVALUE(MID(invoice[[#This Row],[تاریخ]],1,4))</f>
        <v>1405</v>
      </c>
      <c r="I257" s="149" t="s">
        <v>241</v>
      </c>
      <c r="J257" s="149" t="s">
        <v>504</v>
      </c>
      <c r="K257" s="233">
        <v>46559</v>
      </c>
      <c r="L257" s="149">
        <f>IF(invoice[[#This Row],[سال]]=year,1,0)</f>
        <v>1</v>
      </c>
      <c r="M257" s="149"/>
      <c r="N257" s="149"/>
      <c r="O257" s="194">
        <f>SUMIF(bargiri[شماره پیش فاکتور],invoice[[#This Row],[شماره پیش فاکتور]],bargiri[میزان بارگیری شده])/invoice[[#This Row],[میزان سفارش]]</f>
        <v>0</v>
      </c>
      <c r="P257" s="149" t="str">
        <f>IF(invoice[[#This Row],[نوع سفارش]]="غیرفعال","عادی",invoice[[#This Row],[نوع سفارش]])</f>
        <v>انجمن</v>
      </c>
      <c r="Q257" s="149">
        <f>SUMIFS('جزییات بارگیری'!D:D,'جزییات بارگیری'!C:C,invoice[[#This Row],[شماره پیش فاکتور]])</f>
        <v>0</v>
      </c>
      <c r="R257" s="149">
        <f>IF(invoice[[#This Row],[میزان سفارش]]-invoice[[#This Row],[میزان حمل شده ]]&lt;0,0,invoice[[#This Row],[میزان سفارش]]-invoice[[#This Row],[میزان حمل شده ]])</f>
        <v>300000</v>
      </c>
      <c r="S257" s="149">
        <f>invoice[[#This Row],[میزان حمل نشده ]]*invoice[[#This Row],[فی]]</f>
        <v>72000000000</v>
      </c>
    </row>
    <row r="258" spans="1:19" ht="30.6" customHeight="1">
      <c r="A258" s="150" t="s">
        <v>1111</v>
      </c>
      <c r="B258" s="150" t="s">
        <v>105</v>
      </c>
      <c r="C258" s="150" t="s">
        <v>1077</v>
      </c>
      <c r="D258" s="150" t="s">
        <v>1062</v>
      </c>
      <c r="E258" s="148">
        <v>800000</v>
      </c>
      <c r="F258" s="148">
        <v>240000</v>
      </c>
      <c r="G258" s="149" t="str">
        <f>CHOOSE(MID(invoice[[#This Row],[تاریخ]],6,2),"فروردین","اردیبهشت","خرداد","تیر","مرداد","شهریور","مهر","آبان","آذر","دی","بهمن","اسفند")</f>
        <v>اردیبهشت</v>
      </c>
      <c r="H258" s="149">
        <f>_xlfn.NUMBERVALUE(MID(invoice[[#This Row],[تاریخ]],1,4))</f>
        <v>1405</v>
      </c>
      <c r="I258" s="149" t="s">
        <v>241</v>
      </c>
      <c r="J258" s="149" t="s">
        <v>504</v>
      </c>
      <c r="K258" s="233">
        <v>46559</v>
      </c>
      <c r="L258" s="149">
        <f>IF(invoice[[#This Row],[سال]]=year,1,0)</f>
        <v>1</v>
      </c>
      <c r="M258" s="149"/>
      <c r="N258" s="149"/>
      <c r="O258" s="194">
        <f>SUMIF(bargiri[شماره پیش فاکتور],invoice[[#This Row],[شماره پیش فاکتور]],bargiri[میزان بارگیری شده])/invoice[[#This Row],[میزان سفارش]]</f>
        <v>0</v>
      </c>
      <c r="P258" s="149" t="str">
        <f>IF(invoice[[#This Row],[نوع سفارش]]="غیرفعال","عادی",invoice[[#This Row],[نوع سفارش]])</f>
        <v>انجمن</v>
      </c>
      <c r="Q258" s="149">
        <f>SUMIFS('جزییات بارگیری'!D:D,'جزییات بارگیری'!C:C,invoice[[#This Row],[شماره پیش فاکتور]])</f>
        <v>0</v>
      </c>
      <c r="R258" s="149">
        <f>IF(invoice[[#This Row],[میزان سفارش]]-invoice[[#This Row],[میزان حمل شده ]]&lt;0,0,invoice[[#This Row],[میزان سفارش]]-invoice[[#This Row],[میزان حمل شده ]])</f>
        <v>800000</v>
      </c>
      <c r="S258" s="149">
        <f>invoice[[#This Row],[میزان حمل نشده ]]*invoice[[#This Row],[فی]]</f>
        <v>192000000000</v>
      </c>
    </row>
    <row r="259" spans="1:19" ht="30.6" customHeight="1">
      <c r="A259" s="150" t="s">
        <v>1112</v>
      </c>
      <c r="B259" s="150" t="s">
        <v>103</v>
      </c>
      <c r="C259" s="150" t="s">
        <v>1077</v>
      </c>
      <c r="D259" s="150" t="s">
        <v>1062</v>
      </c>
      <c r="E259" s="148">
        <v>370000</v>
      </c>
      <c r="F259" s="148">
        <v>240000</v>
      </c>
      <c r="G259" s="149" t="str">
        <f>CHOOSE(MID(invoice[[#This Row],[تاریخ]],6,2),"فروردین","اردیبهشت","خرداد","تیر","مرداد","شهریور","مهر","آبان","آذر","دی","بهمن","اسفند")</f>
        <v>اردیبهشت</v>
      </c>
      <c r="H259" s="149">
        <f>_xlfn.NUMBERVALUE(MID(invoice[[#This Row],[تاریخ]],1,4))</f>
        <v>1405</v>
      </c>
      <c r="I259" s="149" t="s">
        <v>241</v>
      </c>
      <c r="J259" s="149" t="s">
        <v>504</v>
      </c>
      <c r="K259" s="233">
        <v>46559</v>
      </c>
      <c r="L259" s="149">
        <f>IF(invoice[[#This Row],[سال]]=year,1,0)</f>
        <v>1</v>
      </c>
      <c r="M259" s="149"/>
      <c r="N259" s="149"/>
      <c r="O259" s="194">
        <f>SUMIF(bargiri[شماره پیش فاکتور],invoice[[#This Row],[شماره پیش فاکتور]],bargiri[میزان بارگیری شده])/invoice[[#This Row],[میزان سفارش]]</f>
        <v>0</v>
      </c>
      <c r="P259" s="149" t="str">
        <f>IF(invoice[[#This Row],[نوع سفارش]]="غیرفعال","عادی",invoice[[#This Row],[نوع سفارش]])</f>
        <v>انجمن</v>
      </c>
      <c r="Q259" s="149">
        <f>SUMIFS('جزییات بارگیری'!D:D,'جزییات بارگیری'!C:C,invoice[[#This Row],[شماره پیش فاکتور]])</f>
        <v>0</v>
      </c>
      <c r="R259" s="149">
        <f>IF(invoice[[#This Row],[میزان سفارش]]-invoice[[#This Row],[میزان حمل شده ]]&lt;0,0,invoice[[#This Row],[میزان سفارش]]-invoice[[#This Row],[میزان حمل شده ]])</f>
        <v>370000</v>
      </c>
      <c r="S259" s="149">
        <f>invoice[[#This Row],[میزان حمل نشده ]]*invoice[[#This Row],[فی]]</f>
        <v>88800000000</v>
      </c>
    </row>
    <row r="260" spans="1:19" ht="30.6" customHeight="1">
      <c r="A260" s="150" t="s">
        <v>1113</v>
      </c>
      <c r="B260" s="150" t="s">
        <v>114</v>
      </c>
      <c r="C260" s="150" t="s">
        <v>1077</v>
      </c>
      <c r="D260" s="150" t="s">
        <v>1062</v>
      </c>
      <c r="E260" s="148">
        <v>1000000</v>
      </c>
      <c r="F260" s="148">
        <v>240000</v>
      </c>
      <c r="G260" s="149" t="str">
        <f>CHOOSE(MID(invoice[[#This Row],[تاریخ]],6,2),"فروردین","اردیبهشت","خرداد","تیر","مرداد","شهریور","مهر","آبان","آذر","دی","بهمن","اسفند")</f>
        <v>اردیبهشت</v>
      </c>
      <c r="H260" s="149">
        <f>_xlfn.NUMBERVALUE(MID(invoice[[#This Row],[تاریخ]],1,4))</f>
        <v>1405</v>
      </c>
      <c r="I260" s="149" t="s">
        <v>241</v>
      </c>
      <c r="J260" s="149" t="s">
        <v>728</v>
      </c>
      <c r="K260" s="233">
        <v>46559</v>
      </c>
      <c r="L260" s="149">
        <f>IF(invoice[[#This Row],[سال]]=year,1,0)</f>
        <v>1</v>
      </c>
      <c r="M260" s="149"/>
      <c r="N260" s="149"/>
      <c r="O260" s="194">
        <f>SUMIF(bargiri[شماره پیش فاکتور],invoice[[#This Row],[شماره پیش فاکتور]],bargiri[میزان بارگیری شده])/invoice[[#This Row],[میزان سفارش]]</f>
        <v>0</v>
      </c>
      <c r="P260" s="149" t="str">
        <f>IF(invoice[[#This Row],[نوع سفارش]]="غیرفعال","عادی",invoice[[#This Row],[نوع سفارش]])</f>
        <v>انجمن</v>
      </c>
      <c r="Q260" s="149">
        <f>SUMIFS('جزییات بارگیری'!D:D,'جزییات بارگیری'!C:C,invoice[[#This Row],[شماره پیش فاکتور]])</f>
        <v>0</v>
      </c>
      <c r="R260" s="149">
        <f>IF(invoice[[#This Row],[میزان سفارش]]-invoice[[#This Row],[میزان حمل شده ]]&lt;0,0,invoice[[#This Row],[میزان سفارش]]-invoice[[#This Row],[میزان حمل شده ]])</f>
        <v>1000000</v>
      </c>
      <c r="S260" s="149">
        <f>invoice[[#This Row],[میزان حمل نشده ]]*invoice[[#This Row],[فی]]</f>
        <v>240000000000</v>
      </c>
    </row>
    <row r="261" spans="1:19" ht="30.6" customHeight="1">
      <c r="A261" s="150" t="s">
        <v>1114</v>
      </c>
      <c r="B261" s="150" t="s">
        <v>125</v>
      </c>
      <c r="C261" s="150" t="s">
        <v>1077</v>
      </c>
      <c r="D261" s="150" t="s">
        <v>1062</v>
      </c>
      <c r="E261" s="148">
        <v>400000</v>
      </c>
      <c r="F261" s="148">
        <v>240000</v>
      </c>
      <c r="G261" s="149" t="str">
        <f>CHOOSE(MID(invoice[[#This Row],[تاریخ]],6,2),"فروردین","اردیبهشت","خرداد","تیر","مرداد","شهریور","مهر","آبان","آذر","دی","بهمن","اسفند")</f>
        <v>اردیبهشت</v>
      </c>
      <c r="H261" s="149">
        <f>_xlfn.NUMBERVALUE(MID(invoice[[#This Row],[تاریخ]],1,4))</f>
        <v>1405</v>
      </c>
      <c r="I261" s="149" t="s">
        <v>241</v>
      </c>
      <c r="J261" s="149" t="s">
        <v>504</v>
      </c>
      <c r="K261" s="233">
        <v>46559</v>
      </c>
      <c r="L261" s="149">
        <f>IF(invoice[[#This Row],[سال]]=year,1,0)</f>
        <v>1</v>
      </c>
      <c r="M261" s="149"/>
      <c r="N261" s="149"/>
      <c r="O261" s="194">
        <f>SUMIF(bargiri[شماره پیش فاکتور],invoice[[#This Row],[شماره پیش فاکتور]],bargiri[میزان بارگیری شده])/invoice[[#This Row],[میزان سفارش]]</f>
        <v>0</v>
      </c>
      <c r="P261" s="149" t="str">
        <f>IF(invoice[[#This Row],[نوع سفارش]]="غیرفعال","عادی",invoice[[#This Row],[نوع سفارش]])</f>
        <v>انجمن</v>
      </c>
      <c r="Q261" s="149">
        <f>SUMIFS('جزییات بارگیری'!D:D,'جزییات بارگیری'!C:C,invoice[[#This Row],[شماره پیش فاکتور]])</f>
        <v>0</v>
      </c>
      <c r="R261" s="149">
        <f>IF(invoice[[#This Row],[میزان سفارش]]-invoice[[#This Row],[میزان حمل شده ]]&lt;0,0,invoice[[#This Row],[میزان سفارش]]-invoice[[#This Row],[میزان حمل شده ]])</f>
        <v>400000</v>
      </c>
      <c r="S261" s="149">
        <f>invoice[[#This Row],[میزان حمل نشده ]]*invoice[[#This Row],[فی]]</f>
        <v>96000000000</v>
      </c>
    </row>
    <row r="262" spans="1:19" ht="30.6" customHeight="1">
      <c r="A262" s="150" t="s">
        <v>1115</v>
      </c>
      <c r="B262" s="150" t="s">
        <v>124</v>
      </c>
      <c r="C262" s="150" t="s">
        <v>1077</v>
      </c>
      <c r="D262" s="150" t="s">
        <v>1062</v>
      </c>
      <c r="E262" s="148">
        <v>200000</v>
      </c>
      <c r="F262" s="148">
        <v>240000</v>
      </c>
      <c r="G262" s="149" t="str">
        <f>CHOOSE(MID(invoice[[#This Row],[تاریخ]],6,2),"فروردین","اردیبهشت","خرداد","تیر","مرداد","شهریور","مهر","آبان","آذر","دی","بهمن","اسفند")</f>
        <v>اردیبهشت</v>
      </c>
      <c r="H262" s="149">
        <f>_xlfn.NUMBERVALUE(MID(invoice[[#This Row],[تاریخ]],1,4))</f>
        <v>1405</v>
      </c>
      <c r="I262" s="149" t="s">
        <v>241</v>
      </c>
      <c r="J262" s="149" t="s">
        <v>504</v>
      </c>
      <c r="K262" s="233">
        <v>46559</v>
      </c>
      <c r="L262" s="149">
        <f>IF(invoice[[#This Row],[سال]]=year,1,0)</f>
        <v>1</v>
      </c>
      <c r="M262" s="149"/>
      <c r="N262" s="149"/>
      <c r="O262" s="194">
        <f>SUMIF(bargiri[شماره پیش فاکتور],invoice[[#This Row],[شماره پیش فاکتور]],bargiri[میزان بارگیری شده])/invoice[[#This Row],[میزان سفارش]]</f>
        <v>0.40105000000000002</v>
      </c>
      <c r="P262" s="149" t="str">
        <f>IF(invoice[[#This Row],[نوع سفارش]]="غیرفعال","عادی",invoice[[#This Row],[نوع سفارش]])</f>
        <v>انجمن</v>
      </c>
      <c r="Q262" s="149">
        <f>SUMIFS('جزییات بارگیری'!D:D,'جزییات بارگیری'!C:C,invoice[[#This Row],[شماره پیش فاکتور]])</f>
        <v>80210</v>
      </c>
      <c r="R262" s="149">
        <f>IF(invoice[[#This Row],[میزان سفارش]]-invoice[[#This Row],[میزان حمل شده ]]&lt;0,0,invoice[[#This Row],[میزان سفارش]]-invoice[[#This Row],[میزان حمل شده ]])</f>
        <v>119790</v>
      </c>
      <c r="S262" s="149">
        <f>invoice[[#This Row],[میزان حمل نشده ]]*invoice[[#This Row],[فی]]</f>
        <v>28749600000</v>
      </c>
    </row>
    <row r="263" spans="1:19" ht="30.6" customHeight="1">
      <c r="A263" s="150" t="s">
        <v>1116</v>
      </c>
      <c r="B263" s="150" t="s">
        <v>116</v>
      </c>
      <c r="C263" s="150" t="s">
        <v>1077</v>
      </c>
      <c r="D263" s="150" t="s">
        <v>1062</v>
      </c>
      <c r="E263" s="148">
        <v>50000</v>
      </c>
      <c r="F263" s="148">
        <v>240000</v>
      </c>
      <c r="G263" s="149" t="str">
        <f>CHOOSE(MID(invoice[[#This Row],[تاریخ]],6,2),"فروردین","اردیبهشت","خرداد","تیر","مرداد","شهریور","مهر","آبان","آذر","دی","بهمن","اسفند")</f>
        <v>اردیبهشت</v>
      </c>
      <c r="H263" s="149">
        <f>_xlfn.NUMBERVALUE(MID(invoice[[#This Row],[تاریخ]],1,4))</f>
        <v>1405</v>
      </c>
      <c r="I263" s="149" t="s">
        <v>241</v>
      </c>
      <c r="J263" s="149" t="s">
        <v>504</v>
      </c>
      <c r="K263" s="233">
        <v>46559</v>
      </c>
      <c r="L263" s="149">
        <f>IF(invoice[[#This Row],[سال]]=year,1,0)</f>
        <v>1</v>
      </c>
      <c r="M263" s="149"/>
      <c r="N263" s="149"/>
      <c r="O263" s="194">
        <f>SUMIF(bargiri[شماره پیش فاکتور],invoice[[#This Row],[شماره پیش فاکتور]],bargiri[میزان بارگیری شده])/invoice[[#This Row],[میزان سفارش]]</f>
        <v>1</v>
      </c>
      <c r="P263" s="149" t="str">
        <f>IF(invoice[[#This Row],[نوع سفارش]]="غیرفعال","عادی",invoice[[#This Row],[نوع سفارش]])</f>
        <v>انجمن</v>
      </c>
      <c r="Q263" s="149">
        <f>SUMIFS('جزییات بارگیری'!D:D,'جزییات بارگیری'!C:C,invoice[[#This Row],[شماره پیش فاکتور]])</f>
        <v>50000</v>
      </c>
      <c r="R263" s="149">
        <f>IF(invoice[[#This Row],[میزان سفارش]]-invoice[[#This Row],[میزان حمل شده ]]&lt;0,0,invoice[[#This Row],[میزان سفارش]]-invoice[[#This Row],[میزان حمل شده ]])</f>
        <v>0</v>
      </c>
      <c r="S263" s="149">
        <f>invoice[[#This Row],[میزان حمل نشده ]]*invoice[[#This Row],[فی]]</f>
        <v>0</v>
      </c>
    </row>
    <row r="264" spans="1:19" ht="30.6" customHeight="1">
      <c r="A264" s="150" t="s">
        <v>1117</v>
      </c>
      <c r="B264" s="150" t="s">
        <v>1118</v>
      </c>
      <c r="C264" s="150" t="s">
        <v>1077</v>
      </c>
      <c r="D264" s="150" t="s">
        <v>1062</v>
      </c>
      <c r="E264" s="148">
        <v>130000</v>
      </c>
      <c r="F264" s="148">
        <v>240000</v>
      </c>
      <c r="G264" s="149" t="str">
        <f>CHOOSE(MID(invoice[[#This Row],[تاریخ]],6,2),"فروردین","اردیبهشت","خرداد","تیر","مرداد","شهریور","مهر","آبان","آذر","دی","بهمن","اسفند")</f>
        <v>اردیبهشت</v>
      </c>
      <c r="H264" s="149">
        <f>_xlfn.NUMBERVALUE(MID(invoice[[#This Row],[تاریخ]],1,4))</f>
        <v>1405</v>
      </c>
      <c r="I264" s="149" t="s">
        <v>241</v>
      </c>
      <c r="J264" s="149" t="s">
        <v>504</v>
      </c>
      <c r="K264" s="233">
        <v>46559</v>
      </c>
      <c r="L264" s="149">
        <f>IF(invoice[[#This Row],[سال]]=year,1,0)</f>
        <v>1</v>
      </c>
      <c r="M264" s="149"/>
      <c r="N264" s="149"/>
      <c r="O264" s="194">
        <f>SUMIF(bargiri[شماره پیش فاکتور],invoice[[#This Row],[شماره پیش فاکتور]],bargiri[میزان بارگیری شده])/invoice[[#This Row],[میزان سفارش]]</f>
        <v>0.30553846153846154</v>
      </c>
      <c r="P264" s="149" t="str">
        <f>IF(invoice[[#This Row],[نوع سفارش]]="غیرفعال","عادی",invoice[[#This Row],[نوع سفارش]])</f>
        <v>انجمن</v>
      </c>
      <c r="Q264" s="149">
        <f>SUMIFS('جزییات بارگیری'!D:D,'جزییات بارگیری'!C:C,invoice[[#This Row],[شماره پیش فاکتور]])</f>
        <v>39720</v>
      </c>
      <c r="R264" s="149">
        <f>IF(invoice[[#This Row],[میزان سفارش]]-invoice[[#This Row],[میزان حمل شده ]]&lt;0,0,invoice[[#This Row],[میزان سفارش]]-invoice[[#This Row],[میزان حمل شده ]])</f>
        <v>90280</v>
      </c>
      <c r="S264" s="149">
        <f>invoice[[#This Row],[میزان حمل نشده ]]*invoice[[#This Row],[فی]]</f>
        <v>21667200000</v>
      </c>
    </row>
    <row r="265" spans="1:19" ht="30.6" customHeight="1">
      <c r="A265" s="150" t="s">
        <v>1119</v>
      </c>
      <c r="B265" s="150" t="s">
        <v>116</v>
      </c>
      <c r="C265" s="150" t="s">
        <v>1089</v>
      </c>
      <c r="D265" s="150" t="s">
        <v>1088</v>
      </c>
      <c r="E265" s="148">
        <v>50000</v>
      </c>
      <c r="F265" s="148">
        <v>240000</v>
      </c>
      <c r="G265" s="149" t="str">
        <f>CHOOSE(MID(invoice[[#This Row],[تاریخ]],6,2),"فروردین","اردیبهشت","خرداد","تیر","مرداد","شهریور","مهر","آبان","آذر","دی","بهمن","اسفند")</f>
        <v>خرداد</v>
      </c>
      <c r="H265" s="149">
        <f>_xlfn.NUMBERVALUE(MID(invoice[[#This Row],[تاریخ]],1,4))</f>
        <v>1405</v>
      </c>
      <c r="I265" s="149" t="s">
        <v>242</v>
      </c>
      <c r="J265" s="149" t="s">
        <v>504</v>
      </c>
      <c r="K265" s="233">
        <v>46559</v>
      </c>
      <c r="L265" s="149">
        <f>IF(invoice[[#This Row],[سال]]=year,1,0)</f>
        <v>1</v>
      </c>
      <c r="M265" s="149"/>
      <c r="N265" s="149"/>
      <c r="O265" s="194">
        <f>SUMIF(bargiri[شماره پیش فاکتور],invoice[[#This Row],[شماره پیش فاکتور]],bargiri[میزان بارگیری شده])/invoice[[#This Row],[میزان سفارش]]</f>
        <v>0.91700000000000004</v>
      </c>
      <c r="P265" s="149" t="str">
        <f>IF(invoice[[#This Row],[نوع سفارش]]="غیرفعال","عادی",invoice[[#This Row],[نوع سفارش]])</f>
        <v>بورس</v>
      </c>
      <c r="Q265" s="149">
        <f>SUMIFS('جزییات بارگیری'!D:D,'جزییات بارگیری'!C:C,invoice[[#This Row],[شماره پیش فاکتور]])</f>
        <v>45850</v>
      </c>
      <c r="R265" s="149">
        <f>IF(invoice[[#This Row],[میزان سفارش]]-invoice[[#This Row],[میزان حمل شده ]]&lt;0,0,invoice[[#This Row],[میزان سفارش]]-invoice[[#This Row],[میزان حمل شده ]])</f>
        <v>4150</v>
      </c>
      <c r="S265" s="149">
        <f>invoice[[#This Row],[میزان حمل نشده ]]*invoice[[#This Row],[فی]]</f>
        <v>996000000</v>
      </c>
    </row>
    <row r="266" spans="1:19" ht="30.6" customHeight="1">
      <c r="A266" s="150" t="s">
        <v>1120</v>
      </c>
      <c r="B266" s="150" t="s">
        <v>116</v>
      </c>
      <c r="C266" s="150" t="s">
        <v>1094</v>
      </c>
      <c r="D266" s="150" t="s">
        <v>1096</v>
      </c>
      <c r="E266" s="148">
        <v>50000</v>
      </c>
      <c r="F266" s="148">
        <v>240000</v>
      </c>
      <c r="G266" s="149" t="str">
        <f>CHOOSE(MID(invoice[[#This Row],[تاریخ]],6,2),"فروردین","اردیبهشت","خرداد","تیر","مرداد","شهریور","مهر","آبان","آذر","دی","بهمن","اسفند")</f>
        <v>خرداد</v>
      </c>
      <c r="H266" s="149">
        <f>_xlfn.NUMBERVALUE(MID(invoice[[#This Row],[تاریخ]],1,4))</f>
        <v>1405</v>
      </c>
      <c r="I266" s="149" t="s">
        <v>242</v>
      </c>
      <c r="J266" s="149" t="s">
        <v>504</v>
      </c>
      <c r="K266" s="233">
        <v>46559</v>
      </c>
      <c r="L266" s="149">
        <f>IF(invoice[[#This Row],[سال]]=year,1,0)</f>
        <v>1</v>
      </c>
      <c r="M266" s="149"/>
      <c r="N266" s="149"/>
      <c r="O266" s="194">
        <f>SUMIF(bargiri[شماره پیش فاکتور],invoice[[#This Row],[شماره پیش فاکتور]],bargiri[میزان بارگیری شده])/invoice[[#This Row],[میزان سفارش]]</f>
        <v>0</v>
      </c>
      <c r="P266" s="149" t="str">
        <f>IF(invoice[[#This Row],[نوع سفارش]]="غیرفعال","عادی",invoice[[#This Row],[نوع سفارش]])</f>
        <v>بورس</v>
      </c>
      <c r="Q266" s="149">
        <f>SUMIFS('جزییات بارگیری'!D:D,'جزییات بارگیری'!C:C,invoice[[#This Row],[شماره پیش فاکتور]])</f>
        <v>0</v>
      </c>
      <c r="R266" s="149">
        <f>IF(invoice[[#This Row],[میزان سفارش]]-invoice[[#This Row],[میزان حمل شده ]]&lt;0,0,invoice[[#This Row],[میزان سفارش]]-invoice[[#This Row],[میزان حمل شده ]])</f>
        <v>50000</v>
      </c>
      <c r="S266" s="149">
        <f>invoice[[#This Row],[میزان حمل نشده ]]*invoice[[#This Row],[فی]]</f>
        <v>12000000000</v>
      </c>
    </row>
    <row r="267" spans="1:19" ht="30.6" customHeight="1">
      <c r="A267" s="150" t="s">
        <v>1137</v>
      </c>
      <c r="B267" s="150" t="s">
        <v>119</v>
      </c>
      <c r="C267" s="150" t="s">
        <v>1132</v>
      </c>
      <c r="D267" s="150" t="s">
        <v>1140</v>
      </c>
      <c r="E267" s="148">
        <v>400000</v>
      </c>
      <c r="F267" s="148">
        <v>200000</v>
      </c>
      <c r="G267" s="149" t="str">
        <f>CHOOSE(MID(invoice[[#This Row],[تاریخ]],6,2),"فروردین","اردیبهشت","خرداد","تیر","مرداد","شهریور","مهر","آبان","آذر","دی","بهمن","اسفند")</f>
        <v>تیر</v>
      </c>
      <c r="H267" s="149">
        <f>_xlfn.NUMBERVALUE(MID(invoice[[#This Row],[تاریخ]],1,4))</f>
        <v>1405</v>
      </c>
      <c r="I267" s="149" t="s">
        <v>243</v>
      </c>
      <c r="J267" s="149" t="s">
        <v>504</v>
      </c>
      <c r="K267" s="233">
        <v>46497</v>
      </c>
      <c r="L267" s="149">
        <f>IF(invoice[[#This Row],[سال]]=year,1,0)</f>
        <v>1</v>
      </c>
      <c r="M267" s="149"/>
      <c r="N267" s="149"/>
      <c r="O267" s="194">
        <f>SUMIF(bargiri[شماره پیش فاکتور],invoice[[#This Row],[شماره پیش فاکتور]],bargiri[میزان بارگیری شده])/invoice[[#This Row],[میزان سفارش]]</f>
        <v>0</v>
      </c>
      <c r="P267" s="149" t="str">
        <f>IF(invoice[[#This Row],[نوع سفارش]]="غیرفعال","عادی",invoice[[#This Row],[نوع سفارش]])</f>
        <v>عادی</v>
      </c>
      <c r="Q267" s="149">
        <f>SUMIFS('جزییات بارگیری'!D:D,'جزییات بارگیری'!C:C,invoice[[#This Row],[شماره پیش فاکتور]])</f>
        <v>0</v>
      </c>
      <c r="R267" s="149">
        <f>IF(invoice[[#This Row],[میزان سفارش]]-invoice[[#This Row],[میزان حمل شده ]]&lt;0,0,invoice[[#This Row],[میزان سفارش]]-invoice[[#This Row],[میزان حمل شده ]])</f>
        <v>400000</v>
      </c>
      <c r="S267" s="149">
        <f>invoice[[#This Row],[میزان حمل نشده ]]*invoice[[#This Row],[فی]]</f>
        <v>80000000000</v>
      </c>
    </row>
    <row r="268" spans="1:19" ht="30.6" customHeight="1">
      <c r="A268" s="150" t="s">
        <v>1138</v>
      </c>
      <c r="B268" s="150" t="s">
        <v>119</v>
      </c>
      <c r="C268" s="150" t="s">
        <v>1130</v>
      </c>
      <c r="D268" s="150" t="s">
        <v>1140</v>
      </c>
      <c r="E268" s="148">
        <v>100000</v>
      </c>
      <c r="F268" s="148">
        <v>256001</v>
      </c>
      <c r="G268" s="149" t="str">
        <f>CHOOSE(MID(invoice[[#This Row],[تاریخ]],6,2),"فروردین","اردیبهشت","خرداد","تیر","مرداد","شهریور","مهر","آبان","آذر","دی","بهمن","اسفند")</f>
        <v>تیر</v>
      </c>
      <c r="H268" s="149">
        <f>_xlfn.NUMBERVALUE(MID(invoice[[#This Row],[تاریخ]],1,4))</f>
        <v>1405</v>
      </c>
      <c r="I268" s="149" t="s">
        <v>242</v>
      </c>
      <c r="J268" s="149" t="s">
        <v>504</v>
      </c>
      <c r="K268" s="233">
        <v>46559</v>
      </c>
      <c r="L268" s="149">
        <f>IF(invoice[[#This Row],[سال]]=year,1,0)</f>
        <v>1</v>
      </c>
      <c r="M268" s="149"/>
      <c r="N268" s="149"/>
      <c r="O268" s="194">
        <f>SUMIF(bargiri[شماره پیش فاکتور],invoice[[#This Row],[شماره پیش فاکتور]],bargiri[میزان بارگیری شده])/invoice[[#This Row],[میزان سفارش]]</f>
        <v>0</v>
      </c>
      <c r="P268" s="149" t="str">
        <f>IF(invoice[[#This Row],[نوع سفارش]]="غیرفعال","عادی",invoice[[#This Row],[نوع سفارش]])</f>
        <v>بورس</v>
      </c>
      <c r="Q268" s="149">
        <f>SUMIFS('جزییات بارگیری'!D:D,'جزییات بارگیری'!C:C,invoice[[#This Row],[شماره پیش فاکتور]])</f>
        <v>0</v>
      </c>
      <c r="R268" s="149">
        <f>IF(invoice[[#This Row],[میزان سفارش]]-invoice[[#This Row],[میزان حمل شده ]]&lt;0,0,invoice[[#This Row],[میزان سفارش]]-invoice[[#This Row],[میزان حمل شده ]])</f>
        <v>100000</v>
      </c>
      <c r="S268" s="149">
        <f>invoice[[#This Row],[میزان حمل نشده ]]*invoice[[#This Row],[فی]]</f>
        <v>25600100000</v>
      </c>
    </row>
    <row r="269" spans="1:19" ht="30.6" customHeight="1">
      <c r="A269" s="150" t="s">
        <v>1139</v>
      </c>
      <c r="B269" s="150" t="s">
        <v>116</v>
      </c>
      <c r="C269" s="150" t="s">
        <v>1134</v>
      </c>
      <c r="D269" s="150" t="s">
        <v>1141</v>
      </c>
      <c r="E269" s="148">
        <v>100000</v>
      </c>
      <c r="F269" s="148">
        <v>240000</v>
      </c>
      <c r="G269" s="149" t="str">
        <f>CHOOSE(MID(invoice[[#This Row],[تاریخ]],6,2),"فروردین","اردیبهشت","خرداد","تیر","مرداد","شهریور","مهر","آبان","آذر","دی","بهمن","اسفند")</f>
        <v>تیر</v>
      </c>
      <c r="H269" s="149">
        <f>_xlfn.NUMBERVALUE(MID(invoice[[#This Row],[تاریخ]],1,4))</f>
        <v>1405</v>
      </c>
      <c r="I269" s="149" t="s">
        <v>242</v>
      </c>
      <c r="J269" s="149" t="s">
        <v>504</v>
      </c>
      <c r="K269" s="233">
        <v>46559</v>
      </c>
      <c r="L269" s="149">
        <f>IF(invoice[[#This Row],[سال]]=year,1,0)</f>
        <v>1</v>
      </c>
      <c r="M269" s="149"/>
      <c r="N269" s="149"/>
      <c r="O269" s="194">
        <f>SUMIF(bargiri[شماره پیش فاکتور],invoice[[#This Row],[شماره پیش فاکتور]],bargiri[میزان بارگیری شده])/invoice[[#This Row],[میزان سفارش]]</f>
        <v>0</v>
      </c>
      <c r="P269" s="149" t="str">
        <f>IF(invoice[[#This Row],[نوع سفارش]]="غیرفعال","عادی",invoice[[#This Row],[نوع سفارش]])</f>
        <v>بورس</v>
      </c>
      <c r="Q269" s="149">
        <f>SUMIFS('جزییات بارگیری'!D:D,'جزییات بارگیری'!C:C,invoice[[#This Row],[شماره پیش فاکتور]])</f>
        <v>0</v>
      </c>
      <c r="R269" s="149">
        <f>IF(invoice[[#This Row],[میزان سفارش]]-invoice[[#This Row],[میزان حمل شده ]]&lt;0,0,invoice[[#This Row],[میزان سفارش]]-invoice[[#This Row],[میزان حمل شده ]])</f>
        <v>100000</v>
      </c>
      <c r="S269" s="149">
        <f>invoice[[#This Row],[میزان حمل نشده ]]*invoice[[#This Row],[فی]]</f>
        <v>24000000000</v>
      </c>
    </row>
    <row r="270" spans="1:19" ht="30.6" customHeight="1">
      <c r="A270" s="242" t="s">
        <v>1149</v>
      </c>
      <c r="B270" s="242" t="s">
        <v>118</v>
      </c>
      <c r="C270" s="242" t="s">
        <v>908</v>
      </c>
      <c r="D270" s="242" t="s">
        <v>908</v>
      </c>
      <c r="E270" s="148">
        <v>500000</v>
      </c>
      <c r="F270" s="148">
        <v>137072</v>
      </c>
      <c r="G270" s="149" t="str">
        <f>CHOOSE(MID(invoice[[#This Row],[تاریخ]],6,2),"فروردین","اردیبهشت","خرداد","تیر","مرداد","شهریور","مهر","آبان","آذر","دی","بهمن","اسفند")</f>
        <v>دی</v>
      </c>
      <c r="H270" s="149">
        <f>_xlfn.NUMBERVALUE(MID(invoice[[#This Row],[تاریخ]],1,4))</f>
        <v>1404</v>
      </c>
      <c r="I270" s="149" t="s">
        <v>243</v>
      </c>
      <c r="J270" s="149" t="s">
        <v>504</v>
      </c>
      <c r="K270" s="233">
        <v>46422</v>
      </c>
      <c r="L270" s="149">
        <f>IF(invoice[[#This Row],[سال]]=year,1,0)</f>
        <v>0</v>
      </c>
      <c r="M270" s="149"/>
      <c r="N270" s="149"/>
      <c r="O270" s="194">
        <f>SUMIF(bargiri[شماره پیش فاکتور],invoice[[#This Row],[شماره پیش فاکتور]],bargiri[میزان بارگیری شده])/invoice[[#This Row],[میزان سفارش]]</f>
        <v>1</v>
      </c>
      <c r="P270" s="149" t="str">
        <f>IF(invoice[[#This Row],[نوع سفارش]]="غیرفعال","عادی",invoice[[#This Row],[نوع سفارش]])</f>
        <v>عادی</v>
      </c>
      <c r="Q270" s="149">
        <f>SUMIFS('جزییات بارگیری'!D:D,'جزییات بارگیری'!C:C,invoice[[#This Row],[شماره پیش فاکتور]])</f>
        <v>500000</v>
      </c>
      <c r="R270" s="149">
        <f>IF(invoice[[#This Row],[میزان سفارش]]-invoice[[#This Row],[میزان حمل شده ]]&lt;0,0,invoice[[#This Row],[میزان سفارش]]-invoice[[#This Row],[میزان حمل شده ]])</f>
        <v>0</v>
      </c>
      <c r="S270" s="149">
        <f>invoice[[#This Row],[میزان حمل نشده ]]*invoice[[#This Row],[فی]]</f>
        <v>0</v>
      </c>
    </row>
    <row r="271" spans="1:19" ht="30.6" customHeight="1">
      <c r="A271" s="242" t="s">
        <v>1160</v>
      </c>
      <c r="B271" s="242" t="s">
        <v>118</v>
      </c>
      <c r="C271" s="242" t="s">
        <v>908</v>
      </c>
      <c r="D271" s="242" t="s">
        <v>908</v>
      </c>
      <c r="E271" s="148">
        <v>500000</v>
      </c>
      <c r="F271" s="148">
        <v>140958</v>
      </c>
      <c r="G271" s="149" t="str">
        <f>CHOOSE(MID(invoice[[#This Row],[تاریخ]],6,2),"فروردین","اردیبهشت","خرداد","تیر","مرداد","شهریور","مهر","آبان","آذر","دی","بهمن","اسفند")</f>
        <v>دی</v>
      </c>
      <c r="H271" s="149">
        <f>_xlfn.NUMBERVALUE(MID(invoice[[#This Row],[تاریخ]],1,4))</f>
        <v>1404</v>
      </c>
      <c r="I271" s="149" t="s">
        <v>243</v>
      </c>
      <c r="J271" s="149" t="s">
        <v>504</v>
      </c>
      <c r="K271" s="233">
        <v>46422</v>
      </c>
      <c r="L271" s="149">
        <f>IF(invoice[[#This Row],[سال]]=year,1,0)</f>
        <v>0</v>
      </c>
      <c r="M271" s="149"/>
      <c r="N271" s="149"/>
      <c r="O271" s="194">
        <f>SUMIF(bargiri[شماره پیش فاکتور],invoice[[#This Row],[شماره پیش فاکتور]],bargiri[میزان بارگیری شده])/invoice[[#This Row],[میزان سفارش]]</f>
        <v>1</v>
      </c>
      <c r="P271" s="149" t="str">
        <f>IF(invoice[[#This Row],[نوع سفارش]]="غیرفعال","عادی",invoice[[#This Row],[نوع سفارش]])</f>
        <v>عادی</v>
      </c>
      <c r="Q271" s="149">
        <f>SUMIFS('جزییات بارگیری'!D:D,'جزییات بارگیری'!C:C,invoice[[#This Row],[شماره پیش فاکتور]])</f>
        <v>500000</v>
      </c>
      <c r="R271" s="149">
        <f>IF(invoice[[#This Row],[میزان سفارش]]-invoice[[#This Row],[میزان حمل شده ]]&lt;0,0,invoice[[#This Row],[میزان سفارش]]-invoice[[#This Row],[میزان حمل شده ]])</f>
        <v>0</v>
      </c>
      <c r="S271" s="149">
        <f>invoice[[#This Row],[میزان حمل نشده ]]*invoice[[#This Row],[فی]]</f>
        <v>0</v>
      </c>
    </row>
    <row r="272" spans="1:19" ht="30.6" customHeight="1">
      <c r="A272" s="150" t="s">
        <v>1165</v>
      </c>
      <c r="B272" s="150" t="s">
        <v>116</v>
      </c>
      <c r="C272" s="242" t="s">
        <v>1150</v>
      </c>
      <c r="D272" s="242" t="s">
        <v>1166</v>
      </c>
      <c r="E272" s="148">
        <v>100000</v>
      </c>
      <c r="F272" s="148">
        <v>250999</v>
      </c>
      <c r="G272" s="149" t="str">
        <f>CHOOSE(MID(invoice[[#This Row],[تاریخ]],6,2),"فروردین","اردیبهشت","خرداد","تیر","مرداد","شهریور","مهر","آبان","آذر","دی","بهمن","اسفند")</f>
        <v>مرداد</v>
      </c>
      <c r="H272" s="149">
        <f>_xlfn.NUMBERVALUE(MID(invoice[[#This Row],[تاریخ]],1,4))</f>
        <v>1405</v>
      </c>
      <c r="I272" s="149" t="s">
        <v>242</v>
      </c>
      <c r="J272" s="149" t="s">
        <v>504</v>
      </c>
      <c r="K272" s="233">
        <v>46559</v>
      </c>
      <c r="L272" s="149">
        <f>IF(invoice[[#This Row],[سال]]=year,1,0)</f>
        <v>1</v>
      </c>
      <c r="M272" s="149"/>
      <c r="N272" s="149"/>
      <c r="O272" s="194">
        <f>SUMIF(bargiri[شماره پیش فاکتور],invoice[[#This Row],[شماره پیش فاکتور]],bargiri[میزان بارگیری شده])/invoice[[#This Row],[میزان سفارش]]</f>
        <v>0</v>
      </c>
      <c r="P272" s="149" t="str">
        <f>IF(invoice[[#This Row],[نوع سفارش]]="غیرفعال","عادی",invoice[[#This Row],[نوع سفارش]])</f>
        <v>بورس</v>
      </c>
      <c r="Q272" s="149">
        <f>SUMIFS('جزییات بارگیری'!D:D,'جزییات بارگیری'!C:C,invoice[[#This Row],[شماره پیش فاکتور]])</f>
        <v>0</v>
      </c>
      <c r="R272" s="149">
        <f>IF(invoice[[#This Row],[میزان سفارش]]-invoice[[#This Row],[میزان حمل شده ]]&lt;0,0,invoice[[#This Row],[میزان سفارش]]-invoice[[#This Row],[میزان حمل شده ]])</f>
        <v>100000</v>
      </c>
      <c r="S272" s="149">
        <f>invoice[[#This Row],[میزان حمل نشده ]]*invoice[[#This Row],[فی]]</f>
        <v>25099900000</v>
      </c>
    </row>
    <row r="273" spans="1:19" ht="30.6" customHeight="1">
      <c r="A273" s="242" t="s">
        <v>1164</v>
      </c>
      <c r="B273" s="150" t="s">
        <v>118</v>
      </c>
      <c r="C273" s="242" t="s">
        <v>908</v>
      </c>
      <c r="D273" s="242" t="s">
        <v>908</v>
      </c>
      <c r="E273" s="148">
        <v>500000</v>
      </c>
      <c r="F273" s="148">
        <v>140958</v>
      </c>
      <c r="G273" s="149" t="str">
        <f>CHOOSE(MID(invoice[[#This Row],[تاریخ]],6,2),"فروردین","اردیبهشت","خرداد","تیر","مرداد","شهریور","مهر","آبان","آذر","دی","بهمن","اسفند")</f>
        <v>دی</v>
      </c>
      <c r="H273" s="149">
        <f>_xlfn.NUMBERVALUE(MID(invoice[[#This Row],[تاریخ]],1,4))</f>
        <v>1404</v>
      </c>
      <c r="I273" s="149" t="s">
        <v>243</v>
      </c>
      <c r="J273" s="149" t="s">
        <v>504</v>
      </c>
      <c r="K273" s="233">
        <v>46422</v>
      </c>
      <c r="L273" s="149">
        <f>IF(invoice[[#This Row],[سال]]=year,1,0)</f>
        <v>0</v>
      </c>
      <c r="M273" s="149"/>
      <c r="N273" s="149"/>
      <c r="O273" s="194">
        <f>SUMIF(bargiri[شماره پیش فاکتور],invoice[[#This Row],[شماره پیش فاکتور]],bargiri[میزان بارگیری شده])/invoice[[#This Row],[میزان سفارش]]</f>
        <v>1</v>
      </c>
      <c r="P273" s="149" t="str">
        <f>IF(invoice[[#This Row],[نوع سفارش]]="غیرفعال","عادی",invoice[[#This Row],[نوع سفارش]])</f>
        <v>عادی</v>
      </c>
      <c r="Q273" s="149">
        <f>SUMIFS('جزییات بارگیری'!D:D,'جزییات بارگیری'!C:C,invoice[[#This Row],[شماره پیش فاکتور]])</f>
        <v>500000</v>
      </c>
      <c r="R273" s="149">
        <f>IF(invoice[[#This Row],[میزان سفارش]]-invoice[[#This Row],[میزان حمل شده ]]&lt;0,0,invoice[[#This Row],[میزان سفارش]]-invoice[[#This Row],[میزان حمل شده ]])</f>
        <v>0</v>
      </c>
      <c r="S273" s="149">
        <f>invoice[[#This Row],[میزان حمل نشده ]]*invoice[[#This Row],[فی]]</f>
        <v>0</v>
      </c>
    </row>
    <row r="274" spans="1:19" ht="30.6" customHeight="1">
      <c r="A274" s="150" t="s">
        <v>1176</v>
      </c>
      <c r="B274" s="150" t="s">
        <v>108</v>
      </c>
      <c r="C274" s="242" t="s">
        <v>1172</v>
      </c>
      <c r="D274" s="242" t="s">
        <v>1178</v>
      </c>
      <c r="E274" s="148">
        <v>20000</v>
      </c>
      <c r="F274" s="148">
        <v>250000</v>
      </c>
      <c r="G274" s="149" t="str">
        <f>CHOOSE(MID(invoice[[#This Row],[تاریخ]],6,2),"فروردین","اردیبهشت","خرداد","تیر","مرداد","شهریور","مهر","آبان","آذر","دی","بهمن","اسفند")</f>
        <v>شهریور</v>
      </c>
      <c r="H274" s="149">
        <f>_xlfn.NUMBERVALUE(MID(invoice[[#This Row],[تاریخ]],1,4))</f>
        <v>1405</v>
      </c>
      <c r="I274" s="149" t="s">
        <v>242</v>
      </c>
      <c r="J274" s="149" t="s">
        <v>728</v>
      </c>
      <c r="K274" s="233">
        <v>46559</v>
      </c>
      <c r="L274" s="149">
        <f>IF(invoice[[#This Row],[سال]]=year,1,0)</f>
        <v>1</v>
      </c>
      <c r="M274" s="149"/>
      <c r="N274" s="149"/>
      <c r="O274" s="194">
        <f>SUMIF(bargiri[شماره پیش فاکتور],invoice[[#This Row],[شماره پیش فاکتور]],bargiri[میزان بارگیری شده])/invoice[[#This Row],[میزان سفارش]]</f>
        <v>0.996</v>
      </c>
      <c r="P274" s="149" t="str">
        <f>IF(invoice[[#This Row],[نوع سفارش]]="غیرفعال","عادی",invoice[[#This Row],[نوع سفارش]])</f>
        <v>بورس</v>
      </c>
      <c r="Q274" s="149">
        <f>SUMIFS('جزییات بارگیری'!D:D,'جزییات بارگیری'!C:C,invoice[[#This Row],[شماره پیش فاکتور]])</f>
        <v>19920</v>
      </c>
      <c r="R274" s="149">
        <f>IF(invoice[[#This Row],[میزان سفارش]]-invoice[[#This Row],[میزان حمل شده ]]&lt;0,0,invoice[[#This Row],[میزان سفارش]]-invoice[[#This Row],[میزان حمل شده ]])</f>
        <v>80</v>
      </c>
      <c r="S274" s="149">
        <f>invoice[[#This Row],[میزان حمل نشده ]]*invoice[[#This Row],[فی]]</f>
        <v>20000000</v>
      </c>
    </row>
    <row r="275" spans="1:19" ht="30.6" customHeight="1">
      <c r="A275" s="150" t="s">
        <v>1179</v>
      </c>
      <c r="B275" s="150" t="s">
        <v>119</v>
      </c>
      <c r="C275" s="242" t="s">
        <v>1177</v>
      </c>
      <c r="D275" s="242" t="s">
        <v>1175</v>
      </c>
      <c r="E275" s="148">
        <v>250000</v>
      </c>
      <c r="F275" s="148">
        <v>220000</v>
      </c>
      <c r="G275" s="149" t="str">
        <f>CHOOSE(MID(invoice[[#This Row],[تاریخ]],6,2),"فروردین","اردیبهشت","خرداد","تیر","مرداد","شهریور","مهر","آبان","آذر","دی","بهمن","اسفند")</f>
        <v>شهریور</v>
      </c>
      <c r="H275" s="149">
        <f>_xlfn.NUMBERVALUE(MID(invoice[[#This Row],[تاریخ]],1,4))</f>
        <v>1405</v>
      </c>
      <c r="I275" s="149" t="s">
        <v>243</v>
      </c>
      <c r="J275" s="149" t="s">
        <v>504</v>
      </c>
      <c r="K275" s="233">
        <v>46422</v>
      </c>
      <c r="L275" s="149">
        <f>IF(invoice[[#This Row],[سال]]=year,1,0)</f>
        <v>1</v>
      </c>
      <c r="M275" s="149"/>
      <c r="N275" s="149"/>
      <c r="O275" s="194">
        <f>SUMIF(bargiri[شماره پیش فاکتور],invoice[[#This Row],[شماره پیش فاکتور]],bargiri[میزان بارگیری شده])/invoice[[#This Row],[میزان سفارش]]</f>
        <v>0</v>
      </c>
      <c r="P275" s="149" t="str">
        <f>IF(invoice[[#This Row],[نوع سفارش]]="غیرفعال","عادی",invoice[[#This Row],[نوع سفارش]])</f>
        <v>عادی</v>
      </c>
      <c r="Q275" s="149">
        <f>SUMIFS('جزییات بارگیری'!D:D,'جزییات بارگیری'!C:C,invoice[[#This Row],[شماره پیش فاکتور]])</f>
        <v>0</v>
      </c>
      <c r="R275" s="149">
        <f>IF(invoice[[#This Row],[میزان سفارش]]-invoice[[#This Row],[میزان حمل شده ]]&lt;0,0,invoice[[#This Row],[میزان سفارش]]-invoice[[#This Row],[میزان حمل شده ]])</f>
        <v>250000</v>
      </c>
      <c r="S275" s="149">
        <f>invoice[[#This Row],[میزان حمل نشده ]]*invoice[[#This Row],[فی]]</f>
        <v>55000000000</v>
      </c>
    </row>
    <row r="276" spans="1:19" ht="30.6" customHeight="1">
      <c r="A276" s="150" t="s">
        <v>1180</v>
      </c>
      <c r="B276" s="150" t="s">
        <v>116</v>
      </c>
      <c r="C276" s="242" t="s">
        <v>1172</v>
      </c>
      <c r="D276" s="242" t="s">
        <v>1178</v>
      </c>
      <c r="E276" s="148">
        <v>80000</v>
      </c>
      <c r="F276" s="148">
        <v>240020</v>
      </c>
      <c r="G276" s="149" t="str">
        <f>CHOOSE(MID(invoice[[#This Row],[تاریخ]],6,2),"فروردین","اردیبهشت","خرداد","تیر","مرداد","شهریور","مهر","آبان","آذر","دی","بهمن","اسفند")</f>
        <v>شهریور</v>
      </c>
      <c r="H276" s="149">
        <f>_xlfn.NUMBERVALUE(MID(invoice[[#This Row],[تاریخ]],1,4))</f>
        <v>1405</v>
      </c>
      <c r="I276" s="149" t="s">
        <v>242</v>
      </c>
      <c r="J276" s="149" t="s">
        <v>504</v>
      </c>
      <c r="K276" s="233">
        <v>46559</v>
      </c>
      <c r="L276" s="149">
        <f>IF(invoice[[#This Row],[سال]]=year,1,0)</f>
        <v>1</v>
      </c>
      <c r="M276" s="149"/>
      <c r="N276" s="149"/>
      <c r="O276" s="194">
        <f>SUMIF(bargiri[شماره پیش فاکتور],invoice[[#This Row],[شماره پیش فاکتور]],bargiri[میزان بارگیری شده])/invoice[[#This Row],[میزان سفارش]]</f>
        <v>0</v>
      </c>
      <c r="P276" s="149" t="str">
        <f>IF(invoice[[#This Row],[نوع سفارش]]="غیرفعال","عادی",invoice[[#This Row],[نوع سفارش]])</f>
        <v>بورس</v>
      </c>
      <c r="Q276" s="149">
        <f>SUMIFS('جزییات بارگیری'!D:D,'جزییات بارگیری'!C:C,invoice[[#This Row],[شماره پیش فاکتور]])</f>
        <v>0</v>
      </c>
      <c r="R276" s="149">
        <f>IF(invoice[[#This Row],[میزان سفارش]]-invoice[[#This Row],[میزان حمل شده ]]&lt;0,0,invoice[[#This Row],[میزان سفارش]]-invoice[[#This Row],[میزان حمل شده ]])</f>
        <v>80000</v>
      </c>
      <c r="S276" s="149">
        <f>invoice[[#This Row],[میزان حمل نشده ]]*invoice[[#This Row],[فی]]</f>
        <v>19201600000</v>
      </c>
    </row>
    <row r="277" spans="1:19" ht="30.6" customHeight="1">
      <c r="A277" s="242" t="s">
        <v>1193</v>
      </c>
      <c r="B277" s="150" t="s">
        <v>118</v>
      </c>
      <c r="C277" s="242" t="s">
        <v>908</v>
      </c>
      <c r="D277" s="242" t="s">
        <v>908</v>
      </c>
      <c r="E277" s="148">
        <v>500000</v>
      </c>
      <c r="F277" s="148">
        <v>154345</v>
      </c>
      <c r="G277" s="149" t="str">
        <f>CHOOSE(MID(invoice[[#This Row],[تاریخ]],6,2),"فروردین","اردیبهشت","خرداد","تیر","مرداد","شهریور","مهر","آبان","آذر","دی","بهمن","اسفند")</f>
        <v>دی</v>
      </c>
      <c r="H277" s="149">
        <f>_xlfn.NUMBERVALUE(MID(invoice[[#This Row],[تاریخ]],1,4))</f>
        <v>1404</v>
      </c>
      <c r="I277" s="149" t="s">
        <v>243</v>
      </c>
      <c r="J277" s="149" t="s">
        <v>504</v>
      </c>
      <c r="K277" s="233">
        <v>46422</v>
      </c>
      <c r="L277" s="149">
        <f>IF(invoice[[#This Row],[سال]]=year,1,0)</f>
        <v>0</v>
      </c>
      <c r="M277" s="149"/>
      <c r="N277" s="149"/>
      <c r="O277" s="194">
        <f>SUMIF(bargiri[شماره پیش فاکتور],invoice[[#This Row],[شماره پیش فاکتور]],bargiri[میزان بارگیری شده])/invoice[[#This Row],[میزان سفارش]]</f>
        <v>1</v>
      </c>
      <c r="P277" s="149" t="str">
        <f>IF(invoice[[#This Row],[نوع سفارش]]="غیرفعال","عادی",invoice[[#This Row],[نوع سفارش]])</f>
        <v>عادی</v>
      </c>
      <c r="Q277" s="149">
        <f>SUMIFS('جزییات بارگیری'!D:D,'جزییات بارگیری'!C:C,invoice[[#This Row],[شماره پیش فاکتور]])</f>
        <v>500000</v>
      </c>
      <c r="R277" s="149">
        <f>IF(invoice[[#This Row],[میزان سفارش]]-invoice[[#This Row],[میزان حمل شده ]]&lt;0,0,invoice[[#This Row],[میزان سفارش]]-invoice[[#This Row],[میزان حمل شده ]])</f>
        <v>0</v>
      </c>
      <c r="S277" s="149">
        <f>invoice[[#This Row],[میزان حمل نشده ]]*invoice[[#This Row],[فی]]</f>
        <v>0</v>
      </c>
    </row>
    <row r="278" spans="1:19" ht="30.6" customHeight="1">
      <c r="A278" s="150" t="s">
        <v>1198</v>
      </c>
      <c r="B278" s="150" t="s">
        <v>116</v>
      </c>
      <c r="C278" s="242" t="s">
        <v>1196</v>
      </c>
      <c r="D278" s="242" t="s">
        <v>1195</v>
      </c>
      <c r="E278" s="148">
        <v>100000</v>
      </c>
      <c r="F278" s="148">
        <v>240000</v>
      </c>
      <c r="G278" s="149" t="str">
        <f>CHOOSE(MID(invoice[[#This Row],[تاریخ]],6,2),"فروردین","اردیبهشت","خرداد","تیر","مرداد","شهریور","مهر","آبان","آذر","دی","بهمن","اسفند")</f>
        <v>شهریور</v>
      </c>
      <c r="H278" s="149">
        <f>_xlfn.NUMBERVALUE(MID(invoice[[#This Row],[تاریخ]],1,4))</f>
        <v>1405</v>
      </c>
      <c r="I278" s="149" t="s">
        <v>242</v>
      </c>
      <c r="J278" s="149" t="s">
        <v>504</v>
      </c>
      <c r="K278" s="233">
        <v>46559</v>
      </c>
      <c r="L278" s="149">
        <f>IF(invoice[[#This Row],[سال]]=year,1,0)</f>
        <v>1</v>
      </c>
      <c r="M278" s="149"/>
      <c r="N278" s="149"/>
      <c r="O278" s="194">
        <f>SUMIF(bargiri[شماره پیش فاکتور],invoice[[#This Row],[شماره پیش فاکتور]],bargiri[میزان بارگیری شده])/invoice[[#This Row],[میزان سفارش]]</f>
        <v>0</v>
      </c>
      <c r="P278" s="149" t="str">
        <f>IF(invoice[[#This Row],[نوع سفارش]]="غیرفعال","عادی",invoice[[#This Row],[نوع سفارش]])</f>
        <v>بورس</v>
      </c>
      <c r="Q278" s="149">
        <f>SUMIFS('جزییات بارگیری'!D:D,'جزییات بارگیری'!C:C,invoice[[#This Row],[شماره پیش فاکتور]])</f>
        <v>0</v>
      </c>
      <c r="R278" s="149">
        <f>IF(invoice[[#This Row],[میزان سفارش]]-invoice[[#This Row],[میزان حمل شده ]]&lt;0,0,invoice[[#This Row],[میزان سفارش]]-invoice[[#This Row],[میزان حمل شده ]])</f>
        <v>100000</v>
      </c>
      <c r="S278" s="149">
        <f>invoice[[#This Row],[میزان حمل نشده ]]*invoice[[#This Row],[فی]]</f>
        <v>24000000000</v>
      </c>
    </row>
    <row r="279" spans="1:19" ht="30.6" customHeight="1">
      <c r="A279" s="242" t="s">
        <v>1197</v>
      </c>
      <c r="B279" s="150" t="s">
        <v>118</v>
      </c>
      <c r="C279" s="242" t="s">
        <v>908</v>
      </c>
      <c r="D279" s="242" t="s">
        <v>907</v>
      </c>
      <c r="E279" s="148">
        <v>500000</v>
      </c>
      <c r="F279" s="148">
        <v>170323</v>
      </c>
      <c r="G279" s="149" t="str">
        <f>CHOOSE(MID(invoice[[#This Row],[تاریخ]],6,2),"فروردین","اردیبهشت","خرداد","تیر","مرداد","شهریور","مهر","آبان","آذر","دی","بهمن","اسفند")</f>
        <v>دی</v>
      </c>
      <c r="H279" s="149">
        <f>_xlfn.NUMBERVALUE(MID(invoice[[#This Row],[تاریخ]],1,4))</f>
        <v>1404</v>
      </c>
      <c r="I279" s="149" t="s">
        <v>243</v>
      </c>
      <c r="J279" s="149" t="s">
        <v>504</v>
      </c>
      <c r="K279" s="233">
        <v>46422</v>
      </c>
      <c r="L279" s="149">
        <f>IF(invoice[[#This Row],[سال]]=year,1,0)</f>
        <v>0</v>
      </c>
      <c r="M279" s="149"/>
      <c r="N279" s="149"/>
      <c r="O279" s="194">
        <f>SUMIF(bargiri[شماره پیش فاکتور],invoice[[#This Row],[شماره پیش فاکتور]],bargiri[میزان بارگیری شده])/invoice[[#This Row],[میزان سفارش]]</f>
        <v>0.60240000000000005</v>
      </c>
      <c r="P279" s="149" t="str">
        <f>IF(invoice[[#This Row],[نوع سفارش]]="غیرفعال","عادی",invoice[[#This Row],[نوع سفارش]])</f>
        <v>عادی</v>
      </c>
      <c r="Q279" s="149">
        <f>SUMIFS('جزییات بارگیری'!D:D,'جزییات بارگیری'!C:C,invoice[[#This Row],[شماره پیش فاکتور]])</f>
        <v>301200</v>
      </c>
      <c r="R279" s="149">
        <f>IF(invoice[[#This Row],[میزان سفارش]]-invoice[[#This Row],[میزان حمل شده ]]&lt;0,0,invoice[[#This Row],[میزان سفارش]]-invoice[[#This Row],[میزان حمل شده ]])</f>
        <v>198800</v>
      </c>
      <c r="S279" s="149">
        <f>invoice[[#This Row],[میزان حمل نشده ]]*invoice[[#This Row],[فی]]</f>
        <v>33860212400</v>
      </c>
    </row>
    <row r="280" spans="1:19" ht="30.6" customHeight="1">
      <c r="A280" s="242" t="s">
        <v>1213</v>
      </c>
      <c r="B280" s="150" t="s">
        <v>118</v>
      </c>
      <c r="C280" s="242" t="s">
        <v>908</v>
      </c>
      <c r="D280" s="242" t="s">
        <v>907</v>
      </c>
      <c r="E280" s="345">
        <v>500000</v>
      </c>
      <c r="F280" s="148">
        <v>170323</v>
      </c>
      <c r="G280" s="346" t="str">
        <f>CHOOSE(MID(invoice[[#This Row],[تاریخ]],6,2),"فروردین","اردیبهشت","خرداد","تیر","مرداد","شهریور","مهر","آبان","آذر","دی","بهمن","اسفند")</f>
        <v>دی</v>
      </c>
      <c r="H280" s="346">
        <f>_xlfn.NUMBERVALUE(MID(invoice[[#This Row],[تاریخ]],1,4))</f>
        <v>1404</v>
      </c>
      <c r="I280" s="346" t="s">
        <v>243</v>
      </c>
      <c r="J280" s="346" t="s">
        <v>504</v>
      </c>
      <c r="K280" s="233">
        <v>46422</v>
      </c>
      <c r="L280" s="346">
        <f>IF(invoice[[#This Row],[سال]]=year,1,0)</f>
        <v>0</v>
      </c>
      <c r="M280" s="346"/>
      <c r="N280" s="346"/>
      <c r="O280" s="347">
        <f>SUMIF(bargiri[شماره پیش فاکتور],invoice[[#This Row],[شماره پیش فاکتور]],bargiri[میزان بارگیری شده])/invoice[[#This Row],[میزان سفارش]]</f>
        <v>0</v>
      </c>
      <c r="P280" s="346" t="str">
        <f>IF(invoice[[#This Row],[نوع سفارش]]="غیرفعال","عادی",invoice[[#This Row],[نوع سفارش]])</f>
        <v>عادی</v>
      </c>
      <c r="Q280" s="346">
        <f>SUMIFS('جزییات بارگیری'!D:D,'جزییات بارگیری'!C:C,invoice[[#This Row],[شماره پیش فاکتور]])</f>
        <v>0</v>
      </c>
      <c r="R280" s="346">
        <f>IF(invoice[[#This Row],[میزان سفارش]]-invoice[[#This Row],[میزان حمل شده ]]&lt;0,0,invoice[[#This Row],[میزان سفارش]]-invoice[[#This Row],[میزان حمل شده ]])</f>
        <v>500000</v>
      </c>
      <c r="S280" s="346">
        <f>invoice[[#This Row],[میزان حمل نشده ]]*invoice[[#This Row],[فی]]</f>
        <v>85161500000</v>
      </c>
    </row>
    <row r="281" spans="1:19" ht="30.6" customHeight="1">
      <c r="A281" s="348" t="s">
        <v>1214</v>
      </c>
      <c r="B281" s="343" t="s">
        <v>116</v>
      </c>
      <c r="C281" s="242" t="s">
        <v>786</v>
      </c>
      <c r="D281" s="242" t="s">
        <v>795</v>
      </c>
      <c r="E281" s="345">
        <v>100000</v>
      </c>
      <c r="F281" s="345">
        <v>240000</v>
      </c>
      <c r="G281" s="346" t="str">
        <f>CHOOSE(MID(invoice[[#This Row],[تاریخ]],6,2),"فروردین","اردیبهشت","خرداد","تیر","مرداد","شهریور","مهر","آبان","آذر","دی","بهمن","اسفند")</f>
        <v>مهر</v>
      </c>
      <c r="H281" s="346">
        <f>_xlfn.NUMBERVALUE(MID(invoice[[#This Row],[تاریخ]],1,4))</f>
        <v>1404</v>
      </c>
      <c r="I281" s="346" t="s">
        <v>242</v>
      </c>
      <c r="J281" s="346" t="s">
        <v>504</v>
      </c>
      <c r="K281" s="233">
        <v>46559</v>
      </c>
      <c r="L281" s="346">
        <f>IF(invoice[[#This Row],[سال]]=year,1,0)</f>
        <v>0</v>
      </c>
      <c r="M281" s="346"/>
      <c r="N281" s="346"/>
      <c r="O281" s="347">
        <f>SUMIF(bargiri[شماره پیش فاکتور],invoice[[#This Row],[شماره پیش فاکتور]],bargiri[میزان بارگیری شده])/invoice[[#This Row],[میزان سفارش]]</f>
        <v>0</v>
      </c>
      <c r="P281" s="346" t="str">
        <f>IF(invoice[[#This Row],[نوع سفارش]]="غیرفعال","عادی",invoice[[#This Row],[نوع سفارش]])</f>
        <v>بورس</v>
      </c>
      <c r="Q281" s="346">
        <f>SUMIFS('جزییات بارگیری'!D:D,'جزییات بارگیری'!C:C,invoice[[#This Row],[شماره پیش فاکتور]])</f>
        <v>0</v>
      </c>
      <c r="R281" s="346">
        <f>IF(invoice[[#This Row],[میزان سفارش]]-invoice[[#This Row],[میزان حمل شده ]]&lt;0,0,invoice[[#This Row],[میزان سفارش]]-invoice[[#This Row],[میزان حمل شده ]])</f>
        <v>100000</v>
      </c>
      <c r="S281" s="346">
        <f>invoice[[#This Row],[میزان حمل نشده ]]*invoice[[#This Row],[فی]]</f>
        <v>24000000000</v>
      </c>
    </row>
    <row r="282" spans="1:19" ht="30.6" customHeight="1">
      <c r="A282" s="348"/>
      <c r="B282" s="349"/>
      <c r="C282" s="348"/>
      <c r="D282" s="350"/>
      <c r="E282" s="351"/>
      <c r="F282" s="351"/>
      <c r="G282" s="352"/>
      <c r="H282" s="352"/>
      <c r="I282" s="352"/>
      <c r="J282" s="352"/>
      <c r="K282" s="353"/>
      <c r="L282" s="352"/>
      <c r="M282" s="352"/>
      <c r="N282" s="352"/>
      <c r="O282" s="354"/>
      <c r="P282" s="352"/>
      <c r="Q282" s="352"/>
      <c r="R282" s="352">
        <f>SUBTOTAL(109,invoice[[میزان حمل نشده ]])</f>
        <v>15193603</v>
      </c>
      <c r="S282" s="352">
        <f>SUBTOTAL(109,invoice[Column2])</f>
        <v>2903185472400</v>
      </c>
    </row>
    <row r="284" spans="1:19" ht="30.6" customHeight="1">
      <c r="S284" s="147">
        <f>invoice[[#Totals],[Column2]]/invoice[[#Totals],[میزان حمل نشده ]]</f>
        <v>191079.46103369951</v>
      </c>
    </row>
  </sheetData>
  <phoneticPr fontId="3" type="noConversion"/>
  <pageMargins left="0.11811023622047245" right="0.11811023622047245" top="0.35433070866141736" bottom="0.15748031496062992" header="0.31496062992125984" footer="0.31496062992125984"/>
  <pageSetup scale="37"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17C6F-7D4D-4E81-B70A-0E0EBB2027D6}">
  <sheetPr codeName="Sheet4">
    <pageSetUpPr fitToPage="1"/>
  </sheetPr>
  <dimension ref="A1:N45"/>
  <sheetViews>
    <sheetView showGridLines="0" rightToLeft="1" zoomScaleNormal="100" workbookViewId="0">
      <selection activeCell="H16" sqref="H16"/>
    </sheetView>
  </sheetViews>
  <sheetFormatPr defaultColWidth="10.69921875" defaultRowHeight="21.75" customHeight="1"/>
  <cols>
    <col min="1" max="1" width="12.59765625" style="1" customWidth="1"/>
    <col min="2" max="2" width="17.59765625" style="3" bestFit="1" customWidth="1"/>
    <col min="3" max="3" width="13.3984375" style="3" customWidth="1"/>
    <col min="4" max="4" width="21.8984375" style="1" bestFit="1" customWidth="1"/>
    <col min="5" max="5" width="16" style="1" customWidth="1"/>
    <col min="6" max="6" width="7.8984375" style="1" bestFit="1" customWidth="1"/>
    <col min="7" max="7" width="9.296875" style="1" customWidth="1"/>
    <col min="8" max="8" width="9.8984375" style="1" bestFit="1" customWidth="1"/>
    <col min="9" max="9" width="8.09765625" style="1" bestFit="1" customWidth="1"/>
    <col min="10" max="10" width="10.09765625" style="1" customWidth="1"/>
    <col min="11" max="12" width="12.09765625" style="1" customWidth="1"/>
    <col min="13" max="13" width="11.59765625" style="1" customWidth="1"/>
    <col min="14" max="14" width="22.69921875" style="1" customWidth="1"/>
    <col min="15" max="16384" width="10.69921875" style="1"/>
  </cols>
  <sheetData>
    <row r="1" spans="1:14" ht="21.75" customHeight="1">
      <c r="A1" s="1" t="s">
        <v>127</v>
      </c>
      <c r="B1" s="1" t="s">
        <v>0</v>
      </c>
      <c r="C1" s="1" t="s">
        <v>128</v>
      </c>
      <c r="D1" s="1" t="s">
        <v>130</v>
      </c>
      <c r="E1" s="1" t="s">
        <v>1</v>
      </c>
      <c r="F1" s="1" t="s">
        <v>2</v>
      </c>
      <c r="G1" s="1" t="s">
        <v>248</v>
      </c>
      <c r="H1" s="1" t="s">
        <v>238</v>
      </c>
      <c r="I1" s="1" t="s">
        <v>239</v>
      </c>
      <c r="J1" s="1" t="s">
        <v>244</v>
      </c>
      <c r="K1" s="1" t="s">
        <v>246</v>
      </c>
      <c r="L1" s="1" t="s">
        <v>245</v>
      </c>
      <c r="M1" s="1" t="s">
        <v>247</v>
      </c>
      <c r="N1" s="1" t="s">
        <v>249</v>
      </c>
    </row>
    <row r="2" spans="1:14" ht="18.600000000000001">
      <c r="A2" s="11" t="s">
        <v>3</v>
      </c>
      <c r="B2" s="98" t="s">
        <v>250</v>
      </c>
      <c r="C2" s="98" t="s">
        <v>131</v>
      </c>
      <c r="D2" s="11" t="s">
        <v>131</v>
      </c>
      <c r="E2" s="2">
        <v>34360</v>
      </c>
      <c r="F2" s="2">
        <v>65000</v>
      </c>
      <c r="G2" s="2" t="e">
        <f>SUMIF(#REF!,invoice2[[#This Row],[شماره پیش فاکتور]],#REF!)</f>
        <v>#REF!</v>
      </c>
      <c r="H2" s="2" t="e">
        <f>invoice2[[#This Row],[میزان سفارش]]-invoice2[[#This Row],[حمل شده]]</f>
        <v>#REF!</v>
      </c>
      <c r="I2" s="2" t="s">
        <v>240</v>
      </c>
      <c r="J2" s="6" t="e">
        <f>invoice2[[#This Row],[مانده]]*0.6</f>
        <v>#REF!</v>
      </c>
      <c r="K2" s="6"/>
      <c r="L2" s="6"/>
      <c r="M2" s="6"/>
      <c r="N2" s="6"/>
    </row>
    <row r="3" spans="1:14" ht="18.600000000000001">
      <c r="A3" s="11" t="s">
        <v>4</v>
      </c>
      <c r="B3" s="98" t="s">
        <v>250</v>
      </c>
      <c r="C3" s="98" t="s">
        <v>132</v>
      </c>
      <c r="D3" s="11" t="s">
        <v>169</v>
      </c>
      <c r="E3" s="2">
        <v>85900</v>
      </c>
      <c r="F3" s="2">
        <v>65000</v>
      </c>
      <c r="G3" s="2" t="e">
        <f>SUMIF(#REF!,invoice2[[#This Row],[شماره پیش فاکتور]],#REF!)</f>
        <v>#REF!</v>
      </c>
      <c r="H3" s="2" t="e">
        <f>invoice2[[#This Row],[میزان سفارش]]-invoice2[[#This Row],[حمل شده]]</f>
        <v>#REF!</v>
      </c>
      <c r="I3" s="2" t="s">
        <v>240</v>
      </c>
      <c r="J3" s="5" t="e">
        <f>invoice2[[#This Row],[مانده]]*0.6</f>
        <v>#REF!</v>
      </c>
      <c r="K3" s="5"/>
      <c r="L3" s="5"/>
      <c r="M3" s="5"/>
      <c r="N3" s="5"/>
    </row>
    <row r="4" spans="1:14" ht="18.600000000000001">
      <c r="A4" s="11" t="s">
        <v>5</v>
      </c>
      <c r="B4" s="98" t="s">
        <v>250</v>
      </c>
      <c r="C4" s="98" t="s">
        <v>133</v>
      </c>
      <c r="D4" s="11" t="s">
        <v>185</v>
      </c>
      <c r="E4" s="2">
        <v>120000</v>
      </c>
      <c r="F4" s="2">
        <v>100000</v>
      </c>
      <c r="G4" s="2" t="e">
        <f>SUMIF(#REF!,invoice2[[#This Row],[شماره پیش فاکتور]],#REF!)</f>
        <v>#REF!</v>
      </c>
      <c r="H4" s="2" t="e">
        <f>invoice2[[#This Row],[میزان سفارش]]-invoice2[[#This Row],[حمل شده]]</f>
        <v>#REF!</v>
      </c>
      <c r="I4" s="2" t="s">
        <v>241</v>
      </c>
      <c r="J4" s="5" t="e">
        <f>invoice2[[#This Row],[مانده]]*0.6</f>
        <v>#REF!</v>
      </c>
      <c r="K4" s="5"/>
      <c r="L4" s="5"/>
      <c r="M4" s="5"/>
      <c r="N4" s="5"/>
    </row>
    <row r="5" spans="1:14" ht="18.600000000000001">
      <c r="A5" s="11" t="s">
        <v>6</v>
      </c>
      <c r="B5" s="98" t="s">
        <v>250</v>
      </c>
      <c r="C5" s="98" t="s">
        <v>134</v>
      </c>
      <c r="D5" s="11" t="s">
        <v>233</v>
      </c>
      <c r="E5" s="2">
        <v>20000</v>
      </c>
      <c r="F5" s="2">
        <v>92180</v>
      </c>
      <c r="G5" s="2" t="e">
        <f>SUMIF(#REF!,invoice2[[#This Row],[شماره پیش فاکتور]],#REF!)</f>
        <v>#REF!</v>
      </c>
      <c r="H5" s="2" t="e">
        <f>invoice2[[#This Row],[میزان سفارش]]-invoice2[[#This Row],[حمل شده]]</f>
        <v>#REF!</v>
      </c>
      <c r="I5" s="2" t="s">
        <v>242</v>
      </c>
      <c r="J5" s="5" t="e">
        <f>invoice2[[#This Row],[مانده]]*0.6</f>
        <v>#REF!</v>
      </c>
      <c r="K5" s="5"/>
      <c r="L5" s="5"/>
      <c r="M5" s="5"/>
      <c r="N5" s="5"/>
    </row>
    <row r="6" spans="1:14" ht="18.600000000000001">
      <c r="A6" s="11" t="s">
        <v>12</v>
      </c>
      <c r="B6" s="98" t="s">
        <v>251</v>
      </c>
      <c r="C6" s="98" t="s">
        <v>140</v>
      </c>
      <c r="D6" s="11" t="s">
        <v>140</v>
      </c>
      <c r="E6" s="2">
        <v>1000000</v>
      </c>
      <c r="F6" s="2">
        <v>86500</v>
      </c>
      <c r="G6" s="2" t="e">
        <f>SUMIF(#REF!,invoice2[[#This Row],[شماره پیش فاکتور]],#REF!)</f>
        <v>#REF!</v>
      </c>
      <c r="H6" s="2" t="e">
        <f>invoice2[[#This Row],[میزان سفارش]]-invoice2[[#This Row],[حمل شده]]</f>
        <v>#REF!</v>
      </c>
      <c r="I6" s="2" t="s">
        <v>243</v>
      </c>
      <c r="J6" s="5"/>
      <c r="K6" s="5"/>
      <c r="L6" s="5"/>
      <c r="M6" s="5"/>
      <c r="N6" s="5"/>
    </row>
    <row r="7" spans="1:14" ht="18.600000000000001">
      <c r="A7" s="11" t="s">
        <v>15</v>
      </c>
      <c r="B7" s="98" t="s">
        <v>100</v>
      </c>
      <c r="C7" s="98" t="s">
        <v>133</v>
      </c>
      <c r="D7" s="11" t="s">
        <v>185</v>
      </c>
      <c r="E7" s="2">
        <v>300000</v>
      </c>
      <c r="F7" s="2">
        <v>100000</v>
      </c>
      <c r="G7" s="2" t="e">
        <f>SUMIF(#REF!,invoice2[[#This Row],[شماره پیش فاکتور]],#REF!)</f>
        <v>#REF!</v>
      </c>
      <c r="H7" s="2" t="e">
        <f>invoice2[[#This Row],[میزان سفارش]]-invoice2[[#This Row],[حمل شده]]</f>
        <v>#REF!</v>
      </c>
      <c r="I7" s="2" t="s">
        <v>241</v>
      </c>
      <c r="J7" s="5"/>
      <c r="K7" s="5"/>
      <c r="L7" s="5"/>
      <c r="M7" s="5"/>
      <c r="N7" s="5"/>
    </row>
    <row r="8" spans="1:14" ht="18.600000000000001">
      <c r="A8" s="11" t="s">
        <v>16</v>
      </c>
      <c r="B8" s="98" t="s">
        <v>101</v>
      </c>
      <c r="C8" s="98" t="s">
        <v>133</v>
      </c>
      <c r="D8" s="11" t="s">
        <v>185</v>
      </c>
      <c r="E8" s="2">
        <v>100000</v>
      </c>
      <c r="F8" s="2">
        <v>100000</v>
      </c>
      <c r="G8" s="2" t="e">
        <f>SUMIF(#REF!,invoice2[[#This Row],[شماره پیش فاکتور]],#REF!)</f>
        <v>#REF!</v>
      </c>
      <c r="H8" s="2" t="e">
        <f>invoice2[[#This Row],[میزان سفارش]]-invoice2[[#This Row],[حمل شده]]</f>
        <v>#REF!</v>
      </c>
      <c r="I8" s="2" t="s">
        <v>241</v>
      </c>
      <c r="J8" s="5"/>
      <c r="K8" s="5"/>
      <c r="L8" s="5"/>
      <c r="M8" s="5"/>
      <c r="N8" s="5"/>
    </row>
    <row r="9" spans="1:14" ht="18.600000000000001">
      <c r="A9" s="11" t="s">
        <v>19</v>
      </c>
      <c r="B9" s="98" t="s">
        <v>101</v>
      </c>
      <c r="C9" s="98" t="s">
        <v>143</v>
      </c>
      <c r="D9" s="11" t="s">
        <v>192</v>
      </c>
      <c r="E9" s="2">
        <v>500000</v>
      </c>
      <c r="F9" s="2">
        <v>75000</v>
      </c>
      <c r="G9" s="2" t="e">
        <f>SUMIF(#REF!,invoice2[[#This Row],[شماره پیش فاکتور]],#REF!)</f>
        <v>#REF!</v>
      </c>
      <c r="H9" s="2" t="e">
        <f>invoice2[[#This Row],[میزان سفارش]]-invoice2[[#This Row],[حمل شده]]</f>
        <v>#REF!</v>
      </c>
      <c r="I9" s="2" t="s">
        <v>243</v>
      </c>
      <c r="J9" s="5"/>
      <c r="K9" s="5"/>
      <c r="L9" s="5"/>
      <c r="M9" s="5"/>
      <c r="N9" s="5"/>
    </row>
    <row r="10" spans="1:14" ht="18.600000000000001">
      <c r="A10" s="11" t="s">
        <v>22</v>
      </c>
      <c r="B10" s="98" t="s">
        <v>102</v>
      </c>
      <c r="C10" s="98" t="s">
        <v>144</v>
      </c>
      <c r="D10" s="11" t="s">
        <v>144</v>
      </c>
      <c r="E10" s="2">
        <v>150000</v>
      </c>
      <c r="F10" s="2">
        <v>89000</v>
      </c>
      <c r="G10" s="2" t="e">
        <f>SUMIF(#REF!,invoice2[[#This Row],[شماره پیش فاکتور]],#REF!)</f>
        <v>#REF!</v>
      </c>
      <c r="H10" s="2" t="e">
        <f>invoice2[[#This Row],[میزان سفارش]]-invoice2[[#This Row],[حمل شده]]</f>
        <v>#REF!</v>
      </c>
      <c r="I10" s="2" t="s">
        <v>243</v>
      </c>
      <c r="J10" s="5"/>
      <c r="K10" s="5"/>
      <c r="L10" s="5"/>
      <c r="M10" s="5"/>
      <c r="N10" s="5"/>
    </row>
    <row r="11" spans="1:14" ht="18.600000000000001">
      <c r="A11" s="11" t="s">
        <v>23</v>
      </c>
      <c r="B11" s="98" t="s">
        <v>102</v>
      </c>
      <c r="C11" s="98" t="s">
        <v>133</v>
      </c>
      <c r="D11" s="11" t="s">
        <v>185</v>
      </c>
      <c r="E11" s="2">
        <v>700000</v>
      </c>
      <c r="F11" s="2">
        <v>100000</v>
      </c>
      <c r="G11" s="2" t="e">
        <f>SUMIF(#REF!,invoice2[[#This Row],[شماره پیش فاکتور]],#REF!)</f>
        <v>#REF!</v>
      </c>
      <c r="H11" s="2" t="e">
        <f>invoice2[[#This Row],[میزان سفارش]]-invoice2[[#This Row],[حمل شده]]</f>
        <v>#REF!</v>
      </c>
      <c r="I11" s="2" t="s">
        <v>241</v>
      </c>
      <c r="J11" s="5"/>
      <c r="K11" s="5"/>
      <c r="L11" s="5"/>
      <c r="M11" s="5"/>
      <c r="N11" s="5"/>
    </row>
    <row r="12" spans="1:14" ht="18.600000000000001">
      <c r="A12" s="11" t="s">
        <v>24</v>
      </c>
      <c r="B12" s="98" t="s">
        <v>102</v>
      </c>
      <c r="C12" s="98" t="s">
        <v>145</v>
      </c>
      <c r="D12" s="11" t="s">
        <v>195</v>
      </c>
      <c r="E12" s="2">
        <v>500000</v>
      </c>
      <c r="F12" s="2">
        <v>70000</v>
      </c>
      <c r="G12" s="2" t="e">
        <f>SUMIF(#REF!,invoice2[[#This Row],[شماره پیش فاکتور]],#REF!)</f>
        <v>#REF!</v>
      </c>
      <c r="H12" s="2" t="e">
        <f>invoice2[[#This Row],[میزان سفارش]]-invoice2[[#This Row],[حمل شده]]</f>
        <v>#REF!</v>
      </c>
      <c r="I12" s="2" t="s">
        <v>243</v>
      </c>
      <c r="J12" s="5"/>
      <c r="K12" s="5"/>
      <c r="L12" s="5"/>
      <c r="M12" s="5"/>
      <c r="N12" s="5"/>
    </row>
    <row r="13" spans="1:14" ht="18.600000000000001">
      <c r="A13" s="11" t="s">
        <v>28</v>
      </c>
      <c r="B13" s="98" t="s">
        <v>252</v>
      </c>
      <c r="C13" s="98" t="s">
        <v>133</v>
      </c>
      <c r="D13" s="11" t="s">
        <v>185</v>
      </c>
      <c r="E13" s="2">
        <v>1000000</v>
      </c>
      <c r="F13" s="2">
        <v>100000</v>
      </c>
      <c r="G13" s="2" t="e">
        <f>SUMIF(#REF!,invoice2[[#This Row],[شماره پیش فاکتور]],#REF!)</f>
        <v>#REF!</v>
      </c>
      <c r="H13" s="2" t="e">
        <f>invoice2[[#This Row],[میزان سفارش]]-invoice2[[#This Row],[حمل شده]]</f>
        <v>#REF!</v>
      </c>
      <c r="I13" s="2" t="s">
        <v>241</v>
      </c>
      <c r="J13" s="5"/>
      <c r="K13" s="5"/>
      <c r="L13" s="5"/>
      <c r="M13" s="5"/>
      <c r="N13" s="5"/>
    </row>
    <row r="14" spans="1:14" ht="18.600000000000001">
      <c r="A14" s="11" t="s">
        <v>29</v>
      </c>
      <c r="B14" s="98" t="s">
        <v>252</v>
      </c>
      <c r="C14" s="98" t="s">
        <v>148</v>
      </c>
      <c r="D14" s="11" t="s">
        <v>198</v>
      </c>
      <c r="E14" s="2">
        <v>300000</v>
      </c>
      <c r="F14" s="2">
        <v>75000</v>
      </c>
      <c r="G14" s="2" t="e">
        <f>SUMIF(#REF!,invoice2[[#This Row],[شماره پیش فاکتور]],#REF!)</f>
        <v>#REF!</v>
      </c>
      <c r="H14" s="2" t="e">
        <f>invoice2[[#This Row],[میزان سفارش]]-invoice2[[#This Row],[حمل شده]]</f>
        <v>#REF!</v>
      </c>
      <c r="I14" s="2" t="s">
        <v>243</v>
      </c>
      <c r="J14" s="5"/>
      <c r="K14" s="5"/>
      <c r="L14" s="5"/>
      <c r="M14" s="5"/>
      <c r="N14" s="5"/>
    </row>
    <row r="15" spans="1:14" ht="18.600000000000001">
      <c r="A15" s="11" t="s">
        <v>34</v>
      </c>
      <c r="B15" s="98" t="s">
        <v>253</v>
      </c>
      <c r="C15" s="98" t="s">
        <v>152</v>
      </c>
      <c r="D15" s="11" t="s">
        <v>152</v>
      </c>
      <c r="E15" s="2">
        <v>50000</v>
      </c>
      <c r="F15" s="2">
        <v>66200</v>
      </c>
      <c r="G15" s="2" t="e">
        <f>SUMIF(#REF!,invoice2[[#This Row],[شماره پیش فاکتور]],#REF!)</f>
        <v>#REF!</v>
      </c>
      <c r="H15" s="2" t="e">
        <f>invoice2[[#This Row],[میزان سفارش]]-invoice2[[#This Row],[حمل شده]]</f>
        <v>#REF!</v>
      </c>
      <c r="I15" s="2" t="s">
        <v>240</v>
      </c>
      <c r="J15" s="5"/>
      <c r="K15" s="5"/>
      <c r="L15" s="5"/>
      <c r="M15" s="5"/>
      <c r="N15" s="5"/>
    </row>
    <row r="16" spans="1:14" ht="18.600000000000001">
      <c r="A16" s="11" t="s">
        <v>35</v>
      </c>
      <c r="B16" s="98" t="s">
        <v>253</v>
      </c>
      <c r="C16" s="98" t="s">
        <v>133</v>
      </c>
      <c r="D16" s="11" t="s">
        <v>185</v>
      </c>
      <c r="E16" s="2">
        <v>180000</v>
      </c>
      <c r="F16" s="2">
        <v>100000</v>
      </c>
      <c r="G16" s="2" t="e">
        <f>SUMIF(#REF!,invoice2[[#This Row],[شماره پیش فاکتور]],#REF!)</f>
        <v>#REF!</v>
      </c>
      <c r="H16" s="2" t="e">
        <f>invoice2[[#This Row],[میزان سفارش]]-invoice2[[#This Row],[حمل شده]]</f>
        <v>#REF!</v>
      </c>
      <c r="I16" s="2" t="s">
        <v>241</v>
      </c>
      <c r="J16" s="5"/>
      <c r="K16" s="5"/>
      <c r="L16" s="5"/>
      <c r="M16" s="5"/>
      <c r="N16" s="5"/>
    </row>
    <row r="17" spans="1:14" ht="18.600000000000001">
      <c r="A17" s="11" t="s">
        <v>36</v>
      </c>
      <c r="B17" s="98" t="s">
        <v>253</v>
      </c>
      <c r="C17" s="98" t="s">
        <v>133</v>
      </c>
      <c r="D17" s="11" t="s">
        <v>185</v>
      </c>
      <c r="E17" s="2">
        <v>300000</v>
      </c>
      <c r="F17" s="2">
        <v>100000</v>
      </c>
      <c r="G17" s="2" t="e">
        <f>SUMIF(#REF!,invoice2[[#This Row],[شماره پیش فاکتور]],#REF!)</f>
        <v>#REF!</v>
      </c>
      <c r="H17" s="2" t="e">
        <f>invoice2[[#This Row],[میزان سفارش]]-invoice2[[#This Row],[حمل شده]]</f>
        <v>#REF!</v>
      </c>
      <c r="I17" s="2" t="s">
        <v>241</v>
      </c>
      <c r="J17" s="5"/>
      <c r="K17" s="5"/>
      <c r="L17" s="5"/>
      <c r="M17" s="5"/>
      <c r="N17" s="5"/>
    </row>
    <row r="18" spans="1:14" ht="18.600000000000001">
      <c r="A18" s="11" t="s">
        <v>37</v>
      </c>
      <c r="B18" s="98" t="s">
        <v>253</v>
      </c>
      <c r="C18" s="98" t="s">
        <v>152</v>
      </c>
      <c r="D18" s="11" t="s">
        <v>185</v>
      </c>
      <c r="E18" s="2">
        <v>300000</v>
      </c>
      <c r="F18" s="2">
        <v>100000</v>
      </c>
      <c r="G18" s="2" t="e">
        <f>SUMIF(#REF!,invoice2[[#This Row],[شماره پیش فاکتور]],#REF!)</f>
        <v>#REF!</v>
      </c>
      <c r="H18" s="2" t="e">
        <f>invoice2[[#This Row],[میزان سفارش]]-invoice2[[#This Row],[حمل شده]]</f>
        <v>#REF!</v>
      </c>
      <c r="I18" s="2" t="s">
        <v>241</v>
      </c>
      <c r="J18" s="5"/>
      <c r="K18" s="5"/>
      <c r="L18" s="5"/>
      <c r="M18" s="5"/>
      <c r="N18" s="5"/>
    </row>
    <row r="19" spans="1:14" ht="18.600000000000001">
      <c r="A19" s="11" t="s">
        <v>38</v>
      </c>
      <c r="B19" s="98" t="s">
        <v>253</v>
      </c>
      <c r="C19" s="98" t="s">
        <v>153</v>
      </c>
      <c r="D19" s="11" t="s">
        <v>153</v>
      </c>
      <c r="E19" s="2">
        <v>50000</v>
      </c>
      <c r="F19" s="2">
        <v>83800</v>
      </c>
      <c r="G19" s="2" t="e">
        <f>SUMIF(#REF!,invoice2[[#This Row],[شماره پیش فاکتور]],#REF!)</f>
        <v>#REF!</v>
      </c>
      <c r="H19" s="2" t="e">
        <f>invoice2[[#This Row],[میزان سفارش]]-invoice2[[#This Row],[حمل شده]]</f>
        <v>#REF!</v>
      </c>
      <c r="I19" s="2" t="s">
        <v>242</v>
      </c>
      <c r="J19" s="5"/>
      <c r="K19" s="5"/>
      <c r="L19" s="5"/>
      <c r="M19" s="5"/>
      <c r="N19" s="5"/>
    </row>
    <row r="20" spans="1:14" ht="18.600000000000001">
      <c r="A20" s="11" t="s">
        <v>39</v>
      </c>
      <c r="B20" s="98" t="s">
        <v>253</v>
      </c>
      <c r="C20" s="98" t="s">
        <v>154</v>
      </c>
      <c r="D20" s="11" t="s">
        <v>201</v>
      </c>
      <c r="E20" s="2">
        <v>85900</v>
      </c>
      <c r="F20" s="2">
        <v>65000</v>
      </c>
      <c r="G20" s="2" t="e">
        <f>SUMIF(#REF!,invoice2[[#This Row],[شماره پیش فاکتور]],#REF!)</f>
        <v>#REF!</v>
      </c>
      <c r="H20" s="2" t="e">
        <f>invoice2[[#This Row],[میزان سفارش]]-invoice2[[#This Row],[حمل شده]]</f>
        <v>#REF!</v>
      </c>
      <c r="I20" s="2" t="s">
        <v>240</v>
      </c>
      <c r="J20" s="5"/>
      <c r="K20" s="5"/>
      <c r="L20" s="5"/>
      <c r="M20" s="5"/>
      <c r="N20" s="5"/>
    </row>
    <row r="21" spans="1:14" ht="18.600000000000001">
      <c r="A21" s="11" t="s">
        <v>43</v>
      </c>
      <c r="B21" s="98" t="s">
        <v>105</v>
      </c>
      <c r="C21" s="98" t="s">
        <v>133</v>
      </c>
      <c r="D21" s="11" t="s">
        <v>185</v>
      </c>
      <c r="E21" s="2">
        <v>600000</v>
      </c>
      <c r="F21" s="2">
        <v>100000</v>
      </c>
      <c r="G21" s="2" t="e">
        <f>SUMIF(#REF!,invoice2[[#This Row],[شماره پیش فاکتور]],#REF!)</f>
        <v>#REF!</v>
      </c>
      <c r="H21" s="2" t="e">
        <f>invoice2[[#This Row],[میزان سفارش]]-invoice2[[#This Row],[حمل شده]]</f>
        <v>#REF!</v>
      </c>
      <c r="I21" s="2" t="s">
        <v>241</v>
      </c>
      <c r="J21" s="5"/>
      <c r="K21" s="5"/>
      <c r="L21" s="5"/>
      <c r="M21" s="5"/>
      <c r="N21" s="5"/>
    </row>
    <row r="22" spans="1:14" ht="18.600000000000001">
      <c r="A22" s="11" t="s">
        <v>44</v>
      </c>
      <c r="B22" s="98" t="s">
        <v>106</v>
      </c>
      <c r="C22" s="98" t="s">
        <v>157</v>
      </c>
      <c r="D22" s="11" t="s">
        <v>157</v>
      </c>
      <c r="E22" s="2">
        <v>1000000</v>
      </c>
      <c r="F22" s="2">
        <v>80000</v>
      </c>
      <c r="G22" s="2" t="e">
        <f>SUMIF(#REF!,invoice2[[#This Row],[شماره پیش فاکتور]],#REF!)</f>
        <v>#REF!</v>
      </c>
      <c r="H22" s="2" t="e">
        <f>invoice2[[#This Row],[میزان سفارش]]-invoice2[[#This Row],[حمل شده]]</f>
        <v>#REF!</v>
      </c>
      <c r="I22" s="2" t="s">
        <v>243</v>
      </c>
      <c r="J22" s="5"/>
      <c r="K22" s="5"/>
      <c r="L22" s="5"/>
      <c r="M22" s="5"/>
      <c r="N22" s="5"/>
    </row>
    <row r="23" spans="1:14" ht="18.600000000000001">
      <c r="A23" s="11" t="s">
        <v>45</v>
      </c>
      <c r="B23" s="98" t="s">
        <v>106</v>
      </c>
      <c r="C23" s="98" t="s">
        <v>154</v>
      </c>
      <c r="D23" s="11" t="s">
        <v>203</v>
      </c>
      <c r="E23" s="2">
        <v>300000</v>
      </c>
      <c r="F23" s="2">
        <v>80000</v>
      </c>
      <c r="G23" s="2" t="e">
        <f>SUMIF(#REF!,invoice2[[#This Row],[شماره پیش فاکتور]],#REF!)</f>
        <v>#REF!</v>
      </c>
      <c r="H23" s="2" t="e">
        <f>invoice2[[#This Row],[میزان سفارش]]-invoice2[[#This Row],[حمل شده]]</f>
        <v>#REF!</v>
      </c>
      <c r="I23" s="2" t="s">
        <v>243</v>
      </c>
      <c r="J23" s="5"/>
      <c r="K23" s="5"/>
      <c r="L23" s="5"/>
      <c r="M23" s="5"/>
      <c r="N23" s="5"/>
    </row>
    <row r="24" spans="1:14" ht="18.600000000000001">
      <c r="A24" s="11" t="s">
        <v>50</v>
      </c>
      <c r="B24" s="98" t="s">
        <v>107</v>
      </c>
      <c r="C24" s="98" t="s">
        <v>145</v>
      </c>
      <c r="D24" s="11" t="s">
        <v>205</v>
      </c>
      <c r="E24" s="2">
        <v>3500000</v>
      </c>
      <c r="F24" s="2">
        <v>70000</v>
      </c>
      <c r="G24" s="2" t="e">
        <f>SUMIF(#REF!,invoice2[[#This Row],[شماره پیش فاکتور]],#REF!)</f>
        <v>#REF!</v>
      </c>
      <c r="H24" s="2" t="e">
        <f>invoice2[[#This Row],[میزان سفارش]]-invoice2[[#This Row],[حمل شده]]</f>
        <v>#REF!</v>
      </c>
      <c r="I24" s="2" t="s">
        <v>243</v>
      </c>
      <c r="J24" s="5"/>
      <c r="K24" s="5"/>
      <c r="L24" s="5"/>
      <c r="M24" s="5"/>
      <c r="N24" s="5"/>
    </row>
    <row r="25" spans="1:14" ht="18.600000000000001">
      <c r="A25" s="11" t="s">
        <v>52</v>
      </c>
      <c r="B25" s="98" t="s">
        <v>108</v>
      </c>
      <c r="C25" s="98" t="s">
        <v>160</v>
      </c>
      <c r="D25" s="11" t="s">
        <v>207</v>
      </c>
      <c r="E25" s="2">
        <v>40000</v>
      </c>
      <c r="F25" s="2">
        <v>90000</v>
      </c>
      <c r="G25" s="2" t="e">
        <f>SUMIF(#REF!,invoice2[[#This Row],[شماره پیش فاکتور]],#REF!)</f>
        <v>#REF!</v>
      </c>
      <c r="H25" s="2" t="e">
        <f>invoice2[[#This Row],[میزان سفارش]]-invoice2[[#This Row],[حمل شده]]</f>
        <v>#REF!</v>
      </c>
      <c r="I25" s="2" t="s">
        <v>243</v>
      </c>
      <c r="J25" s="5"/>
      <c r="K25" s="5"/>
      <c r="L25" s="5"/>
      <c r="M25" s="5"/>
      <c r="N25" s="5"/>
    </row>
    <row r="26" spans="1:14" ht="18.600000000000001">
      <c r="A26" s="11" t="s">
        <v>56</v>
      </c>
      <c r="B26" s="98" t="s">
        <v>109</v>
      </c>
      <c r="C26" s="98" t="s">
        <v>133</v>
      </c>
      <c r="D26" s="11" t="s">
        <v>185</v>
      </c>
      <c r="E26" s="2">
        <v>2500000</v>
      </c>
      <c r="F26" s="2">
        <v>100000</v>
      </c>
      <c r="G26" s="2" t="e">
        <f>SUMIF(#REF!,invoice2[[#This Row],[شماره پیش فاکتور]],#REF!)</f>
        <v>#REF!</v>
      </c>
      <c r="H26" s="2" t="e">
        <f>invoice2[[#This Row],[میزان سفارش]]-invoice2[[#This Row],[حمل شده]]</f>
        <v>#REF!</v>
      </c>
      <c r="I26" s="2" t="s">
        <v>241</v>
      </c>
      <c r="J26" s="5"/>
      <c r="K26" s="5"/>
      <c r="L26" s="5"/>
      <c r="M26" s="5"/>
      <c r="N26" s="5"/>
    </row>
    <row r="27" spans="1:14" ht="18.600000000000001">
      <c r="A27" s="11" t="s">
        <v>57</v>
      </c>
      <c r="B27" s="98" t="s">
        <v>110</v>
      </c>
      <c r="C27" s="98" t="s">
        <v>163</v>
      </c>
      <c r="D27" s="11" t="s">
        <v>210</v>
      </c>
      <c r="E27" s="2">
        <v>500000</v>
      </c>
      <c r="F27" s="2">
        <v>78000</v>
      </c>
      <c r="G27" s="2" t="e">
        <f>SUMIF(#REF!,invoice2[[#This Row],[شماره پیش فاکتور]],#REF!)</f>
        <v>#REF!</v>
      </c>
      <c r="H27" s="2" t="e">
        <f>invoice2[[#This Row],[میزان سفارش]]-invoice2[[#This Row],[حمل شده]]</f>
        <v>#REF!</v>
      </c>
      <c r="I27" s="2" t="s">
        <v>243</v>
      </c>
      <c r="J27" s="5"/>
      <c r="K27" s="5"/>
      <c r="L27" s="5"/>
      <c r="M27" s="5"/>
      <c r="N27" s="5"/>
    </row>
    <row r="28" spans="1:14" ht="18.600000000000001">
      <c r="A28" s="11" t="s">
        <v>61</v>
      </c>
      <c r="B28" s="98" t="s">
        <v>254</v>
      </c>
      <c r="C28" s="98" t="s">
        <v>165</v>
      </c>
      <c r="D28" s="11" t="s">
        <v>213</v>
      </c>
      <c r="E28" s="2">
        <v>1000000</v>
      </c>
      <c r="F28" s="2">
        <v>75000</v>
      </c>
      <c r="G28" s="2" t="e">
        <f>SUMIF(#REF!,invoice2[[#This Row],[شماره پیش فاکتور]],#REF!)</f>
        <v>#REF!</v>
      </c>
      <c r="H28" s="2" t="e">
        <f>invoice2[[#This Row],[میزان سفارش]]-invoice2[[#This Row],[حمل شده]]</f>
        <v>#REF!</v>
      </c>
      <c r="I28" s="2" t="s">
        <v>243</v>
      </c>
      <c r="J28" s="5"/>
      <c r="K28" s="5"/>
      <c r="L28" s="5"/>
      <c r="M28" s="5"/>
      <c r="N28" s="5"/>
    </row>
    <row r="29" spans="1:14" ht="18.600000000000001">
      <c r="A29" s="11" t="s">
        <v>62</v>
      </c>
      <c r="B29" s="98" t="s">
        <v>255</v>
      </c>
      <c r="C29" s="98" t="s">
        <v>166</v>
      </c>
      <c r="D29" s="11" t="s">
        <v>166</v>
      </c>
      <c r="E29" s="2">
        <v>500000</v>
      </c>
      <c r="F29" s="2">
        <v>75000</v>
      </c>
      <c r="G29" s="2" t="e">
        <f>SUMIF(#REF!,invoice2[[#This Row],[شماره پیش فاکتور]],#REF!)</f>
        <v>#REF!</v>
      </c>
      <c r="H29" s="2" t="e">
        <f>invoice2[[#This Row],[میزان سفارش]]-invoice2[[#This Row],[حمل شده]]</f>
        <v>#REF!</v>
      </c>
      <c r="I29" s="2" t="s">
        <v>243</v>
      </c>
      <c r="J29" s="5"/>
      <c r="K29" s="5"/>
      <c r="L29" s="5"/>
      <c r="M29" s="5"/>
      <c r="N29" s="5"/>
    </row>
    <row r="30" spans="1:14" ht="18.600000000000001">
      <c r="A30" s="11" t="s">
        <v>67</v>
      </c>
      <c r="B30" s="98" t="s">
        <v>116</v>
      </c>
      <c r="C30" s="98" t="s">
        <v>169</v>
      </c>
      <c r="D30" s="11" t="s">
        <v>169</v>
      </c>
      <c r="E30" s="2">
        <v>51540</v>
      </c>
      <c r="F30" s="2">
        <v>65000</v>
      </c>
      <c r="G30" s="2" t="e">
        <f>SUMIF(#REF!,invoice2[[#This Row],[شماره پیش فاکتور]],#REF!)</f>
        <v>#REF!</v>
      </c>
      <c r="H30" s="2" t="e">
        <f>invoice2[[#This Row],[میزان سفارش]]-invoice2[[#This Row],[حمل شده]]</f>
        <v>#REF!</v>
      </c>
      <c r="I30" s="2" t="s">
        <v>240</v>
      </c>
      <c r="J30" s="5"/>
      <c r="K30" s="5"/>
      <c r="L30" s="5"/>
      <c r="M30" s="5"/>
      <c r="N30" s="5"/>
    </row>
    <row r="31" spans="1:14" ht="18.600000000000001">
      <c r="A31" s="11" t="s">
        <v>68</v>
      </c>
      <c r="B31" s="98" t="s">
        <v>116</v>
      </c>
      <c r="C31" s="98" t="s">
        <v>133</v>
      </c>
      <c r="D31" s="11" t="s">
        <v>185</v>
      </c>
      <c r="E31" s="2">
        <v>300000</v>
      </c>
      <c r="F31" s="2">
        <v>100000</v>
      </c>
      <c r="G31" s="2" t="e">
        <f>SUMIF(#REF!,invoice2[[#This Row],[شماره پیش فاکتور]],#REF!)</f>
        <v>#REF!</v>
      </c>
      <c r="H31" s="2" t="e">
        <f>invoice2[[#This Row],[میزان سفارش]]-invoice2[[#This Row],[حمل شده]]</f>
        <v>#REF!</v>
      </c>
      <c r="I31" s="2" t="s">
        <v>241</v>
      </c>
      <c r="J31" s="5"/>
      <c r="K31" s="5"/>
      <c r="L31" s="5"/>
      <c r="M31" s="5"/>
      <c r="N31" s="5"/>
    </row>
    <row r="32" spans="1:14" ht="18.600000000000001">
      <c r="A32" s="11" t="s">
        <v>69</v>
      </c>
      <c r="B32" s="98" t="s">
        <v>116</v>
      </c>
      <c r="C32" s="98" t="s">
        <v>170</v>
      </c>
      <c r="D32" s="11" t="s">
        <v>185</v>
      </c>
      <c r="E32" s="2">
        <v>1000000</v>
      </c>
      <c r="F32" s="2">
        <v>100000</v>
      </c>
      <c r="G32" s="2" t="e">
        <f>SUMIF(#REF!,invoice2[[#This Row],[شماره پیش فاکتور]],#REF!)</f>
        <v>#REF!</v>
      </c>
      <c r="H32" s="2" t="e">
        <f>invoice2[[#This Row],[میزان سفارش]]-invoice2[[#This Row],[حمل شده]]</f>
        <v>#REF!</v>
      </c>
      <c r="I32" s="2" t="s">
        <v>241</v>
      </c>
      <c r="J32" s="5"/>
      <c r="K32" s="5"/>
      <c r="L32" s="5"/>
      <c r="M32" s="5"/>
      <c r="N32" s="5"/>
    </row>
    <row r="33" spans="1:14" ht="18.600000000000001">
      <c r="A33" s="11" t="s">
        <v>70</v>
      </c>
      <c r="B33" s="98" t="s">
        <v>116</v>
      </c>
      <c r="C33" s="98" t="s">
        <v>134</v>
      </c>
      <c r="D33" s="11" t="s">
        <v>134</v>
      </c>
      <c r="E33" s="2">
        <v>30000</v>
      </c>
      <c r="F33" s="2">
        <v>92179</v>
      </c>
      <c r="G33" s="2" t="e">
        <f>SUMIF(#REF!,invoice2[[#This Row],[شماره پیش فاکتور]],#REF!)</f>
        <v>#REF!</v>
      </c>
      <c r="H33" s="2" t="e">
        <f>invoice2[[#This Row],[میزان سفارش]]-invoice2[[#This Row],[حمل شده]]</f>
        <v>#REF!</v>
      </c>
      <c r="I33" s="2" t="s">
        <v>242</v>
      </c>
      <c r="J33" s="5"/>
      <c r="K33" s="5"/>
      <c r="L33" s="5"/>
      <c r="M33" s="5"/>
      <c r="N33" s="5"/>
    </row>
    <row r="34" spans="1:14" ht="18.600000000000001">
      <c r="A34" s="11" t="s">
        <v>71</v>
      </c>
      <c r="B34" s="98" t="s">
        <v>116</v>
      </c>
      <c r="C34" s="98" t="s">
        <v>171</v>
      </c>
      <c r="D34" s="11" t="s">
        <v>171</v>
      </c>
      <c r="E34" s="2">
        <v>50000</v>
      </c>
      <c r="F34" s="2">
        <v>83800</v>
      </c>
      <c r="G34" s="2" t="e">
        <f>SUMIF(#REF!,invoice2[[#This Row],[شماره پیش فاکتور]],#REF!)</f>
        <v>#REF!</v>
      </c>
      <c r="H34" s="2" t="e">
        <f>invoice2[[#This Row],[میزان سفارش]]-invoice2[[#This Row],[حمل شده]]</f>
        <v>#REF!</v>
      </c>
      <c r="I34" s="2" t="s">
        <v>242</v>
      </c>
      <c r="J34" s="5"/>
      <c r="K34" s="5"/>
      <c r="L34" s="5"/>
      <c r="M34" s="5"/>
      <c r="N34" s="5"/>
    </row>
    <row r="35" spans="1:14" ht="18.600000000000001">
      <c r="A35" s="11" t="s">
        <v>77</v>
      </c>
      <c r="B35" s="98" t="s">
        <v>116</v>
      </c>
      <c r="C35" s="98" t="s">
        <v>139</v>
      </c>
      <c r="D35" s="11" t="s">
        <v>222</v>
      </c>
      <c r="E35" s="2">
        <v>3941960</v>
      </c>
      <c r="F35" s="2">
        <v>68500</v>
      </c>
      <c r="G35" s="99" t="e">
        <f>SUMIF(#REF!,invoice2[[#This Row],[شماره پیش فاکتور]],#REF!)</f>
        <v>#REF!</v>
      </c>
      <c r="H35" s="2" t="e">
        <f>invoice2[[#This Row],[میزان سفارش]]-invoice2[[#This Row],[حمل شده]]</f>
        <v>#REF!</v>
      </c>
      <c r="I35" s="2" t="s">
        <v>243</v>
      </c>
      <c r="J35" s="5"/>
      <c r="K35" s="5"/>
      <c r="L35" s="5"/>
      <c r="M35" s="5"/>
      <c r="N35" s="5"/>
    </row>
    <row r="36" spans="1:14" ht="18.600000000000001">
      <c r="A36" s="11" t="s">
        <v>78</v>
      </c>
      <c r="B36" s="98" t="s">
        <v>117</v>
      </c>
      <c r="C36" s="98" t="s">
        <v>133</v>
      </c>
      <c r="D36" s="11" t="s">
        <v>185</v>
      </c>
      <c r="E36" s="2">
        <v>180000</v>
      </c>
      <c r="F36" s="2">
        <v>100000</v>
      </c>
      <c r="G36" s="2" t="e">
        <f>SUMIF(#REF!,invoice2[[#This Row],[شماره پیش فاکتور]],#REF!)</f>
        <v>#REF!</v>
      </c>
      <c r="H36" s="2" t="e">
        <f>invoice2[[#This Row],[میزان سفارش]]-invoice2[[#This Row],[حمل شده]]</f>
        <v>#REF!</v>
      </c>
      <c r="I36" s="2" t="s">
        <v>241</v>
      </c>
      <c r="J36" s="5"/>
      <c r="K36" s="5"/>
      <c r="L36" s="5"/>
      <c r="M36" s="5"/>
      <c r="N36" s="5"/>
    </row>
    <row r="37" spans="1:14" ht="18.600000000000001">
      <c r="A37" s="11" t="s">
        <v>79</v>
      </c>
      <c r="B37" s="98" t="s">
        <v>117</v>
      </c>
      <c r="C37" s="98" t="s">
        <v>177</v>
      </c>
      <c r="D37" s="11" t="s">
        <v>223</v>
      </c>
      <c r="E37" s="2">
        <v>320000</v>
      </c>
      <c r="F37" s="2">
        <v>75000</v>
      </c>
      <c r="G37" s="2" t="e">
        <f>SUMIF(#REF!,invoice2[[#This Row],[شماره پیش فاکتور]],#REF!)</f>
        <v>#REF!</v>
      </c>
      <c r="H37" s="2" t="e">
        <f>invoice2[[#This Row],[میزان سفارش]]-invoice2[[#This Row],[حمل شده]]</f>
        <v>#REF!</v>
      </c>
      <c r="I37" s="2" t="s">
        <v>243</v>
      </c>
      <c r="J37" s="5"/>
      <c r="K37" s="5"/>
      <c r="L37" s="5"/>
      <c r="M37" s="5"/>
      <c r="N37" s="5"/>
    </row>
    <row r="38" spans="1:14" ht="18.600000000000001">
      <c r="A38" s="11" t="s">
        <v>84</v>
      </c>
      <c r="B38" s="98" t="s">
        <v>118</v>
      </c>
      <c r="C38" s="98" t="s">
        <v>139</v>
      </c>
      <c r="D38" s="11" t="s">
        <v>225</v>
      </c>
      <c r="E38" s="2">
        <v>6500000</v>
      </c>
      <c r="F38" s="2">
        <v>57273</v>
      </c>
      <c r="G38" s="100" t="e">
        <f>SUMIF(#REF!,invoice2[[#This Row],[شماره پیش فاکتور]],#REF!)</f>
        <v>#REF!</v>
      </c>
      <c r="H38" s="2" t="e">
        <f>invoice2[[#This Row],[میزان سفارش]]-invoice2[[#This Row],[حمل شده]]</f>
        <v>#REF!</v>
      </c>
      <c r="I38" s="2" t="s">
        <v>243</v>
      </c>
      <c r="J38" s="5"/>
      <c r="K38" s="5"/>
      <c r="L38" s="5"/>
      <c r="M38" s="5"/>
      <c r="N38" s="5"/>
    </row>
    <row r="39" spans="1:14" ht="18.600000000000001">
      <c r="A39" s="11" t="s">
        <v>88</v>
      </c>
      <c r="B39" s="98" t="s">
        <v>120</v>
      </c>
      <c r="C39" s="98" t="s">
        <v>181</v>
      </c>
      <c r="D39" s="11" t="s">
        <v>229</v>
      </c>
      <c r="E39" s="2">
        <v>420000</v>
      </c>
      <c r="F39" s="2">
        <v>80000</v>
      </c>
      <c r="G39" s="2" t="e">
        <f>SUMIF(#REF!,invoice2[[#This Row],[شماره پیش فاکتور]],#REF!)</f>
        <v>#REF!</v>
      </c>
      <c r="H39" s="2" t="e">
        <f>invoice2[[#This Row],[میزان سفارش]]-invoice2[[#This Row],[حمل شده]]</f>
        <v>#REF!</v>
      </c>
      <c r="I39" s="2" t="s">
        <v>243</v>
      </c>
      <c r="J39" s="5"/>
      <c r="K39" s="5"/>
      <c r="L39" s="5"/>
      <c r="M39" s="5"/>
      <c r="N39" s="5"/>
    </row>
    <row r="40" spans="1:14" ht="18.600000000000001">
      <c r="A40" s="11" t="s">
        <v>89</v>
      </c>
      <c r="B40" s="98" t="s">
        <v>121</v>
      </c>
      <c r="C40" s="98" t="s">
        <v>133</v>
      </c>
      <c r="D40" s="11" t="s">
        <v>185</v>
      </c>
      <c r="E40" s="2">
        <v>200000</v>
      </c>
      <c r="F40" s="2">
        <v>100000</v>
      </c>
      <c r="G40" s="2" t="e">
        <f>SUMIF(#REF!,invoice2[[#This Row],[شماره پیش فاکتور]],#REF!)</f>
        <v>#REF!</v>
      </c>
      <c r="H40" s="2" t="e">
        <f>invoice2[[#This Row],[میزان سفارش]]-invoice2[[#This Row],[حمل شده]]</f>
        <v>#REF!</v>
      </c>
      <c r="I40" s="2" t="s">
        <v>241</v>
      </c>
      <c r="J40" s="5"/>
      <c r="K40" s="5"/>
      <c r="L40" s="5"/>
      <c r="M40" s="5"/>
      <c r="N40" s="5"/>
    </row>
    <row r="41" spans="1:14" ht="18.600000000000001">
      <c r="A41" s="11" t="s">
        <v>90</v>
      </c>
      <c r="B41" s="98" t="s">
        <v>122</v>
      </c>
      <c r="C41" s="98" t="s">
        <v>133</v>
      </c>
      <c r="D41" s="11" t="s">
        <v>185</v>
      </c>
      <c r="E41" s="2">
        <v>600000</v>
      </c>
      <c r="F41" s="2">
        <v>100000</v>
      </c>
      <c r="G41" s="2" t="e">
        <f>SUMIF(#REF!,invoice2[[#This Row],[شماره پیش فاکتور]],#REF!)</f>
        <v>#REF!</v>
      </c>
      <c r="H41" s="2" t="e">
        <f>invoice2[[#This Row],[میزان سفارش]]-invoice2[[#This Row],[حمل شده]]</f>
        <v>#REF!</v>
      </c>
      <c r="I41" s="2" t="s">
        <v>241</v>
      </c>
      <c r="J41" s="5"/>
      <c r="K41" s="5"/>
      <c r="L41" s="5"/>
      <c r="M41" s="5"/>
      <c r="N41" s="5"/>
    </row>
    <row r="42" spans="1:14" ht="18.600000000000001">
      <c r="A42" s="11" t="s">
        <v>91</v>
      </c>
      <c r="B42" s="98" t="s">
        <v>122</v>
      </c>
      <c r="C42" s="98" t="s">
        <v>148</v>
      </c>
      <c r="D42" s="11" t="s">
        <v>230</v>
      </c>
      <c r="E42" s="2">
        <v>400000</v>
      </c>
      <c r="F42" s="2">
        <v>75000</v>
      </c>
      <c r="G42" s="2" t="e">
        <f>SUMIF(#REF!,invoice2[[#This Row],[شماره پیش فاکتور]],#REF!)</f>
        <v>#REF!</v>
      </c>
      <c r="H42" s="2" t="e">
        <f>invoice2[[#This Row],[میزان سفارش]]-invoice2[[#This Row],[حمل شده]]</f>
        <v>#REF!</v>
      </c>
      <c r="I42" s="2" t="s">
        <v>243</v>
      </c>
      <c r="J42" s="5"/>
      <c r="K42" s="5"/>
      <c r="L42" s="5"/>
      <c r="M42" s="5"/>
      <c r="N42" s="5"/>
    </row>
    <row r="43" spans="1:14" ht="18.600000000000001">
      <c r="A43" s="11" t="s">
        <v>92</v>
      </c>
      <c r="B43" s="98" t="s">
        <v>256</v>
      </c>
      <c r="C43" s="98" t="s">
        <v>133</v>
      </c>
      <c r="D43" s="11" t="s">
        <v>185</v>
      </c>
      <c r="E43" s="2">
        <v>450000</v>
      </c>
      <c r="F43" s="2">
        <v>100000</v>
      </c>
      <c r="G43" s="2" t="e">
        <f>SUMIF(#REF!,invoice2[[#This Row],[شماره پیش فاکتور]],#REF!)</f>
        <v>#REF!</v>
      </c>
      <c r="H43" s="2" t="e">
        <f>invoice2[[#This Row],[میزان سفارش]]-invoice2[[#This Row],[حمل شده]]</f>
        <v>#REF!</v>
      </c>
      <c r="I43" s="2" t="s">
        <v>241</v>
      </c>
      <c r="J43" s="5"/>
      <c r="K43" s="5"/>
      <c r="L43" s="5"/>
      <c r="M43" s="5"/>
      <c r="N43" s="5"/>
    </row>
    <row r="44" spans="1:14" ht="18.600000000000001">
      <c r="A44" s="11" t="s">
        <v>93</v>
      </c>
      <c r="B44" s="98" t="s">
        <v>256</v>
      </c>
      <c r="C44" s="98" t="s">
        <v>182</v>
      </c>
      <c r="D44" s="11" t="s">
        <v>220</v>
      </c>
      <c r="E44" s="2">
        <v>120000</v>
      </c>
      <c r="F44" s="2">
        <v>75000</v>
      </c>
      <c r="G44" s="2" t="e">
        <f>SUMIF(#REF!,invoice2[[#This Row],[شماره پیش فاکتور]],#REF!)</f>
        <v>#REF!</v>
      </c>
      <c r="H44" s="2" t="e">
        <f>invoice2[[#This Row],[میزان سفارش]]-invoice2[[#This Row],[حمل شده]]</f>
        <v>#REF!</v>
      </c>
      <c r="I44" s="2" t="s">
        <v>243</v>
      </c>
      <c r="J44" s="5"/>
      <c r="K44" s="5"/>
      <c r="L44" s="5"/>
      <c r="M44" s="5"/>
      <c r="N44" s="5"/>
    </row>
    <row r="45" spans="1:14" ht="18.600000000000001">
      <c r="A45" s="11" t="s">
        <v>96</v>
      </c>
      <c r="B45" s="98" t="s">
        <v>125</v>
      </c>
      <c r="C45" s="98" t="s">
        <v>133</v>
      </c>
      <c r="D45" s="11" t="s">
        <v>185</v>
      </c>
      <c r="E45" s="2">
        <v>300000</v>
      </c>
      <c r="F45" s="2">
        <v>100000</v>
      </c>
      <c r="G45" s="2" t="e">
        <f>SUMIF(#REF!,invoice2[[#This Row],[شماره پیش فاکتور]],#REF!)</f>
        <v>#REF!</v>
      </c>
      <c r="H45" s="2" t="e">
        <f>invoice2[[#This Row],[میزان سفارش]]-invoice2[[#This Row],[حمل شده]]</f>
        <v>#REF!</v>
      </c>
      <c r="I45" s="2" t="s">
        <v>241</v>
      </c>
      <c r="J45" s="5"/>
      <c r="K45" s="5"/>
      <c r="L45" s="5"/>
      <c r="M45" s="5"/>
      <c r="N45" s="5"/>
    </row>
  </sheetData>
  <phoneticPr fontId="3" type="noConversion"/>
  <printOptions verticalCentered="1"/>
  <pageMargins left="0.2" right="0.2" top="0.25" bottom="0.25" header="0" footer="0"/>
  <pageSetup fitToHeight="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21378-5B01-4970-AE5E-033AC531D89F}">
  <sheetPr codeName="Sheet6">
    <pageSetUpPr fitToPage="1"/>
  </sheetPr>
  <dimension ref="A1:G26"/>
  <sheetViews>
    <sheetView showGridLines="0" rightToLeft="1" zoomScaleNormal="100" zoomScaleSheetLayoutView="110" workbookViewId="0">
      <pane ySplit="2" topLeftCell="A3" activePane="bottomLeft" state="frozen"/>
      <selection pane="bottomLeft" activeCell="E7" sqref="E7"/>
    </sheetView>
  </sheetViews>
  <sheetFormatPr defaultColWidth="9.296875" defaultRowHeight="21.6"/>
  <cols>
    <col min="1" max="1" width="6" style="7" bestFit="1" customWidth="1"/>
    <col min="2" max="2" width="38.296875" style="7" bestFit="1" customWidth="1"/>
    <col min="3" max="3" width="24.69921875" style="9" bestFit="1" customWidth="1"/>
    <col min="4" max="4" width="21" style="9" bestFit="1" customWidth="1"/>
    <col min="5" max="5" width="13.69921875" style="9" bestFit="1" customWidth="1"/>
    <col min="6" max="6" width="21.3984375" style="9" bestFit="1" customWidth="1"/>
    <col min="7" max="7" width="13.69921875" style="9" bestFit="1" customWidth="1"/>
    <col min="8" max="16384" width="9.296875" style="7"/>
  </cols>
  <sheetData>
    <row r="1" spans="1:7" ht="41.4" thickBot="1">
      <c r="A1" s="274" t="s">
        <v>257</v>
      </c>
      <c r="B1" s="275"/>
      <c r="C1" s="275"/>
      <c r="D1" s="275"/>
      <c r="E1" s="275"/>
      <c r="F1" s="275"/>
      <c r="G1" s="276"/>
    </row>
    <row r="2" spans="1:7" ht="24" thickBot="1">
      <c r="A2" s="92" t="s">
        <v>258</v>
      </c>
      <c r="B2" s="92" t="s">
        <v>0</v>
      </c>
      <c r="C2" s="93" t="s">
        <v>259</v>
      </c>
      <c r="D2" s="93" t="s">
        <v>260</v>
      </c>
      <c r="E2" s="93" t="s">
        <v>246</v>
      </c>
      <c r="F2" s="93" t="s">
        <v>261</v>
      </c>
      <c r="G2" s="94" t="s">
        <v>277</v>
      </c>
    </row>
    <row r="3" spans="1:7" ht="33.75" customHeight="1" thickBot="1">
      <c r="A3" s="105">
        <v>1</v>
      </c>
      <c r="B3" s="106" t="s">
        <v>98</v>
      </c>
      <c r="C3" s="107">
        <v>120000</v>
      </c>
      <c r="D3" s="108">
        <f>Table134[[#This Row],[میزان سفارش (کیلوگرم)]]*0.6</f>
        <v>72000</v>
      </c>
      <c r="E3" s="109">
        <f>Table134[[#This Row],[تحویل شش ماهه اول]]/24</f>
        <v>3000</v>
      </c>
      <c r="F3" s="108">
        <f>Table134[[#This Row],[میزان سفارش (کیلوگرم)]]*0.4</f>
        <v>48000</v>
      </c>
      <c r="G3" s="109">
        <f>Table134[[#This Row],[تحویل شش ماهه دوم]]/24</f>
        <v>2000</v>
      </c>
    </row>
    <row r="4" spans="1:7" ht="33.75" customHeight="1" thickBot="1">
      <c r="A4" s="105">
        <v>2</v>
      </c>
      <c r="B4" s="106" t="s">
        <v>100</v>
      </c>
      <c r="C4" s="107">
        <v>300000</v>
      </c>
      <c r="D4" s="108">
        <f>Table134[[#This Row],[میزان سفارش (کیلوگرم)]]*0.6</f>
        <v>180000</v>
      </c>
      <c r="E4" s="109">
        <f>Table134[[#This Row],[تحویل شش ماهه اول]]/24</f>
        <v>7500</v>
      </c>
      <c r="F4" s="108">
        <f>Table134[[#This Row],[میزان سفارش (کیلوگرم)]]*0.4</f>
        <v>120000</v>
      </c>
      <c r="G4" s="109">
        <f>Table134[[#This Row],[تحویل شش ماهه دوم]]/24</f>
        <v>5000</v>
      </c>
    </row>
    <row r="5" spans="1:7" ht="33.75" customHeight="1" thickBot="1">
      <c r="A5" s="105">
        <v>3</v>
      </c>
      <c r="B5" s="106" t="s">
        <v>101</v>
      </c>
      <c r="C5" s="107">
        <v>100000</v>
      </c>
      <c r="D5" s="108">
        <f>Table134[[#This Row],[میزان سفارش (کیلوگرم)]]*0.6</f>
        <v>60000</v>
      </c>
      <c r="E5" s="109">
        <f>Table134[[#This Row],[تحویل شش ماهه اول]]/24</f>
        <v>2500</v>
      </c>
      <c r="F5" s="108">
        <f>Table134[[#This Row],[میزان سفارش (کیلوگرم)]]*0.4</f>
        <v>40000</v>
      </c>
      <c r="G5" s="109">
        <f>Table134[[#This Row],[تحویل شش ماهه دوم]]/24</f>
        <v>1666.6666666666667</v>
      </c>
    </row>
    <row r="6" spans="1:7" ht="33.75" customHeight="1" thickBot="1">
      <c r="A6" s="105">
        <v>4</v>
      </c>
      <c r="B6" s="106" t="s">
        <v>102</v>
      </c>
      <c r="C6" s="107">
        <v>700000</v>
      </c>
      <c r="D6" s="108">
        <f>Table134[[#This Row],[میزان سفارش (کیلوگرم)]]*0.6</f>
        <v>420000</v>
      </c>
      <c r="E6" s="109">
        <f>Table134[[#This Row],[تحویل شش ماهه اول]]/24</f>
        <v>17500</v>
      </c>
      <c r="F6" s="108">
        <f>Table134[[#This Row],[میزان سفارش (کیلوگرم)]]*0.4</f>
        <v>280000</v>
      </c>
      <c r="G6" s="109">
        <f>Table134[[#This Row],[تحویل شش ماهه دوم]]/24</f>
        <v>11666.666666666666</v>
      </c>
    </row>
    <row r="7" spans="1:7" ht="33.75" customHeight="1" thickBot="1">
      <c r="A7" s="105">
        <v>5</v>
      </c>
      <c r="B7" s="106" t="s">
        <v>103</v>
      </c>
      <c r="C7" s="107">
        <v>1000000</v>
      </c>
      <c r="D7" s="108">
        <f>Table134[[#This Row],[میزان سفارش (کیلوگرم)]]*0.6</f>
        <v>600000</v>
      </c>
      <c r="E7" s="109">
        <f>Table134[[#This Row],[تحویل شش ماهه اول]]/24</f>
        <v>25000</v>
      </c>
      <c r="F7" s="108">
        <f>Table134[[#This Row],[میزان سفارش (کیلوگرم)]]*0.4</f>
        <v>400000</v>
      </c>
      <c r="G7" s="109">
        <f>Table134[[#This Row],[تحویل شش ماهه دوم]]/24</f>
        <v>16666.666666666668</v>
      </c>
    </row>
    <row r="8" spans="1:7" ht="33.75" customHeight="1" thickBot="1">
      <c r="A8" s="105">
        <v>6</v>
      </c>
      <c r="B8" s="106" t="s">
        <v>104</v>
      </c>
      <c r="C8" s="107">
        <v>780000</v>
      </c>
      <c r="D8" s="108">
        <f>Table134[[#This Row],[میزان سفارش (کیلوگرم)]]*0.6</f>
        <v>468000</v>
      </c>
      <c r="E8" s="109">
        <f>Table134[[#This Row],[تحویل شش ماهه اول]]/24</f>
        <v>19500</v>
      </c>
      <c r="F8" s="108">
        <f>Table134[[#This Row],[میزان سفارش (کیلوگرم)]]*0.4</f>
        <v>312000</v>
      </c>
      <c r="G8" s="109">
        <f>Table134[[#This Row],[تحویل شش ماهه دوم]]/24</f>
        <v>13000</v>
      </c>
    </row>
    <row r="9" spans="1:7" ht="33.75" customHeight="1" thickBot="1">
      <c r="A9" s="105">
        <v>7</v>
      </c>
      <c r="B9" s="106" t="s">
        <v>105</v>
      </c>
      <c r="C9" s="107">
        <v>600000</v>
      </c>
      <c r="D9" s="108">
        <f>Table134[[#This Row],[میزان سفارش (کیلوگرم)]]*0.6</f>
        <v>360000</v>
      </c>
      <c r="E9" s="109">
        <f>Table134[[#This Row],[تحویل شش ماهه اول]]/24</f>
        <v>15000</v>
      </c>
      <c r="F9" s="108">
        <f>Table134[[#This Row],[میزان سفارش (کیلوگرم)]]*0.4</f>
        <v>240000</v>
      </c>
      <c r="G9" s="109">
        <f>Table134[[#This Row],[تحویل شش ماهه دوم]]/24</f>
        <v>10000</v>
      </c>
    </row>
    <row r="10" spans="1:7" ht="33.75" customHeight="1" thickBot="1">
      <c r="A10" s="105">
        <v>8</v>
      </c>
      <c r="B10" s="106" t="s">
        <v>262</v>
      </c>
      <c r="C10" s="107">
        <v>2500000</v>
      </c>
      <c r="D10" s="108">
        <f>Table134[[#This Row],[میزان سفارش (کیلوگرم)]]*0.6</f>
        <v>1500000</v>
      </c>
      <c r="E10" s="109">
        <f>Table134[[#This Row],[تحویل شش ماهه اول]]/24</f>
        <v>62500</v>
      </c>
      <c r="F10" s="108">
        <f>Table134[[#This Row],[میزان سفارش (کیلوگرم)]]*0.4</f>
        <v>1000000</v>
      </c>
      <c r="G10" s="109">
        <f>Table134[[#This Row],[تحویل شش ماهه دوم]]/24</f>
        <v>41666.666666666664</v>
      </c>
    </row>
    <row r="11" spans="1:7" ht="33.75" customHeight="1" thickBot="1">
      <c r="A11" s="105">
        <v>9</v>
      </c>
      <c r="B11" s="106" t="s">
        <v>116</v>
      </c>
      <c r="C11" s="107">
        <f>1300000</f>
        <v>1300000</v>
      </c>
      <c r="D11" s="108">
        <f>Table134[[#This Row],[میزان سفارش (کیلوگرم)]]*0.6</f>
        <v>780000</v>
      </c>
      <c r="E11" s="109">
        <f>Table134[[#This Row],[تحویل شش ماهه اول]]/24</f>
        <v>32500</v>
      </c>
      <c r="F11" s="108">
        <f>Table134[[#This Row],[میزان سفارش (کیلوگرم)]]*0.4</f>
        <v>520000</v>
      </c>
      <c r="G11" s="109">
        <f>Table134[[#This Row],[تحویل شش ماهه دوم]]/24</f>
        <v>21666.666666666668</v>
      </c>
    </row>
    <row r="12" spans="1:7" ht="33.75" customHeight="1" thickBot="1">
      <c r="A12" s="105">
        <v>11</v>
      </c>
      <c r="B12" s="106" t="s">
        <v>117</v>
      </c>
      <c r="C12" s="107">
        <v>180000</v>
      </c>
      <c r="D12" s="108">
        <f>Table134[[#This Row],[میزان سفارش (کیلوگرم)]]*0.6</f>
        <v>108000</v>
      </c>
      <c r="E12" s="109">
        <f>Table134[[#This Row],[تحویل شش ماهه اول]]/24</f>
        <v>4500</v>
      </c>
      <c r="F12" s="108">
        <f>Table134[[#This Row],[میزان سفارش (کیلوگرم)]]*0.4</f>
        <v>72000</v>
      </c>
      <c r="G12" s="109">
        <f>Table134[[#This Row],[تحویل شش ماهه دوم]]/24</f>
        <v>3000</v>
      </c>
    </row>
    <row r="13" spans="1:7" ht="33.75" customHeight="1" thickBot="1">
      <c r="A13" s="105">
        <v>12</v>
      </c>
      <c r="B13" s="106" t="s">
        <v>121</v>
      </c>
      <c r="C13" s="107">
        <v>200000</v>
      </c>
      <c r="D13" s="108">
        <f>Table134[[#This Row],[میزان سفارش (کیلوگرم)]]*0.6</f>
        <v>120000</v>
      </c>
      <c r="E13" s="109">
        <f>Table134[[#This Row],[تحویل شش ماهه اول]]/24</f>
        <v>5000</v>
      </c>
      <c r="F13" s="108">
        <f>Table134[[#This Row],[میزان سفارش (کیلوگرم)]]*0.4</f>
        <v>80000</v>
      </c>
      <c r="G13" s="109">
        <f>Table134[[#This Row],[تحویل شش ماهه دوم]]/24</f>
        <v>3333.3333333333335</v>
      </c>
    </row>
    <row r="14" spans="1:7" ht="33.75" customHeight="1" thickBot="1">
      <c r="A14" s="105">
        <v>13</v>
      </c>
      <c r="B14" s="106" t="s">
        <v>122</v>
      </c>
      <c r="C14" s="107">
        <v>600000</v>
      </c>
      <c r="D14" s="108">
        <f>Table134[[#This Row],[میزان سفارش (کیلوگرم)]]*0.6</f>
        <v>360000</v>
      </c>
      <c r="E14" s="109">
        <f>Table134[[#This Row],[تحویل شش ماهه اول]]/24</f>
        <v>15000</v>
      </c>
      <c r="F14" s="108">
        <f>Table134[[#This Row],[میزان سفارش (کیلوگرم)]]*0.4</f>
        <v>240000</v>
      </c>
      <c r="G14" s="109">
        <f>Table134[[#This Row],[تحویل شش ماهه دوم]]/24</f>
        <v>10000</v>
      </c>
    </row>
    <row r="15" spans="1:7" ht="33.75" customHeight="1" thickBot="1">
      <c r="A15" s="105">
        <v>14</v>
      </c>
      <c r="B15" s="106" t="s">
        <v>256</v>
      </c>
      <c r="C15" s="107">
        <v>450000</v>
      </c>
      <c r="D15" s="108">
        <f>Table134[[#This Row],[میزان سفارش (کیلوگرم)]]*0.6</f>
        <v>270000</v>
      </c>
      <c r="E15" s="109">
        <f>Table134[[#This Row],[تحویل شش ماهه اول]]/24</f>
        <v>11250</v>
      </c>
      <c r="F15" s="108">
        <f>Table134[[#This Row],[میزان سفارش (کیلوگرم)]]*0.4</f>
        <v>180000</v>
      </c>
      <c r="G15" s="109">
        <f>Table134[[#This Row],[تحویل شش ماهه دوم]]/24</f>
        <v>7500</v>
      </c>
    </row>
    <row r="16" spans="1:7" ht="33.75" customHeight="1" thickBot="1">
      <c r="A16" s="110">
        <v>15</v>
      </c>
      <c r="B16" s="111" t="s">
        <v>125</v>
      </c>
      <c r="C16" s="112">
        <v>300000</v>
      </c>
      <c r="D16" s="113">
        <f>Table134[[#This Row],[میزان سفارش (کیلوگرم)]]*0.6</f>
        <v>180000</v>
      </c>
      <c r="E16" s="114">
        <f>Table134[[#This Row],[تحویل شش ماهه اول]]/24</f>
        <v>7500</v>
      </c>
      <c r="F16" s="113">
        <f>Table134[[#This Row],[میزان سفارش (کیلوگرم)]]*0.4</f>
        <v>120000</v>
      </c>
      <c r="G16" s="114">
        <f>Table134[[#This Row],[تحویل شش ماهه دوم]]/24</f>
        <v>5000</v>
      </c>
    </row>
    <row r="17" spans="1:7" s="8" customFormat="1" ht="40.950000000000003" customHeight="1" thickBot="1">
      <c r="A17" s="95"/>
      <c r="B17" s="96" t="s">
        <v>266</v>
      </c>
      <c r="C17" s="97">
        <f>SUBTOTAL(109,Table134[میزان سفارش (کیلوگرم)])</f>
        <v>9130000</v>
      </c>
      <c r="D17" s="97">
        <f>SUBTOTAL(109,Table134[تحویل شش ماهه اول])</f>
        <v>5478000</v>
      </c>
      <c r="E17" s="97">
        <f>SUBTOTAL(109,Table134[توزیع هفتگی])</f>
        <v>228250</v>
      </c>
      <c r="F17" s="97">
        <f>SUBTOTAL(109,Table134[تحویل شش ماهه دوم])</f>
        <v>3652000</v>
      </c>
      <c r="G17" s="97">
        <f>SUBTOTAL(109,Table134[توزیع هفتگی.])</f>
        <v>152166.66666666666</v>
      </c>
    </row>
    <row r="18" spans="1:7">
      <c r="A18" s="277" t="s">
        <v>279</v>
      </c>
      <c r="B18" s="278"/>
      <c r="C18" s="278"/>
      <c r="D18" s="278"/>
      <c r="E18" s="278"/>
      <c r="F18" s="278"/>
      <c r="G18" s="279"/>
    </row>
    <row r="19" spans="1:7">
      <c r="A19" s="280" t="s">
        <v>278</v>
      </c>
      <c r="B19" s="281"/>
      <c r="C19" s="281"/>
      <c r="D19" s="281"/>
      <c r="E19" s="281"/>
      <c r="F19" s="281"/>
      <c r="G19" s="282"/>
    </row>
    <row r="20" spans="1:7" ht="22.2" thickBot="1">
      <c r="A20" s="283" t="s">
        <v>280</v>
      </c>
      <c r="B20" s="284"/>
      <c r="C20" s="284"/>
      <c r="D20" s="284"/>
      <c r="E20" s="284"/>
      <c r="F20" s="284"/>
      <c r="G20" s="285"/>
    </row>
    <row r="21" spans="1:7">
      <c r="A21" s="9"/>
      <c r="C21" s="7"/>
      <c r="D21" s="7"/>
      <c r="E21" s="7"/>
      <c r="F21" s="7"/>
      <c r="G21" s="7"/>
    </row>
    <row r="22" spans="1:7">
      <c r="A22" s="9"/>
      <c r="C22" s="7"/>
      <c r="D22" s="7"/>
      <c r="E22" s="7"/>
      <c r="F22" s="7"/>
      <c r="G22" s="7"/>
    </row>
    <row r="23" spans="1:7">
      <c r="A23" s="9"/>
      <c r="C23" s="7"/>
      <c r="D23" s="7"/>
      <c r="E23" s="7"/>
      <c r="F23" s="7"/>
      <c r="G23" s="7"/>
    </row>
    <row r="24" spans="1:7">
      <c r="A24" s="9"/>
      <c r="C24" s="7"/>
      <c r="D24" s="7"/>
      <c r="E24" s="7"/>
      <c r="F24" s="7"/>
      <c r="G24" s="7"/>
    </row>
    <row r="25" spans="1:7">
      <c r="A25" s="9"/>
      <c r="C25" s="7"/>
      <c r="D25" s="7"/>
      <c r="E25" s="7"/>
      <c r="F25" s="7"/>
      <c r="G25" s="7"/>
    </row>
    <row r="26" spans="1:7">
      <c r="A26" s="9"/>
      <c r="C26" s="7"/>
      <c r="D26" s="7"/>
      <c r="E26" s="7"/>
      <c r="F26" s="7"/>
      <c r="G26" s="7"/>
    </row>
  </sheetData>
  <mergeCells count="4">
    <mergeCell ref="A1:G1"/>
    <mergeCell ref="A18:G18"/>
    <mergeCell ref="A19:G19"/>
    <mergeCell ref="A20:G20"/>
  </mergeCells>
  <printOptions horizontalCentered="1" verticalCentered="1"/>
  <pageMargins left="0" right="0" top="0.35" bottom="0.35" header="0.31496062992126" footer="0.31496062992126"/>
  <pageSetup scale="95" fitToHeight="0"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0D15-BA8C-460B-82A0-EB3859A28231}">
  <sheetPr codeName="Sheet7">
    <pageSetUpPr fitToPage="1"/>
  </sheetPr>
  <dimension ref="A1:R46"/>
  <sheetViews>
    <sheetView showGridLines="0" rightToLeft="1" zoomScale="110" zoomScaleNormal="110" workbookViewId="0">
      <pane ySplit="2" topLeftCell="A3" activePane="bottomLeft" state="frozen"/>
      <selection pane="bottomLeft" activeCell="J7" sqref="J7"/>
    </sheetView>
  </sheetViews>
  <sheetFormatPr defaultColWidth="10.69921875" defaultRowHeight="21.75" customHeight="1"/>
  <cols>
    <col min="1" max="1" width="11.59765625" style="1" customWidth="1"/>
    <col min="2" max="2" width="22.69921875" style="1" customWidth="1"/>
    <col min="3" max="4" width="10.69921875" style="1" hidden="1" customWidth="1"/>
    <col min="5" max="17" width="10.69921875" style="1"/>
    <col min="18" max="18" width="17.09765625" style="1" customWidth="1"/>
    <col min="19" max="16384" width="10.69921875" style="1"/>
  </cols>
  <sheetData>
    <row r="1" spans="1:18" ht="21.75" customHeight="1">
      <c r="A1" s="287" t="s">
        <v>127</v>
      </c>
      <c r="B1" s="329" t="s">
        <v>0</v>
      </c>
      <c r="C1" s="329" t="s">
        <v>267</v>
      </c>
      <c r="D1" s="287" t="s">
        <v>130</v>
      </c>
      <c r="E1" s="329" t="s">
        <v>268</v>
      </c>
      <c r="F1" s="329" t="s">
        <v>2</v>
      </c>
      <c r="G1" s="329" t="s">
        <v>248</v>
      </c>
      <c r="H1" s="329" t="s">
        <v>238</v>
      </c>
      <c r="I1" s="287" t="s">
        <v>274</v>
      </c>
      <c r="J1" s="287" t="s">
        <v>273</v>
      </c>
      <c r="K1" s="329" t="s">
        <v>238</v>
      </c>
      <c r="L1" s="340" t="s">
        <v>244</v>
      </c>
      <c r="M1" s="340" t="s">
        <v>263</v>
      </c>
      <c r="N1" s="342" t="s">
        <v>264</v>
      </c>
      <c r="O1" s="342" t="s">
        <v>263</v>
      </c>
      <c r="P1" s="331" t="s">
        <v>265</v>
      </c>
      <c r="Q1" s="332"/>
    </row>
    <row r="2" spans="1:18" ht="52.95" customHeight="1">
      <c r="A2" s="288"/>
      <c r="B2" s="330"/>
      <c r="C2" s="330"/>
      <c r="D2" s="288"/>
      <c r="E2" s="330"/>
      <c r="F2" s="330"/>
      <c r="G2" s="330"/>
      <c r="H2" s="330"/>
      <c r="I2" s="288"/>
      <c r="J2" s="288"/>
      <c r="K2" s="330"/>
      <c r="L2" s="341"/>
      <c r="M2" s="341"/>
      <c r="N2" s="342"/>
      <c r="O2" s="342"/>
      <c r="P2" s="16" t="s">
        <v>275</v>
      </c>
      <c r="Q2" s="16" t="s">
        <v>276</v>
      </c>
    </row>
    <row r="3" spans="1:18" ht="28.95" customHeight="1">
      <c r="A3" s="18" t="s">
        <v>3</v>
      </c>
      <c r="B3" s="18" t="s">
        <v>250</v>
      </c>
      <c r="C3" s="18" t="s">
        <v>131</v>
      </c>
      <c r="D3" s="18" t="s">
        <v>131</v>
      </c>
      <c r="E3" s="18">
        <v>34360</v>
      </c>
      <c r="F3" s="18">
        <v>65000</v>
      </c>
      <c r="G3" s="18">
        <v>0</v>
      </c>
      <c r="H3" s="18">
        <v>34360</v>
      </c>
      <c r="I3" s="19" t="s">
        <v>240</v>
      </c>
      <c r="J3" s="71" t="s">
        <v>272</v>
      </c>
      <c r="K3" s="334">
        <f>SUM(H3:H6)</f>
        <v>204555</v>
      </c>
      <c r="L3" s="334">
        <f>K3*0.6</f>
        <v>122733</v>
      </c>
      <c r="M3" s="334">
        <f>L3/24</f>
        <v>5113.875</v>
      </c>
      <c r="N3" s="334">
        <f>K3-L3</f>
        <v>81822</v>
      </c>
      <c r="O3" s="335">
        <f>N3/24</f>
        <v>3409.25</v>
      </c>
      <c r="P3" s="337">
        <v>5</v>
      </c>
      <c r="Q3" s="333">
        <v>3.5</v>
      </c>
    </row>
    <row r="4" spans="1:18" ht="21.75" customHeight="1">
      <c r="A4" s="18" t="s">
        <v>4</v>
      </c>
      <c r="B4" s="18" t="s">
        <v>250</v>
      </c>
      <c r="C4" s="18" t="s">
        <v>132</v>
      </c>
      <c r="D4" s="18" t="s">
        <v>169</v>
      </c>
      <c r="E4" s="18">
        <v>85900</v>
      </c>
      <c r="F4" s="18">
        <v>65000</v>
      </c>
      <c r="G4" s="18">
        <v>55705</v>
      </c>
      <c r="H4" s="18">
        <v>30195</v>
      </c>
      <c r="I4" s="19" t="s">
        <v>240</v>
      </c>
      <c r="J4" s="72" t="s">
        <v>272</v>
      </c>
      <c r="K4" s="335"/>
      <c r="L4" s="335"/>
      <c r="M4" s="335"/>
      <c r="N4" s="335"/>
      <c r="O4" s="335"/>
      <c r="P4" s="338"/>
      <c r="Q4" s="333"/>
    </row>
    <row r="5" spans="1:18" ht="21.75" customHeight="1">
      <c r="A5" s="18" t="s">
        <v>5</v>
      </c>
      <c r="B5" s="18" t="s">
        <v>250</v>
      </c>
      <c r="C5" s="18" t="s">
        <v>133</v>
      </c>
      <c r="D5" s="18" t="s">
        <v>185</v>
      </c>
      <c r="E5" s="18">
        <v>120000</v>
      </c>
      <c r="F5" s="18">
        <v>100000</v>
      </c>
      <c r="G5" s="18">
        <v>0</v>
      </c>
      <c r="H5" s="18">
        <v>120000</v>
      </c>
      <c r="I5" s="19" t="s">
        <v>241</v>
      </c>
      <c r="J5" s="72" t="str">
        <f>IF((((SUM(H5))*0.6)/24)&lt;=M3,"TRUE","FALSE")</f>
        <v>TRUE</v>
      </c>
      <c r="K5" s="335"/>
      <c r="L5" s="335"/>
      <c r="M5" s="335"/>
      <c r="N5" s="335"/>
      <c r="O5" s="335"/>
      <c r="P5" s="338"/>
      <c r="Q5" s="333"/>
    </row>
    <row r="6" spans="1:18" ht="21.75" customHeight="1">
      <c r="A6" s="18" t="s">
        <v>6</v>
      </c>
      <c r="B6" s="18" t="s">
        <v>250</v>
      </c>
      <c r="C6" s="18" t="s">
        <v>134</v>
      </c>
      <c r="D6" s="18" t="s">
        <v>233</v>
      </c>
      <c r="E6" s="18">
        <v>20000</v>
      </c>
      <c r="F6" s="18">
        <v>92180</v>
      </c>
      <c r="G6" s="18">
        <v>0</v>
      </c>
      <c r="H6" s="18">
        <v>20000</v>
      </c>
      <c r="I6" s="19" t="s">
        <v>242</v>
      </c>
      <c r="J6" s="73" t="s">
        <v>272</v>
      </c>
      <c r="K6" s="336"/>
      <c r="L6" s="336"/>
      <c r="M6" s="336"/>
      <c r="N6" s="336"/>
      <c r="O6" s="336"/>
      <c r="P6" s="339"/>
      <c r="Q6" s="333"/>
    </row>
    <row r="7" spans="1:18" ht="21.75" customHeight="1">
      <c r="A7" s="50" t="s">
        <v>12</v>
      </c>
      <c r="B7" s="50" t="s">
        <v>251</v>
      </c>
      <c r="C7" s="50" t="s">
        <v>140</v>
      </c>
      <c r="D7" s="50" t="s">
        <v>140</v>
      </c>
      <c r="E7" s="50">
        <v>1000000</v>
      </c>
      <c r="F7" s="50">
        <v>86500</v>
      </c>
      <c r="G7" s="50">
        <v>0</v>
      </c>
      <c r="H7" s="50">
        <v>1000000</v>
      </c>
      <c r="I7" s="51" t="s">
        <v>243</v>
      </c>
      <c r="J7" s="51" t="s">
        <v>272</v>
      </c>
      <c r="K7" s="52">
        <v>1000000</v>
      </c>
      <c r="L7" s="52">
        <v>432000</v>
      </c>
      <c r="M7" s="52">
        <f>L7/24</f>
        <v>18000</v>
      </c>
      <c r="N7" s="52">
        <f>K7-L7</f>
        <v>568000</v>
      </c>
      <c r="O7" s="52">
        <f>N7/24</f>
        <v>23666.666666666668</v>
      </c>
      <c r="P7" s="87">
        <v>18</v>
      </c>
      <c r="Q7" s="50">
        <v>23.7</v>
      </c>
    </row>
    <row r="8" spans="1:18" ht="21.75" customHeight="1">
      <c r="A8" s="10" t="s">
        <v>15</v>
      </c>
      <c r="B8" s="10" t="s">
        <v>100</v>
      </c>
      <c r="C8" s="10" t="s">
        <v>133</v>
      </c>
      <c r="D8" s="10" t="s">
        <v>185</v>
      </c>
      <c r="E8" s="10">
        <v>300000</v>
      </c>
      <c r="F8" s="10">
        <v>100000</v>
      </c>
      <c r="G8" s="10">
        <v>0</v>
      </c>
      <c r="H8" s="10">
        <v>300000</v>
      </c>
      <c r="I8" s="20" t="s">
        <v>241</v>
      </c>
      <c r="J8" s="20" t="str">
        <f>IF((((SUM(H8))*0.6)/24)&lt;=M8,"TRUE","FALSE")</f>
        <v>TRUE</v>
      </c>
      <c r="K8" s="21">
        <v>300000</v>
      </c>
      <c r="L8" s="21">
        <f>K8*0.6</f>
        <v>180000</v>
      </c>
      <c r="M8" s="21">
        <f>L8/24</f>
        <v>7500</v>
      </c>
      <c r="N8" s="21">
        <f>K8-L8</f>
        <v>120000</v>
      </c>
      <c r="O8" s="21">
        <f>N8/24</f>
        <v>5000</v>
      </c>
      <c r="P8" s="22">
        <v>7.5</v>
      </c>
      <c r="Q8" s="10">
        <v>5</v>
      </c>
    </row>
    <row r="9" spans="1:18" ht="21.75" customHeight="1">
      <c r="A9" s="88" t="s">
        <v>16</v>
      </c>
      <c r="B9" s="88" t="s">
        <v>101</v>
      </c>
      <c r="C9" s="88" t="s">
        <v>133</v>
      </c>
      <c r="D9" s="88" t="s">
        <v>185</v>
      </c>
      <c r="E9" s="88">
        <v>100000</v>
      </c>
      <c r="F9" s="88">
        <v>100000</v>
      </c>
      <c r="G9" s="88">
        <v>0</v>
      </c>
      <c r="H9" s="88">
        <v>100000</v>
      </c>
      <c r="I9" s="89" t="s">
        <v>241</v>
      </c>
      <c r="J9" s="90" t="str">
        <f>IF((((SUM(H9,))*0.6)/24)&lt;=M9,"TRUE","FALSE")</f>
        <v>TRUE</v>
      </c>
      <c r="K9" s="327">
        <f>SUM(H9:H10)</f>
        <v>436535</v>
      </c>
      <c r="L9" s="327">
        <v>240000</v>
      </c>
      <c r="M9" s="327">
        <f>L9/24</f>
        <v>10000</v>
      </c>
      <c r="N9" s="327">
        <f>K9-L9</f>
        <v>196535</v>
      </c>
      <c r="O9" s="327">
        <f>N9/24</f>
        <v>8188.958333333333</v>
      </c>
      <c r="P9" s="325">
        <v>10</v>
      </c>
      <c r="Q9" s="295">
        <v>8.1999999999999993</v>
      </c>
    </row>
    <row r="10" spans="1:18" ht="21.75" customHeight="1">
      <c r="A10" s="88" t="s">
        <v>19</v>
      </c>
      <c r="B10" s="88" t="s">
        <v>101</v>
      </c>
      <c r="C10" s="88" t="s">
        <v>143</v>
      </c>
      <c r="D10" s="88" t="s">
        <v>192</v>
      </c>
      <c r="E10" s="88">
        <v>500000</v>
      </c>
      <c r="F10" s="88">
        <v>75000</v>
      </c>
      <c r="G10" s="88">
        <v>163465</v>
      </c>
      <c r="H10" s="88">
        <v>336535</v>
      </c>
      <c r="I10" s="89" t="s">
        <v>243</v>
      </c>
      <c r="J10" s="91" t="s">
        <v>272</v>
      </c>
      <c r="K10" s="328"/>
      <c r="L10" s="328"/>
      <c r="M10" s="328"/>
      <c r="N10" s="328"/>
      <c r="O10" s="328"/>
      <c r="P10" s="326"/>
      <c r="Q10" s="296"/>
    </row>
    <row r="11" spans="1:18" ht="21.75" customHeight="1">
      <c r="A11" s="25" t="s">
        <v>23</v>
      </c>
      <c r="B11" s="25" t="s">
        <v>102</v>
      </c>
      <c r="C11" s="25" t="s">
        <v>133</v>
      </c>
      <c r="D11" s="25" t="s">
        <v>185</v>
      </c>
      <c r="E11" s="25">
        <v>700000</v>
      </c>
      <c r="F11" s="25">
        <v>100000</v>
      </c>
      <c r="G11" s="25">
        <v>0</v>
      </c>
      <c r="H11" s="25">
        <v>700000</v>
      </c>
      <c r="I11" s="26" t="s">
        <v>241</v>
      </c>
      <c r="J11" s="26" t="str">
        <f>IF(((H11*0.6)/24)&lt;=M11,"TRUE","FALSE")</f>
        <v>FALSE</v>
      </c>
      <c r="K11" s="27">
        <v>700000</v>
      </c>
      <c r="L11" s="27">
        <v>0</v>
      </c>
      <c r="M11" s="27">
        <v>0</v>
      </c>
      <c r="N11" s="27">
        <f>K11-L11</f>
        <v>700000</v>
      </c>
      <c r="O11" s="27">
        <f>N11/48</f>
        <v>14583.333333333334</v>
      </c>
      <c r="P11" s="28">
        <v>0</v>
      </c>
      <c r="Q11" s="25">
        <v>14.6</v>
      </c>
    </row>
    <row r="12" spans="1:18" ht="21.75" customHeight="1">
      <c r="A12" s="29" t="s">
        <v>22</v>
      </c>
      <c r="B12" s="29" t="s">
        <v>102</v>
      </c>
      <c r="C12" s="29" t="s">
        <v>144</v>
      </c>
      <c r="D12" s="29" t="s">
        <v>144</v>
      </c>
      <c r="E12" s="29">
        <v>150000</v>
      </c>
      <c r="F12" s="29">
        <v>89000</v>
      </c>
      <c r="G12" s="29">
        <v>0</v>
      </c>
      <c r="H12" s="29">
        <v>150000</v>
      </c>
      <c r="I12" s="30" t="s">
        <v>243</v>
      </c>
      <c r="J12" s="76" t="s">
        <v>272</v>
      </c>
      <c r="K12" s="297">
        <v>550585</v>
      </c>
      <c r="L12" s="297">
        <f>K12*0.6</f>
        <v>330351</v>
      </c>
      <c r="M12" s="297">
        <f>L12/24</f>
        <v>13764.625</v>
      </c>
      <c r="N12" s="297">
        <f>K12-L12</f>
        <v>220234</v>
      </c>
      <c r="O12" s="297">
        <f>N12/24</f>
        <v>9176.4166666666661</v>
      </c>
      <c r="P12" s="299">
        <v>13.7</v>
      </c>
      <c r="Q12" s="301">
        <v>9.1999999999999993</v>
      </c>
    </row>
    <row r="13" spans="1:18" ht="21.75" customHeight="1">
      <c r="A13" s="29" t="s">
        <v>24</v>
      </c>
      <c r="B13" s="29" t="s">
        <v>102</v>
      </c>
      <c r="C13" s="29" t="s">
        <v>145</v>
      </c>
      <c r="D13" s="29" t="s">
        <v>195</v>
      </c>
      <c r="E13" s="29">
        <v>500000</v>
      </c>
      <c r="F13" s="29">
        <v>70000</v>
      </c>
      <c r="G13" s="29">
        <v>99415</v>
      </c>
      <c r="H13" s="29">
        <v>400585</v>
      </c>
      <c r="I13" s="30" t="s">
        <v>243</v>
      </c>
      <c r="J13" s="77" t="s">
        <v>272</v>
      </c>
      <c r="K13" s="298"/>
      <c r="L13" s="298"/>
      <c r="M13" s="298"/>
      <c r="N13" s="298"/>
      <c r="O13" s="298"/>
      <c r="P13" s="300"/>
      <c r="Q13" s="302"/>
    </row>
    <row r="14" spans="1:18" ht="21.75" customHeight="1">
      <c r="A14" s="31" t="s">
        <v>28</v>
      </c>
      <c r="B14" s="31" t="s">
        <v>252</v>
      </c>
      <c r="C14" s="31" t="s">
        <v>133</v>
      </c>
      <c r="D14" s="31" t="s">
        <v>185</v>
      </c>
      <c r="E14" s="31">
        <v>1000000</v>
      </c>
      <c r="F14" s="31">
        <v>100000</v>
      </c>
      <c r="G14" s="31">
        <v>0</v>
      </c>
      <c r="H14" s="31">
        <v>1000000</v>
      </c>
      <c r="I14" s="32" t="s">
        <v>241</v>
      </c>
      <c r="J14" s="32" t="str">
        <f>IF((((SUM(H14))*0.6)/24)&lt;=M14,"TRUE","FALSE")</f>
        <v>FALSE</v>
      </c>
      <c r="K14" s="31">
        <v>1000000</v>
      </c>
      <c r="L14" s="31">
        <v>480000</v>
      </c>
      <c r="M14" s="31">
        <f>L14/24</f>
        <v>20000</v>
      </c>
      <c r="N14" s="31">
        <f>K14-L14</f>
        <v>520000</v>
      </c>
      <c r="O14" s="31">
        <f>N14/24</f>
        <v>21666.666666666668</v>
      </c>
      <c r="P14" s="31">
        <v>25</v>
      </c>
      <c r="Q14" s="31">
        <v>21.6</v>
      </c>
      <c r="R14" s="15"/>
    </row>
    <row r="15" spans="1:18" ht="21.75" customHeight="1">
      <c r="A15" s="31" t="s">
        <v>29</v>
      </c>
      <c r="B15" s="31" t="s">
        <v>252</v>
      </c>
      <c r="C15" s="31" t="s">
        <v>148</v>
      </c>
      <c r="D15" s="31" t="s">
        <v>198</v>
      </c>
      <c r="E15" s="31">
        <v>300000</v>
      </c>
      <c r="F15" s="31">
        <v>75000</v>
      </c>
      <c r="G15" s="31">
        <v>134105</v>
      </c>
      <c r="H15" s="31">
        <v>165895</v>
      </c>
      <c r="I15" s="32" t="s">
        <v>243</v>
      </c>
      <c r="J15" s="78" t="s">
        <v>272</v>
      </c>
      <c r="K15" s="33">
        <v>165895</v>
      </c>
      <c r="L15" s="33">
        <v>0</v>
      </c>
      <c r="M15" s="33">
        <v>0</v>
      </c>
      <c r="N15" s="33">
        <v>165895</v>
      </c>
      <c r="O15" s="33">
        <f>N15/24</f>
        <v>6912.291666666667</v>
      </c>
      <c r="P15" s="33">
        <v>0</v>
      </c>
      <c r="Q15" s="31">
        <v>7</v>
      </c>
      <c r="R15" s="15"/>
    </row>
    <row r="16" spans="1:18" ht="21.75" customHeight="1">
      <c r="A16" s="23" t="s">
        <v>34</v>
      </c>
      <c r="B16" s="23" t="s">
        <v>253</v>
      </c>
      <c r="C16" s="23" t="s">
        <v>152</v>
      </c>
      <c r="D16" s="23" t="s">
        <v>152</v>
      </c>
      <c r="E16" s="23">
        <v>50000</v>
      </c>
      <c r="F16" s="23">
        <v>66200</v>
      </c>
      <c r="G16" s="23">
        <v>0</v>
      </c>
      <c r="H16" s="23">
        <v>50000</v>
      </c>
      <c r="I16" s="24" t="s">
        <v>240</v>
      </c>
      <c r="J16" s="74" t="s">
        <v>272</v>
      </c>
      <c r="K16" s="322">
        <f>SUM(H16:H21)</f>
        <v>947120</v>
      </c>
      <c r="L16" s="322">
        <v>480000</v>
      </c>
      <c r="M16" s="322">
        <f>L16/24</f>
        <v>20000</v>
      </c>
      <c r="N16" s="322">
        <f>K16-L16</f>
        <v>467120</v>
      </c>
      <c r="O16" s="322">
        <f>N16/24</f>
        <v>19463.333333333332</v>
      </c>
      <c r="P16" s="315">
        <v>20</v>
      </c>
      <c r="Q16" s="289">
        <v>19.5</v>
      </c>
    </row>
    <row r="17" spans="1:18" ht="21.75" customHeight="1">
      <c r="A17" s="23" t="s">
        <v>35</v>
      </c>
      <c r="B17" s="23" t="s">
        <v>253</v>
      </c>
      <c r="C17" s="23" t="s">
        <v>133</v>
      </c>
      <c r="D17" s="23" t="s">
        <v>185</v>
      </c>
      <c r="E17" s="23">
        <v>180000</v>
      </c>
      <c r="F17" s="23">
        <v>100000</v>
      </c>
      <c r="G17" s="23">
        <v>0</v>
      </c>
      <c r="H17" s="23">
        <v>180000</v>
      </c>
      <c r="I17" s="24" t="s">
        <v>241</v>
      </c>
      <c r="J17" s="290" t="str">
        <f>IF((((SUM(H17:H19))*0.6)/24)&lt;=M16,"TRUE","FALSE")</f>
        <v>TRUE</v>
      </c>
      <c r="K17" s="323"/>
      <c r="L17" s="323"/>
      <c r="M17" s="323"/>
      <c r="N17" s="323"/>
      <c r="O17" s="323"/>
      <c r="P17" s="316"/>
      <c r="Q17" s="290"/>
    </row>
    <row r="18" spans="1:18" ht="21.75" customHeight="1">
      <c r="A18" s="23" t="s">
        <v>36</v>
      </c>
      <c r="B18" s="23" t="s">
        <v>253</v>
      </c>
      <c r="C18" s="23" t="s">
        <v>133</v>
      </c>
      <c r="D18" s="23" t="s">
        <v>185</v>
      </c>
      <c r="E18" s="23">
        <v>300000</v>
      </c>
      <c r="F18" s="23">
        <v>100000</v>
      </c>
      <c r="G18" s="23">
        <v>0</v>
      </c>
      <c r="H18" s="23">
        <v>300000</v>
      </c>
      <c r="I18" s="24" t="s">
        <v>241</v>
      </c>
      <c r="J18" s="290"/>
      <c r="K18" s="323"/>
      <c r="L18" s="323"/>
      <c r="M18" s="323"/>
      <c r="N18" s="323"/>
      <c r="O18" s="323"/>
      <c r="P18" s="316"/>
      <c r="Q18" s="290"/>
    </row>
    <row r="19" spans="1:18" ht="21.75" customHeight="1">
      <c r="A19" s="23" t="s">
        <v>37</v>
      </c>
      <c r="B19" s="23" t="s">
        <v>253</v>
      </c>
      <c r="C19" s="23" t="s">
        <v>152</v>
      </c>
      <c r="D19" s="23" t="s">
        <v>185</v>
      </c>
      <c r="E19" s="23">
        <v>300000</v>
      </c>
      <c r="F19" s="23">
        <v>100000</v>
      </c>
      <c r="G19" s="23">
        <v>0</v>
      </c>
      <c r="H19" s="23">
        <v>300000</v>
      </c>
      <c r="I19" s="24" t="s">
        <v>241</v>
      </c>
      <c r="J19" s="290"/>
      <c r="K19" s="323"/>
      <c r="L19" s="323"/>
      <c r="M19" s="323"/>
      <c r="N19" s="323"/>
      <c r="O19" s="323"/>
      <c r="P19" s="316"/>
      <c r="Q19" s="290"/>
    </row>
    <row r="20" spans="1:18" ht="21.75" customHeight="1">
      <c r="A20" s="23" t="s">
        <v>38</v>
      </c>
      <c r="B20" s="23" t="s">
        <v>253</v>
      </c>
      <c r="C20" s="23" t="s">
        <v>153</v>
      </c>
      <c r="D20" s="23" t="s">
        <v>153</v>
      </c>
      <c r="E20" s="23">
        <v>50000</v>
      </c>
      <c r="F20" s="23">
        <v>83800</v>
      </c>
      <c r="G20" s="23">
        <v>0</v>
      </c>
      <c r="H20" s="23">
        <v>50000</v>
      </c>
      <c r="I20" s="24" t="s">
        <v>242</v>
      </c>
      <c r="J20" s="79" t="s">
        <v>272</v>
      </c>
      <c r="K20" s="323"/>
      <c r="L20" s="323"/>
      <c r="M20" s="323"/>
      <c r="N20" s="323"/>
      <c r="O20" s="323"/>
      <c r="P20" s="316"/>
      <c r="Q20" s="290"/>
    </row>
    <row r="21" spans="1:18" ht="21.75" customHeight="1">
      <c r="A21" s="23" t="s">
        <v>39</v>
      </c>
      <c r="B21" s="23" t="s">
        <v>253</v>
      </c>
      <c r="C21" s="23" t="s">
        <v>154</v>
      </c>
      <c r="D21" s="23" t="s">
        <v>201</v>
      </c>
      <c r="E21" s="23">
        <v>85900</v>
      </c>
      <c r="F21" s="23">
        <v>65000</v>
      </c>
      <c r="G21" s="23">
        <v>18780</v>
      </c>
      <c r="H21" s="23">
        <v>67120</v>
      </c>
      <c r="I21" s="24" t="s">
        <v>240</v>
      </c>
      <c r="J21" s="75" t="s">
        <v>272</v>
      </c>
      <c r="K21" s="324"/>
      <c r="L21" s="324"/>
      <c r="M21" s="324"/>
      <c r="N21" s="324"/>
      <c r="O21" s="324"/>
      <c r="P21" s="317"/>
      <c r="Q21" s="291"/>
    </row>
    <row r="22" spans="1:18" ht="21.75" customHeight="1">
      <c r="A22" s="34" t="s">
        <v>43</v>
      </c>
      <c r="B22" s="34" t="s">
        <v>105</v>
      </c>
      <c r="C22" s="34" t="s">
        <v>133</v>
      </c>
      <c r="D22" s="34" t="s">
        <v>185</v>
      </c>
      <c r="E22" s="34">
        <v>600000</v>
      </c>
      <c r="F22" s="34">
        <v>100000</v>
      </c>
      <c r="G22" s="34">
        <v>0</v>
      </c>
      <c r="H22" s="34">
        <v>600000</v>
      </c>
      <c r="I22" s="35" t="s">
        <v>241</v>
      </c>
      <c r="J22" s="35" t="str">
        <f>IF(((H22*0.6)/24)&lt;=M22,"TRUE","FALSE")</f>
        <v>TRUE</v>
      </c>
      <c r="K22" s="36">
        <v>600000</v>
      </c>
      <c r="L22" s="36">
        <f>K22*0.6</f>
        <v>360000</v>
      </c>
      <c r="M22" s="36">
        <f>L22/24</f>
        <v>15000</v>
      </c>
      <c r="N22" s="36">
        <v>240000</v>
      </c>
      <c r="O22" s="36">
        <f>N22/24</f>
        <v>10000</v>
      </c>
      <c r="P22" s="37">
        <v>15</v>
      </c>
      <c r="Q22" s="34">
        <v>10</v>
      </c>
    </row>
    <row r="23" spans="1:18" ht="21.75" customHeight="1">
      <c r="A23" s="38" t="s">
        <v>44</v>
      </c>
      <c r="B23" s="38" t="s">
        <v>106</v>
      </c>
      <c r="C23" s="38" t="s">
        <v>157</v>
      </c>
      <c r="D23" s="38" t="s">
        <v>157</v>
      </c>
      <c r="E23" s="38">
        <v>1000000</v>
      </c>
      <c r="F23" s="38">
        <v>80000</v>
      </c>
      <c r="G23" s="38">
        <v>0</v>
      </c>
      <c r="H23" s="38">
        <v>1000000</v>
      </c>
      <c r="I23" s="39" t="s">
        <v>243</v>
      </c>
      <c r="J23" s="80" t="s">
        <v>272</v>
      </c>
      <c r="K23" s="318">
        <v>1035000</v>
      </c>
      <c r="L23" s="318">
        <v>480000</v>
      </c>
      <c r="M23" s="318">
        <f>L23/24</f>
        <v>20000</v>
      </c>
      <c r="N23" s="318">
        <f>K23-L23</f>
        <v>555000</v>
      </c>
      <c r="O23" s="318">
        <f>N23/24</f>
        <v>23125</v>
      </c>
      <c r="P23" s="320">
        <v>20</v>
      </c>
      <c r="Q23" s="292">
        <v>23</v>
      </c>
    </row>
    <row r="24" spans="1:18" ht="21.75" customHeight="1">
      <c r="A24" s="38" t="s">
        <v>45</v>
      </c>
      <c r="B24" s="38" t="s">
        <v>106</v>
      </c>
      <c r="C24" s="38" t="s">
        <v>154</v>
      </c>
      <c r="D24" s="38" t="s">
        <v>203</v>
      </c>
      <c r="E24" s="38">
        <v>300000</v>
      </c>
      <c r="F24" s="38">
        <v>80000</v>
      </c>
      <c r="G24" s="38">
        <v>249590</v>
      </c>
      <c r="H24" s="38">
        <v>35000</v>
      </c>
      <c r="I24" s="39" t="s">
        <v>243</v>
      </c>
      <c r="J24" s="81" t="s">
        <v>272</v>
      </c>
      <c r="K24" s="319"/>
      <c r="L24" s="319"/>
      <c r="M24" s="319"/>
      <c r="N24" s="319"/>
      <c r="O24" s="319"/>
      <c r="P24" s="321"/>
      <c r="Q24" s="293"/>
    </row>
    <row r="25" spans="1:18" ht="21.75" customHeight="1">
      <c r="A25" s="10" t="s">
        <v>50</v>
      </c>
      <c r="B25" s="10" t="s">
        <v>107</v>
      </c>
      <c r="C25" s="10" t="s">
        <v>145</v>
      </c>
      <c r="D25" s="10" t="s">
        <v>205</v>
      </c>
      <c r="E25" s="10">
        <v>3500000</v>
      </c>
      <c r="F25" s="10">
        <v>70000</v>
      </c>
      <c r="G25" s="10">
        <v>1591150</v>
      </c>
      <c r="H25" s="10">
        <v>1908850</v>
      </c>
      <c r="I25" s="20" t="s">
        <v>243</v>
      </c>
      <c r="J25" s="20" t="s">
        <v>272</v>
      </c>
      <c r="K25" s="21">
        <v>1908850</v>
      </c>
      <c r="L25" s="21">
        <v>912000</v>
      </c>
      <c r="M25" s="21">
        <f>L25/24</f>
        <v>38000</v>
      </c>
      <c r="N25" s="21">
        <f>K25-L25</f>
        <v>996850</v>
      </c>
      <c r="O25" s="21">
        <f>N25/24</f>
        <v>41535.416666666664</v>
      </c>
      <c r="P25" s="22">
        <v>38</v>
      </c>
      <c r="Q25" s="10">
        <v>41.5</v>
      </c>
    </row>
    <row r="26" spans="1:18" ht="21.75" customHeight="1">
      <c r="A26" s="40" t="s">
        <v>56</v>
      </c>
      <c r="B26" s="40" t="s">
        <v>109</v>
      </c>
      <c r="C26" s="40" t="s">
        <v>133</v>
      </c>
      <c r="D26" s="40" t="s">
        <v>185</v>
      </c>
      <c r="E26" s="40">
        <v>2500000</v>
      </c>
      <c r="F26" s="40">
        <v>100000</v>
      </c>
      <c r="G26" s="40">
        <v>0</v>
      </c>
      <c r="H26" s="40">
        <v>2500000</v>
      </c>
      <c r="I26" s="41" t="s">
        <v>241</v>
      </c>
      <c r="J26" s="41" t="str">
        <f>IF((((SUM(H26))*0.6)/24)&lt;=M26,"TRUE","FALSE")</f>
        <v>FALSE</v>
      </c>
      <c r="K26" s="42">
        <v>2500000</v>
      </c>
      <c r="L26" s="42">
        <v>1440000</v>
      </c>
      <c r="M26" s="42">
        <f>L26/24</f>
        <v>60000</v>
      </c>
      <c r="N26" s="42">
        <f>K26-L26</f>
        <v>1060000</v>
      </c>
      <c r="O26" s="42">
        <f>N26/24</f>
        <v>44166.666666666664</v>
      </c>
      <c r="P26" s="43">
        <v>60</v>
      </c>
      <c r="Q26" s="40">
        <v>44</v>
      </c>
    </row>
    <row r="27" spans="1:18" s="15" customFormat="1" ht="21.75" customHeight="1">
      <c r="A27" s="12" t="s">
        <v>57</v>
      </c>
      <c r="B27" s="12" t="s">
        <v>110</v>
      </c>
      <c r="C27" s="12" t="s">
        <v>163</v>
      </c>
      <c r="D27" s="12" t="s">
        <v>210</v>
      </c>
      <c r="E27" s="12">
        <v>500000</v>
      </c>
      <c r="F27" s="12">
        <v>78000</v>
      </c>
      <c r="G27" s="12">
        <v>395675</v>
      </c>
      <c r="H27" s="12">
        <v>104325</v>
      </c>
      <c r="I27" s="13" t="s">
        <v>243</v>
      </c>
      <c r="J27" s="13" t="s">
        <v>272</v>
      </c>
      <c r="K27" s="14"/>
      <c r="L27" s="14"/>
      <c r="M27" s="14"/>
      <c r="N27" s="14"/>
      <c r="O27" s="14"/>
      <c r="P27" s="17"/>
      <c r="Q27" s="12"/>
    </row>
    <row r="28" spans="1:18" ht="21.75" customHeight="1">
      <c r="A28" s="44" t="s">
        <v>61</v>
      </c>
      <c r="B28" s="44" t="s">
        <v>254</v>
      </c>
      <c r="C28" s="44" t="s">
        <v>165</v>
      </c>
      <c r="D28" s="44" t="s">
        <v>213</v>
      </c>
      <c r="E28" s="44">
        <v>1000000</v>
      </c>
      <c r="F28" s="44">
        <v>75000</v>
      </c>
      <c r="G28" s="44">
        <v>613860</v>
      </c>
      <c r="H28" s="44">
        <v>386140</v>
      </c>
      <c r="I28" s="45" t="s">
        <v>243</v>
      </c>
      <c r="J28" s="45" t="s">
        <v>272</v>
      </c>
      <c r="K28" s="46">
        <v>386140</v>
      </c>
      <c r="L28" s="46">
        <v>386140</v>
      </c>
      <c r="M28" s="46">
        <f>L28/24</f>
        <v>16089.166666666666</v>
      </c>
      <c r="N28" s="46">
        <v>0</v>
      </c>
      <c r="O28" s="46">
        <v>0</v>
      </c>
      <c r="P28" s="47">
        <v>18</v>
      </c>
      <c r="Q28" s="44">
        <v>0</v>
      </c>
      <c r="R28" s="1" t="s">
        <v>270</v>
      </c>
    </row>
    <row r="29" spans="1:18" ht="21.75" customHeight="1">
      <c r="A29" s="48" t="s">
        <v>62</v>
      </c>
      <c r="B29" s="48" t="s">
        <v>255</v>
      </c>
      <c r="C29" s="48" t="s">
        <v>166</v>
      </c>
      <c r="D29" s="48" t="s">
        <v>166</v>
      </c>
      <c r="E29" s="48">
        <v>500000</v>
      </c>
      <c r="F29" s="48">
        <v>75000</v>
      </c>
      <c r="G29" s="48">
        <v>0</v>
      </c>
      <c r="H29" s="48">
        <v>500000</v>
      </c>
      <c r="I29" s="49" t="s">
        <v>243</v>
      </c>
      <c r="J29" s="82" t="s">
        <v>272</v>
      </c>
      <c r="K29" s="305">
        <v>500945</v>
      </c>
      <c r="L29" s="305">
        <v>500945</v>
      </c>
      <c r="M29" s="305">
        <f>L29/24</f>
        <v>20872.708333333332</v>
      </c>
      <c r="N29" s="305">
        <v>0</v>
      </c>
      <c r="O29" s="305">
        <v>0</v>
      </c>
      <c r="P29" s="303">
        <v>22</v>
      </c>
      <c r="Q29" s="305">
        <v>0</v>
      </c>
      <c r="R29" s="294" t="s">
        <v>271</v>
      </c>
    </row>
    <row r="30" spans="1:18" ht="21.75" customHeight="1">
      <c r="A30" s="48" t="s">
        <v>63</v>
      </c>
      <c r="B30" s="48" t="s">
        <v>255</v>
      </c>
      <c r="C30" s="48" t="s">
        <v>160</v>
      </c>
      <c r="D30" s="48" t="s">
        <v>214</v>
      </c>
      <c r="E30" s="48">
        <v>300000</v>
      </c>
      <c r="F30" s="48">
        <v>75000</v>
      </c>
      <c r="G30" s="48">
        <v>299055</v>
      </c>
      <c r="H30" s="48">
        <v>945</v>
      </c>
      <c r="I30" s="49" t="s">
        <v>243</v>
      </c>
      <c r="J30" s="83" t="s">
        <v>272</v>
      </c>
      <c r="K30" s="306"/>
      <c r="L30" s="306"/>
      <c r="M30" s="306"/>
      <c r="N30" s="306"/>
      <c r="O30" s="306"/>
      <c r="P30" s="304"/>
      <c r="Q30" s="306"/>
      <c r="R30" s="294"/>
    </row>
    <row r="31" spans="1:18" ht="21.75" customHeight="1">
      <c r="A31" s="50" t="s">
        <v>67</v>
      </c>
      <c r="B31" s="50" t="s">
        <v>116</v>
      </c>
      <c r="C31" s="50" t="s">
        <v>169</v>
      </c>
      <c r="D31" s="50" t="s">
        <v>169</v>
      </c>
      <c r="E31" s="50">
        <v>51540</v>
      </c>
      <c r="F31" s="50">
        <v>65000</v>
      </c>
      <c r="G31" s="50">
        <v>0</v>
      </c>
      <c r="H31" s="50">
        <v>51540</v>
      </c>
      <c r="I31" s="51" t="s">
        <v>240</v>
      </c>
      <c r="J31" s="84" t="s">
        <v>272</v>
      </c>
      <c r="K31" s="310">
        <v>1837860</v>
      </c>
      <c r="L31" s="312">
        <f>K31*0.6</f>
        <v>1102716</v>
      </c>
      <c r="M31" s="312">
        <f>L31/24</f>
        <v>45946.5</v>
      </c>
      <c r="N31" s="312">
        <f>K31*0.4</f>
        <v>735144</v>
      </c>
      <c r="O31" s="312">
        <f>N31/24</f>
        <v>30631</v>
      </c>
      <c r="P31" s="307">
        <v>46</v>
      </c>
      <c r="Q31" s="310">
        <v>30.6</v>
      </c>
    </row>
    <row r="32" spans="1:18" ht="21.75" customHeight="1">
      <c r="A32" s="50" t="s">
        <v>68</v>
      </c>
      <c r="B32" s="50" t="s">
        <v>116</v>
      </c>
      <c r="C32" s="50" t="s">
        <v>133</v>
      </c>
      <c r="D32" s="50" t="s">
        <v>185</v>
      </c>
      <c r="E32" s="50">
        <v>300000</v>
      </c>
      <c r="F32" s="50">
        <v>100000</v>
      </c>
      <c r="G32" s="50">
        <v>0</v>
      </c>
      <c r="H32" s="50">
        <v>300000</v>
      </c>
      <c r="I32" s="51" t="s">
        <v>241</v>
      </c>
      <c r="J32" s="286" t="str">
        <f>IF((((SUM(H32:H33))*0.6)/24)&lt;=M31,"TRUE","FALSE")</f>
        <v>TRUE</v>
      </c>
      <c r="K32" s="286"/>
      <c r="L32" s="313"/>
      <c r="M32" s="313"/>
      <c r="N32" s="313"/>
      <c r="O32" s="313"/>
      <c r="P32" s="308"/>
      <c r="Q32" s="286"/>
    </row>
    <row r="33" spans="1:18" ht="21.75" customHeight="1">
      <c r="A33" s="50" t="s">
        <v>69</v>
      </c>
      <c r="B33" s="50" t="s">
        <v>116</v>
      </c>
      <c r="C33" s="50" t="s">
        <v>170</v>
      </c>
      <c r="D33" s="50" t="s">
        <v>185</v>
      </c>
      <c r="E33" s="50">
        <v>1000000</v>
      </c>
      <c r="F33" s="50">
        <v>100000</v>
      </c>
      <c r="G33" s="50">
        <v>0</v>
      </c>
      <c r="H33" s="50">
        <v>1000000</v>
      </c>
      <c r="I33" s="51" t="s">
        <v>241</v>
      </c>
      <c r="J33" s="286"/>
      <c r="K33" s="286"/>
      <c r="L33" s="313"/>
      <c r="M33" s="313"/>
      <c r="N33" s="313"/>
      <c r="O33" s="313"/>
      <c r="P33" s="308"/>
      <c r="Q33" s="286"/>
    </row>
    <row r="34" spans="1:18" ht="21.75" customHeight="1">
      <c r="A34" s="50" t="s">
        <v>70</v>
      </c>
      <c r="B34" s="50" t="s">
        <v>116</v>
      </c>
      <c r="C34" s="50" t="s">
        <v>134</v>
      </c>
      <c r="D34" s="50" t="s">
        <v>134</v>
      </c>
      <c r="E34" s="50">
        <v>30000</v>
      </c>
      <c r="F34" s="50">
        <v>92179</v>
      </c>
      <c r="G34" s="50">
        <v>0</v>
      </c>
      <c r="H34" s="50">
        <v>30000</v>
      </c>
      <c r="I34" s="51" t="s">
        <v>242</v>
      </c>
      <c r="J34" s="85" t="s">
        <v>272</v>
      </c>
      <c r="K34" s="286"/>
      <c r="L34" s="313"/>
      <c r="M34" s="313"/>
      <c r="N34" s="313"/>
      <c r="O34" s="313"/>
      <c r="P34" s="308"/>
      <c r="Q34" s="286"/>
    </row>
    <row r="35" spans="1:18" ht="21.75" customHeight="1">
      <c r="A35" s="50" t="s">
        <v>71</v>
      </c>
      <c r="B35" s="50" t="s">
        <v>116</v>
      </c>
      <c r="C35" s="50" t="s">
        <v>171</v>
      </c>
      <c r="D35" s="50" t="s">
        <v>171</v>
      </c>
      <c r="E35" s="50">
        <v>50000</v>
      </c>
      <c r="F35" s="50">
        <v>83800</v>
      </c>
      <c r="G35" s="50">
        <v>0</v>
      </c>
      <c r="H35" s="50">
        <v>50000</v>
      </c>
      <c r="I35" s="51" t="s">
        <v>242</v>
      </c>
      <c r="J35" s="86" t="s">
        <v>272</v>
      </c>
      <c r="K35" s="311"/>
      <c r="L35" s="314"/>
      <c r="M35" s="314"/>
      <c r="N35" s="314"/>
      <c r="O35" s="314"/>
      <c r="P35" s="309"/>
      <c r="Q35" s="311"/>
    </row>
    <row r="36" spans="1:18" ht="21.75" customHeight="1">
      <c r="A36" s="50" t="s">
        <v>77</v>
      </c>
      <c r="B36" s="50" t="s">
        <v>116</v>
      </c>
      <c r="C36" s="50" t="s">
        <v>139</v>
      </c>
      <c r="D36" s="50" t="s">
        <v>222</v>
      </c>
      <c r="E36" s="50">
        <v>3941960</v>
      </c>
      <c r="F36" s="50">
        <v>68500</v>
      </c>
      <c r="G36" s="50">
        <v>2735640</v>
      </c>
      <c r="H36" s="50">
        <v>1206320</v>
      </c>
      <c r="I36" s="51" t="s">
        <v>243</v>
      </c>
      <c r="J36" s="51" t="s">
        <v>272</v>
      </c>
      <c r="K36" s="52">
        <v>0</v>
      </c>
      <c r="L36" s="52">
        <v>0</v>
      </c>
      <c r="M36" s="52">
        <v>0</v>
      </c>
      <c r="N36" s="52">
        <v>800000</v>
      </c>
      <c r="O36" s="52">
        <v>34</v>
      </c>
      <c r="P36" s="50">
        <v>0</v>
      </c>
      <c r="Q36" s="50">
        <v>34</v>
      </c>
    </row>
    <row r="37" spans="1:18" ht="21.75" customHeight="1">
      <c r="A37" s="53" t="s">
        <v>78</v>
      </c>
      <c r="B37" s="53" t="s">
        <v>117</v>
      </c>
      <c r="C37" s="53" t="s">
        <v>133</v>
      </c>
      <c r="D37" s="53" t="s">
        <v>185</v>
      </c>
      <c r="E37" s="53">
        <v>180000</v>
      </c>
      <c r="F37" s="53">
        <v>100000</v>
      </c>
      <c r="G37" s="53">
        <v>0</v>
      </c>
      <c r="H37" s="53">
        <v>180000</v>
      </c>
      <c r="I37" s="54" t="s">
        <v>241</v>
      </c>
      <c r="J37" s="54" t="str">
        <f>IF((((SUM(I37))*0.6)/24)&lt;=M37,"TRUE","FALSE")</f>
        <v>TRUE</v>
      </c>
      <c r="K37" s="55">
        <v>180000</v>
      </c>
      <c r="L37" s="55">
        <f>K37*0.6</f>
        <v>108000</v>
      </c>
      <c r="M37" s="55">
        <f>L37/24</f>
        <v>4500</v>
      </c>
      <c r="N37" s="55">
        <f>K37*0.4</f>
        <v>72000</v>
      </c>
      <c r="O37" s="55">
        <f>N37/24</f>
        <v>3000</v>
      </c>
      <c r="P37" s="53">
        <v>4.5</v>
      </c>
      <c r="Q37" s="53">
        <v>3</v>
      </c>
    </row>
    <row r="38" spans="1:18" ht="21.75" customHeight="1">
      <c r="A38" s="53" t="s">
        <v>79</v>
      </c>
      <c r="B38" s="53" t="s">
        <v>117</v>
      </c>
      <c r="C38" s="53" t="s">
        <v>177</v>
      </c>
      <c r="D38" s="53" t="s">
        <v>223</v>
      </c>
      <c r="E38" s="53">
        <v>320000</v>
      </c>
      <c r="F38" s="53">
        <v>75000</v>
      </c>
      <c r="G38" s="53">
        <v>185035</v>
      </c>
      <c r="H38" s="53">
        <v>134965</v>
      </c>
      <c r="I38" s="54" t="s">
        <v>243</v>
      </c>
      <c r="J38" s="54" t="s">
        <v>272</v>
      </c>
      <c r="K38" s="55">
        <v>0</v>
      </c>
      <c r="L38" s="55">
        <v>0</v>
      </c>
      <c r="M38" s="55">
        <v>0</v>
      </c>
      <c r="N38" s="55">
        <v>134965</v>
      </c>
      <c r="O38" s="55">
        <f>N38/24</f>
        <v>5623.541666666667</v>
      </c>
      <c r="P38" s="53">
        <v>0</v>
      </c>
      <c r="Q38" s="53">
        <v>5.6</v>
      </c>
    </row>
    <row r="39" spans="1:18" ht="21.75" customHeight="1">
      <c r="A39" s="56" t="s">
        <v>84</v>
      </c>
      <c r="B39" s="56" t="s">
        <v>118</v>
      </c>
      <c r="C39" s="56" t="s">
        <v>139</v>
      </c>
      <c r="D39" s="56" t="s">
        <v>225</v>
      </c>
      <c r="E39" s="56">
        <v>6500000</v>
      </c>
      <c r="F39" s="56">
        <v>57273</v>
      </c>
      <c r="G39" s="56">
        <v>2681790</v>
      </c>
      <c r="H39" s="56">
        <v>3818210</v>
      </c>
      <c r="I39" s="57" t="s">
        <v>243</v>
      </c>
      <c r="J39" s="57" t="s">
        <v>272</v>
      </c>
      <c r="K39" s="58">
        <v>3818210</v>
      </c>
      <c r="L39" s="58">
        <v>3444000</v>
      </c>
      <c r="M39" s="58">
        <v>143500</v>
      </c>
      <c r="N39" s="58">
        <v>374210</v>
      </c>
      <c r="O39" s="58">
        <v>15592</v>
      </c>
      <c r="P39" s="56">
        <v>143.5</v>
      </c>
      <c r="Q39" s="56">
        <v>15.6</v>
      </c>
    </row>
    <row r="40" spans="1:18" ht="21.75" customHeight="1">
      <c r="A40" s="59" t="s">
        <v>88</v>
      </c>
      <c r="B40" s="59" t="s">
        <v>120</v>
      </c>
      <c r="C40" s="59" t="s">
        <v>181</v>
      </c>
      <c r="D40" s="59" t="s">
        <v>229</v>
      </c>
      <c r="E40" s="59">
        <v>420000</v>
      </c>
      <c r="F40" s="59">
        <v>80000</v>
      </c>
      <c r="G40" s="59">
        <v>318990</v>
      </c>
      <c r="H40" s="59">
        <v>101010</v>
      </c>
      <c r="I40" s="60" t="s">
        <v>243</v>
      </c>
      <c r="J40" s="60" t="s">
        <v>272</v>
      </c>
      <c r="K40" s="61">
        <v>101010</v>
      </c>
      <c r="L40" s="61">
        <v>101010</v>
      </c>
      <c r="M40" s="61">
        <v>18000</v>
      </c>
      <c r="N40" s="61">
        <v>0</v>
      </c>
      <c r="O40" s="61">
        <v>0</v>
      </c>
      <c r="P40" s="59">
        <v>18</v>
      </c>
      <c r="Q40" s="59">
        <v>0</v>
      </c>
      <c r="R40" s="15" t="s">
        <v>269</v>
      </c>
    </row>
    <row r="41" spans="1:18" ht="21.75" customHeight="1">
      <c r="A41" s="10" t="s">
        <v>89</v>
      </c>
      <c r="B41" s="10" t="s">
        <v>121</v>
      </c>
      <c r="C41" s="10" t="s">
        <v>133</v>
      </c>
      <c r="D41" s="10" t="s">
        <v>185</v>
      </c>
      <c r="E41" s="10">
        <v>200000</v>
      </c>
      <c r="F41" s="10">
        <v>100000</v>
      </c>
      <c r="G41" s="10">
        <v>0</v>
      </c>
      <c r="H41" s="10">
        <v>200000</v>
      </c>
      <c r="I41" s="20" t="s">
        <v>241</v>
      </c>
      <c r="J41" s="20" t="str">
        <f>IF((((SUM(H41))*0.6)/24)&lt;=M41,"TRUE","FALSE")</f>
        <v>TRUE</v>
      </c>
      <c r="K41" s="21">
        <v>200000</v>
      </c>
      <c r="L41" s="21">
        <f>K41*0.6</f>
        <v>120000</v>
      </c>
      <c r="M41" s="21">
        <f>L41/24</f>
        <v>5000</v>
      </c>
      <c r="N41" s="21">
        <f>K41*0.4</f>
        <v>80000</v>
      </c>
      <c r="O41" s="21">
        <f>N41/24</f>
        <v>3333.3333333333335</v>
      </c>
      <c r="P41" s="10">
        <v>5</v>
      </c>
      <c r="Q41" s="10">
        <v>3.4</v>
      </c>
    </row>
    <row r="42" spans="1:18" ht="21.75" customHeight="1">
      <c r="A42" s="62" t="s">
        <v>90</v>
      </c>
      <c r="B42" s="62" t="s">
        <v>122</v>
      </c>
      <c r="C42" s="62" t="s">
        <v>133</v>
      </c>
      <c r="D42" s="62" t="s">
        <v>185</v>
      </c>
      <c r="E42" s="62">
        <v>600000</v>
      </c>
      <c r="F42" s="62">
        <v>100000</v>
      </c>
      <c r="G42" s="62">
        <v>0</v>
      </c>
      <c r="H42" s="62">
        <v>600000</v>
      </c>
      <c r="I42" s="63" t="s">
        <v>241</v>
      </c>
      <c r="J42" s="63" t="str">
        <f>IF((((SUM(H42))*0.6)/24)&lt;=M42,"TRUE","FALSE")</f>
        <v>TRUE</v>
      </c>
      <c r="K42" s="64">
        <v>600000</v>
      </c>
      <c r="L42" s="64">
        <f>K42*0.6</f>
        <v>360000</v>
      </c>
      <c r="M42" s="64">
        <f>L42/24</f>
        <v>15000</v>
      </c>
      <c r="N42" s="64">
        <f>K42*0.4</f>
        <v>240000</v>
      </c>
      <c r="O42" s="64">
        <f>N42/24</f>
        <v>10000</v>
      </c>
      <c r="P42" s="62">
        <v>15</v>
      </c>
      <c r="Q42" s="62">
        <v>10</v>
      </c>
    </row>
    <row r="43" spans="1:18" ht="21.75" customHeight="1">
      <c r="A43" s="62" t="s">
        <v>91</v>
      </c>
      <c r="B43" s="62" t="s">
        <v>122</v>
      </c>
      <c r="C43" s="62" t="s">
        <v>148</v>
      </c>
      <c r="D43" s="62" t="s">
        <v>230</v>
      </c>
      <c r="E43" s="62">
        <v>400000</v>
      </c>
      <c r="F43" s="62">
        <v>75000</v>
      </c>
      <c r="G43" s="62">
        <v>290805</v>
      </c>
      <c r="H43" s="62">
        <v>109195</v>
      </c>
      <c r="I43" s="63" t="s">
        <v>243</v>
      </c>
      <c r="J43" s="63" t="s">
        <v>272</v>
      </c>
      <c r="K43" s="64">
        <v>0</v>
      </c>
      <c r="L43" s="64">
        <v>0</v>
      </c>
      <c r="M43" s="64">
        <v>0</v>
      </c>
      <c r="N43" s="64">
        <v>109195</v>
      </c>
      <c r="O43" s="64">
        <v>4550</v>
      </c>
      <c r="P43" s="62">
        <v>0</v>
      </c>
      <c r="Q43" s="62">
        <v>4.55</v>
      </c>
    </row>
    <row r="44" spans="1:18" ht="21.75" customHeight="1">
      <c r="A44" s="65" t="s">
        <v>92</v>
      </c>
      <c r="B44" s="65" t="s">
        <v>256</v>
      </c>
      <c r="C44" s="65" t="s">
        <v>133</v>
      </c>
      <c r="D44" s="65" t="s">
        <v>185</v>
      </c>
      <c r="E44" s="65">
        <v>450000</v>
      </c>
      <c r="F44" s="65">
        <v>100000</v>
      </c>
      <c r="G44" s="65">
        <v>0</v>
      </c>
      <c r="H44" s="65">
        <v>450000</v>
      </c>
      <c r="I44" s="66" t="s">
        <v>241</v>
      </c>
      <c r="J44" s="66" t="str">
        <f>IF((((SUM(H44))*0.6)/24)&lt;=M44,"TRUE","FALSE")</f>
        <v>TRUE</v>
      </c>
      <c r="K44" s="67">
        <v>450000</v>
      </c>
      <c r="L44" s="67">
        <f>K44*0.6</f>
        <v>270000</v>
      </c>
      <c r="M44" s="67">
        <f>L44/24</f>
        <v>11250</v>
      </c>
      <c r="N44" s="67">
        <f>K44*0.4</f>
        <v>180000</v>
      </c>
      <c r="O44" s="67">
        <f>N44/24</f>
        <v>7500</v>
      </c>
      <c r="P44" s="65">
        <v>11.25</v>
      </c>
      <c r="Q44" s="65">
        <v>7.5</v>
      </c>
    </row>
    <row r="45" spans="1:18" ht="21.75" customHeight="1">
      <c r="A45" s="65" t="s">
        <v>93</v>
      </c>
      <c r="B45" s="65" t="s">
        <v>256</v>
      </c>
      <c r="C45" s="65" t="s">
        <v>182</v>
      </c>
      <c r="D45" s="65" t="s">
        <v>220</v>
      </c>
      <c r="E45" s="65">
        <v>120000</v>
      </c>
      <c r="F45" s="65">
        <v>75000</v>
      </c>
      <c r="G45" s="65">
        <v>53370</v>
      </c>
      <c r="H45" s="65">
        <v>66630</v>
      </c>
      <c r="I45" s="66" t="s">
        <v>243</v>
      </c>
      <c r="J45" s="66" t="s">
        <v>272</v>
      </c>
      <c r="K45" s="67">
        <v>0</v>
      </c>
      <c r="L45" s="67">
        <v>0</v>
      </c>
      <c r="M45" s="67">
        <v>0</v>
      </c>
      <c r="N45" s="67">
        <v>66630</v>
      </c>
      <c r="O45" s="67">
        <v>2776</v>
      </c>
      <c r="P45" s="65">
        <v>0</v>
      </c>
      <c r="Q45" s="65">
        <v>2.8</v>
      </c>
    </row>
    <row r="46" spans="1:18" ht="21.75" customHeight="1">
      <c r="A46" s="68" t="s">
        <v>96</v>
      </c>
      <c r="B46" s="68" t="s">
        <v>125</v>
      </c>
      <c r="C46" s="68" t="s">
        <v>133</v>
      </c>
      <c r="D46" s="68" t="s">
        <v>185</v>
      </c>
      <c r="E46" s="68">
        <v>300000</v>
      </c>
      <c r="F46" s="68">
        <v>100000</v>
      </c>
      <c r="G46" s="68">
        <v>0</v>
      </c>
      <c r="H46" s="68">
        <v>300000</v>
      </c>
      <c r="I46" s="69" t="s">
        <v>241</v>
      </c>
      <c r="J46" s="69" t="str">
        <f>IF((((SUM(H46))*0.6)/24)&lt;=M46,"TRUE","FALSE")</f>
        <v>TRUE</v>
      </c>
      <c r="K46" s="70">
        <v>300000</v>
      </c>
      <c r="L46" s="70">
        <f>K46*0.6</f>
        <v>180000</v>
      </c>
      <c r="M46" s="70">
        <f>L46/24</f>
        <v>7500</v>
      </c>
      <c r="N46" s="70">
        <f>K46*0.4</f>
        <v>120000</v>
      </c>
      <c r="O46" s="70">
        <f>N46/24</f>
        <v>5000</v>
      </c>
      <c r="P46" s="68">
        <v>7.5</v>
      </c>
      <c r="Q46" s="68">
        <v>5</v>
      </c>
    </row>
  </sheetData>
  <autoFilter ref="A1:Q46" xr:uid="{4F210D15-BA8C-460B-82A0-EB3859A28231}">
    <filterColumn colId="15" showButton="0"/>
  </autoFilter>
  <mergeCells count="68">
    <mergeCell ref="P1:Q1"/>
    <mergeCell ref="Q3:Q6"/>
    <mergeCell ref="K3:K6"/>
    <mergeCell ref="L3:L6"/>
    <mergeCell ref="M3:M6"/>
    <mergeCell ref="N3:N6"/>
    <mergeCell ref="O3:O6"/>
    <mergeCell ref="P3:P6"/>
    <mergeCell ref="L1:L2"/>
    <mergeCell ref="M1:M2"/>
    <mergeCell ref="N1:N2"/>
    <mergeCell ref="O1:O2"/>
    <mergeCell ref="K1:K2"/>
    <mergeCell ref="I1:I2"/>
    <mergeCell ref="H1:H2"/>
    <mergeCell ref="G1:G2"/>
    <mergeCell ref="A1:A2"/>
    <mergeCell ref="B1:B2"/>
    <mergeCell ref="C1:C2"/>
    <mergeCell ref="D1:D2"/>
    <mergeCell ref="E1:E2"/>
    <mergeCell ref="F1:F2"/>
    <mergeCell ref="P9:P10"/>
    <mergeCell ref="K9:K10"/>
    <mergeCell ref="L9:L10"/>
    <mergeCell ref="M9:M10"/>
    <mergeCell ref="N9:N10"/>
    <mergeCell ref="O9:O10"/>
    <mergeCell ref="P16:P21"/>
    <mergeCell ref="K23:K24"/>
    <mergeCell ref="L23:L24"/>
    <mergeCell ref="M23:M24"/>
    <mergeCell ref="N23:N24"/>
    <mergeCell ref="O23:O24"/>
    <mergeCell ref="P23:P24"/>
    <mergeCell ref="K16:K21"/>
    <mergeCell ref="L16:L21"/>
    <mergeCell ref="M16:M21"/>
    <mergeCell ref="N16:N21"/>
    <mergeCell ref="O16:O21"/>
    <mergeCell ref="P31:P35"/>
    <mergeCell ref="Q31:Q35"/>
    <mergeCell ref="K29:K30"/>
    <mergeCell ref="L29:L30"/>
    <mergeCell ref="M29:M30"/>
    <mergeCell ref="N29:N30"/>
    <mergeCell ref="O29:O30"/>
    <mergeCell ref="K31:K35"/>
    <mergeCell ref="L31:L35"/>
    <mergeCell ref="M31:M35"/>
    <mergeCell ref="N31:N35"/>
    <mergeCell ref="O31:O35"/>
    <mergeCell ref="J32:J33"/>
    <mergeCell ref="J1:J2"/>
    <mergeCell ref="Q16:Q21"/>
    <mergeCell ref="Q23:Q24"/>
    <mergeCell ref="R29:R30"/>
    <mergeCell ref="J17:J19"/>
    <mergeCell ref="Q9:Q10"/>
    <mergeCell ref="K12:K13"/>
    <mergeCell ref="L12:L13"/>
    <mergeCell ref="M12:M13"/>
    <mergeCell ref="N12:N13"/>
    <mergeCell ref="O12:O13"/>
    <mergeCell ref="P12:P13"/>
    <mergeCell ref="Q12:Q13"/>
    <mergeCell ref="P29:P30"/>
    <mergeCell ref="Q29:Q30"/>
  </mergeCells>
  <printOptions verticalCentered="1"/>
  <pageMargins left="0.2" right="0.2" top="0.25" bottom="0.25"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item1.xml>��*'1�. ('1��1�F'E E4*1�4E'1G ~�4 A'�*H1E�2'F ('1��1� 4/GA�E'G3'DB�E* �D ('1�E��FH9 3A'14F'.'D5*'1�. ('1��1�F'E E4*1�4E'1G ~�4 A'�*H1E�2'F ('1��1� 4/GA�E'G3'DB�E* �D ('1�E��FH9 3A'14F'.'D5A�A�A�
</file>

<file path=customXml/item2.xml>��
</file>

<file path=customXml/item3.xml>��
</file>

<file path=customXml/item4.xml>��A�E�2'F ('1��1� 4/GE'F/GA�E�2'F ('1��1� 4/GE'F/G
</file>

<file path=customXml/item5.xml>��
</file>

<file path=customXml/item6.xml>��*'1�. ('1��1�F'E E4*1�4E'1G ~�4 A'�*H1E�2'F ('1��1� 4/GA�3'DE'GB�E* �D ('1�E��FH9 3A'14F'.'D5A�E�2'F ('1��1� 4/GE'F/G4E'1G ~�4 A'�*H1F'E E4*1�*'1�.*'1�. E,H2 (G1G (1/'1�E�2'F 3A'14A�-ED 4/GE'F/GFH944 E'GG 'HD*H2�9 GA*��44 E'GG /HE*H2�9 GA*��*H6�-'*4E'1G ~�4 A'�*H1F'E E4*1�*'1�.*'1�. E,H2 (G1G (1/'1�E�2'F 3A'14A�E'G3'DFH9 3A'14FH9 41�**'1�. 'FB6'�E��/15/ E(D: ~�4 /1�'A*'124 'A2H/G/15/ E�2'F ('1��1� 4/GE�2'F -ED 4/GE�2'F -ED F4/G
</file>

<file path=customXml/item7.xml>��
</file>

<file path=customXml/item8.xml>��*'1�. ('1��1�F'E E4*1�4E'1G ~�4 A'�*H1E�2'F ('1��1� 4/GA�E'G3'DE�2'F ('1��1� 4/GE�2'F ('1��1� 4/GA�A�A�A�4E'1G ~�4 A'�*H14E'1G ~�4 A'�*H14E'1G ~�4 A'�*H14E'1G ~�4 A'�*H1*'1�. ('1��1�*'1�. ('1��1�F'E E4*1�F'E E4*1�F'E E4*1�F'E E4*1�*'1�. ('1��1�*'1�. ('1��1�E�2'F ('1��1� 4/GE�2'F ('1��1� 4/GE�2'F ('1��1� 4/GE�2'F ('1��1� 4/G4E'1G ~�4 A'�*H1F'E E4*1�*'1�.*'1�. E,H2 (G1G (1/'1�E�2'F 3A'14A�E'G3'DE�2'F 3A'14E�2'F 3A'14E�2'F 3A'14E�2'F 3A'14A�A�A�A�*'1�.*'1�.4E'1G ~�4 A'�*H14E'1G ~�4 A'�*H1E�2'F 3A'14E�2'F 3A'14E�2'F 3A'14E�2'F 3A'14E�2'F 3A'14E�2'F 3A'14E�2'F 3A'14E�2'F 3A'14A�E�2'F ('1��1� 4/GE'F/G4E'1G ~�4 A'�*H1F'E E4*1�*'1�.*'1�. E,H2 (G1G (1/'1�E�2'F 3A'14A�-ED 4/GE'F/GFH944 E'GG 'HD*H2�9 GA*��44 E'GG /HE*H2�9 GA*��*H6�-'*E�2'F 3A'14E�2'F 3A'144E'1G ~�4 A'�*H14E'1G ~�4 A'�*H14E'1G ~�4 A'�*H14E'1G ~�4 A'�*H14E'1G ~�4 A'�*H14E'1G ~�4 A'�*H14E'1G ~�4 A'�*H14E'1G ~�4 A'�*H14E'1G ~�4 A'�*H14E'1G ~�4 A'�*H14E'1G ~�4 A'�*H14E'1G ~�4 A'�*H14E'1G ~�4 A'�*H14E'1G ~�4 A'�*H14E'1G ~�4 A'�*H14E'1G ~�4 A'�*H14E'1G ~�4 A'�*H14E'1G ~�4 A'�*H1*'1�. ('1��1�F'E E4*1�4E'1G ~�4 A'�*H1E�2'F ('1��1� 4/GA�E'G3'DE�2'F ('1��1� 4/GE�2'F ('1��1� 4/GA�A�A�A�4E'1G ~�4 A'�*H14E'1G ~�4 A'�*H14E'1G ~�4 A'�*H14E'1G ~�4 A'�*H1*'1�. ('1��1�*'1�. ('1��1�F'E E4*1�F'E E4*1�F'E E4*1�F'E E4*1�*'1�. ('1��1�*'1�. ('1��1�E�2'F ('1��1� 4/GE�2'F ('1��1� 4/GE�2'F ('1��1� 4/GE�2'F ('1��1� 4/G4E'1G ~�4 A'�*H1F'E E4*1�*'1�.*'1�. E,H2 (G1G (1/'1�E�2'F 3A'14A�E'G3'DE�2'F 3A'14E�2'F 3A'14E�2'F 3A'14E�2'F 3A'14A�A�A�A�*'1�.*'1�.4E'1G ~�4 A'�*H14E'1G ~�4 A'�*H1E�2'F 3A'14E�2'F 3A'14E�2'F 3A'14E�2'F 3A'14E�2'F 3A'14E�2'F 3A'14E�2'F 3A'14E�2'F 3A'14A�E�2'F ('1��1� 4/GE'F/G4E'1G ~�4 A'�*H1F'E E4*1�*'1�.*'1�. E,H2 (G1G (1/'1�E�2'F 3A'14A�-ED 4/GE'F/GFH944 E'GG 'HD*H2�9 GA*��44 E'GG /HE*H2�9 GA*��*H6�-'*E�2'F 3A'14E�2'F 3A'144E'1G ~�4 A'�*H14E'1G ~�4 A'�*H14E'1G ~�4 A'�*H14E'1G ~�4 A'�*H14E'1G ~�4 A'�*H14E'1G ~�4 A'�*H14E'1G ~�4 A'�*H14E'1G ~�4 A'�*H14E'1G ~�4 A'�*H14E'1G ~�4 A'�*H14E'1G ~�4 A'�*H14E'1G ~�4 A'�*H14E'1G ~�4 A'�*H14E'1G ~�4 A'�*H14E'1G ~�4 A'�*H14E'1G ~�4 A'�*H14E'1G ~�4 A'�*H14E'1G ~�4 A'�*H1A�E�2'F ('1��1� 4/GE'F/GA�E�2'F ('1��1� 4/GE'F/GE�2'F 3A'14E�2'F 3A'14E�2'F 3A'144E'1G ~�4 A'�*H14E'1G ~�4 A'�*H14E'1G ~�4 A'�*H1A�A�A�A�A�A�4E'1G ~�4 A'�*H1F'E E4*1�*'1�.*'1�. E,H2 (G1G (1/'1�E�2'F 3A'14A�-ED 4/GE'F/GFH944 E'GG 'HD*H2�9 GA*��44 E'GG /HE*H2�9 GA*��*H6�-'*E�2'F 3A'14E�2'F 3A'14E�2'F 3A'14E�2'F 3A'14E�2'F 3A'14E�2'F 3A'144E'1G ~�4 A'�*H14E'1G ~�4 A'�*H14E'1G ~�4 A'�*H14E'1G ~�4 A'�*H14E'1G ~�4 A'�*H14E'1G ~�4 A'�*H1A�A�A�A�A�A�A�A�A�A�A�A�E�2'F 3A'14E�2'F 3A'14E�2'F 3A'144E'1G ~�4 A'�*H14E'1G ~�4 A'�*H14E'1G ~�4 A'�*H1A�A�A�A�A�A�4E'1G ~�4 A'�*H1F'E E4*1�*'1�.*'1�. E,H2 (G1G (1/'1�E�2'F 3A'14A�-ED 4/GE'F/GFH944 E'GG 'HD*H2�9 GA*��44 E'GG /HE*H2�9 GA*��*H6�-'*E�2'F 3A'14E�2'F 3A'14E�2'F 3A'14E�2'F 3A'14E�2'F 3A'14E�2'F 3A'144E'1G ~�4 A'�*H14E'1G ~�4 A'�*H14E'1G ~�4 A'�*H14E'1G ~�4 A'�*H14E'1G ~�4 A'�*H14E'1G ~�4 A'�*H1A�A�A�A�A�A�A�A�A�A�A�A�E�2'F ('1��1� 4/GE�2'F ('1��1� 4/GE�2'F ('1��1� 4/GA�A�A�A�A�A�4E'1G ~�4 A'�*H14E'1G ~�4 A'�*H14E'1G ~�4 A'�*H14E'1G ~�4 A'�*H14E'1G ~�4 A'�*H14E'1G ~�4 A'�*H1*'1�. ('1��1�*'1�. ('1��1�*'1�. ('1��1�F'E E4*1�F'E E4*1�F'E E4*1�F'E E4*1�F'E E4*1�F'E E4*1�*'1�. ('1��1�*'1�. ('1��1�*'1�. ('1��1�E�2'F ('1��1� 4/GE�2'F ('1��1� 4/GE�2'F ('1��1� 4/GE�2'F ('1��1� 4/GE�2'F ('1��1� 4/GE�2'F ('1��1� 4/G3'D3'D3'D*'1�. ('1��1�F'E E4*1�4E'1G ~�4 A'�*H1E�2'F ('1��1� 4/GA�3'DE'GB�E* �D ('1�E��FH9 3A'14F'.'D5E�2'F ('1��1� 4/GE�2'F ('1��1� 4/GE�2'F ('1��1� 4/GE�2'F ('1��1� 4/GE�2'F ('1��1� 4/GE�2'F ('1��1� 4/GA�A�A�A�A�A�A�A�A�A�A�A�4E'1G ~�4 A'�*H14E'1G ~�4 A'�*H14E'1G ~�4 A'�*H14E'1G ~�4 A'�*H14E'1G ~�4 A'�*H14E'1G ~�4 A'�*H14E'1G ~�4 A'�*H14E'1G ~�4 A'�*H14E'1G ~�4 A'�*H14E'1G ~�4 A'�*H14E'1G ~�4 A'�*H14E'1G ~�4 A'�*H1*'1�. ('1��1�*'1�. ('1��1�*'1�. ('1��1�*'1�. ('1��1�*'1�. ('1��1�*'1�. ('1��1�F'E E4*1�F'E E4*1�F'E E4*1�F'E E4*1�F'E E4*1�F'E E4*1�F'E E4*1�F'E E4*1�F'E E4*1�F'E E4*1�F'E E4*1�F'E E4*1�*'1�. ('1��1�*'1�. ('1��1�*'1�. ('1��1�*'1�. ('1��1�*'1�. ('1��1�*'1�. ('1��1�E�2'F ('1��1� 4/GE�2'F ('1��1� 4/GE�2'F ('1��1� 4/GE�2'F ('1��1� 4/GE�2'F ('1��1� 4/GE�2'F ('1��1� 4/GE�2'F ('1��1� 4/GE�2'F ('1��1� 4/GE�2'F ('1��1� 4/GE�2'F ('1��1� 4/GE�2'F ('1��1� 4/GE�2'F ('1��1� 4/G3'D3'D3'D3'D3'D3'DE�2'F ('1��1� 4/GE�2'F ('1��1� 4/GE�2'F ('1��1� 4/GA�A�A�A�A�A�4E'1G ~�4 A'�*H14E'1G ~�4 A'�*H14E'1G ~�4 A'�*H14E'1G ~�4 A'�*H14E'1G ~�4 A'�*H14E'1G ~�4 A'�*H1*'1�. ('1��1�*'1�. ('1��1�*'1�. ('1��1�F'E E4*1�F'E E4*1�F'E E4*1�F'E E4*1�F'E E4*1�F'E E4*1�*'1�. ('1��1�*'1�. ('1��1�*'1�. ('1��1�E�2'F ('1��1� 4/GE�2'F ('1��1� 4/GE�2'F ('1��1� 4/GE�2'F ('1��1� 4/GE�2'F ('1��1� 4/GE�2'F ('1��1� 4/G3'D3'D3'D*'1�. ('1��1�F'E E4*1�4E'1G ~�4 A'�*H1E�2'F ('1��1� 4/GA�3'DE'GB�E* �D ('1�E��FH9 3A'14F'.'D5E�2'F ('1��1� 4/GE�2'F ('1��1� 4/GE�2'F ('1��1� 4/GE�2'F ('1��1� 4/GE�2'F ('1��1� 4/GE�2'F ('1��1� 4/GA�A�A�A�A�A�A�A�A�A�A�A�4E'1G ~�4 A'�*H14E'1G ~�4 A'�*H14E'1G ~�4 A'�*H14E'1G ~�4 A'�*H14E'1G ~�4 A'�*H14E'1G ~�4 A'�*H14E'1G ~�4 A'�*H14E'1G ~�4 A'�*H14E'1G ~�4 A'�*H14E'1G ~�4 A'�*H14E'1G ~�4 A'�*H14E'1G ~�4 A'�*H1*'1�. ('1��1�*'1�. ('1��1�*'1�. ('1��1�*'1�. ('1��1�*'1�. ('1��1�*'1�. ('1��1�F'E E4*1�F'E E4*1�F'E E4*1�F'E E4*1�F'E E4*1�F'E E4*1�F'E E4*1�F'E E4*1�F'E E4*1�F'E E4*1�F'E E4*1�F'E E4*1�*'1�. ('1��1�*'1�. ('1��1�*'1�. ('1��1�*'1�. ('1��1�*'1�. ('1��1�*'1�. ('1��1�E�2'F ('1��1� 4/GE�2'F ('1��1� 4/GE�2'F ('1��1� 4/GE�2'F ('1��1� 4/GE�2'F ('1��1� 4/GE�2'F ('1��1� 4/GE�2'F ('1��1� 4/GE�2'F ('1��1� 4/GE�2'F ('1��1� 4/GE�2'F ('1��1� 4/GE�2'F ('1��1� 4/GE�2'F ('1��1� 4/G3'D3'D3'D3'D3'D3'DE�2'F 3A'14E�2'F 3A'14E�2'F 3A'14E�2'F 3A'14E�2'F 3A'14E�2'F 3A'14A�A�A�A�A�A�*'1�.*'1�.*'1�.4E'1G ~�4 A'�*H14E'1G ~�4 A'�*H14E'1G ~�4 A'�*H1E�2'F 3A'14E�2'F 3A'14E�2'F 3A'14E�2'F 3A'14E�2'F 3A'14E�2'F 3A'14E�2'F 3A'14E�2'F 3A'14E�2'F 3A'14E�2'F 3A'14E�2'F 3A'14E�2'F 3A'14/15/ E�2'F ('1��1� 4/G/15/ E�2'F ('1��1� 4/G/15/ E�2'F ('1��1� 4/G4E'1G ~�4 A'�*H1F'E E4*1�*'1�.*'1�. E,H2 (G1G (1/'1�E�2'F 3A'14A�E'G3'DFH9 3A'14FH9 41�**'1�. 'FB6'�E��/15/ E(D: ~�4 /1�'A*'124 'A2H/G/15/ E�2'F ('1��1� 4/GE�2'F -ED 4/GE�2'F -ED F4/GE�2'F 3A'14E�2'F 3A'14E�2'F 3A'14E�2'F 3A'14E�2'F 3A'14E�2'F 3A'14E�2'F 3A'14E�2'F 3A'14E�2'F 3A'14E�2'F 3A'14E�2'F 3A'14E�2'F 3A'14A�A�A�A�A�A�A�A�A�A�A�A�*'1�.*'1�.*'1�.*'1�.*'1�.*'1�.4E'1G ~�4 A'�*H14E'1G ~�4 A'�*H14E'1G ~�4 A'�*H14E'1G ~�4 A'�*H14E'1G ~�4 A'�*H14E'1G ~�4 A'�*H1E�2'F 3A'14E�2'F 3A'14E�2'F 3A'14E�2'F 3A'14E�2'F 3A'14E�2'F 3A'14E�2'F 3A'14E�2'F 3A'14E�2'F 3A'14E�2'F 3A'14E�2'F 3A'14E�2'F 3A'14E�2'F 3A'14E�2'F 3A'14E�2'F 3A'14E�2'F 3A'14E�2'F 3A'14E�2'F 3A'14E�2'F 3A'14E�2'F 3A'14E�2'F 3A'14E�2'F 3A'14E�2'F 3A'14E�2'F 3A'14/15/ E�2'F ('1��1� 4/G/15/ E�2'F ('1��1� 4/G/15/ E�2'F ('1��1� 4/G/15/ E�2'F ('1��1� 4/G/15/ E�2'F ('1��1� 4/G/15/ E�2'F ('1��1� 4/GE�2'F 3A'14E�2'F 3A'14E�2'F 3A'14E�2'F 3A'14E�2'F 3A'14E�2'F 3A'14A�A�A�A�A�A�*'1�.*'1�.*'1�.4E'1G ~�4 A'�*H14E'1G ~�4 A'�*H14E'1G ~�4 A'�*H1E�2'F 3A'14E�2'F 3A'14E�2'F 3A'14E�2'F 3A'14E�2'F 3A'14E�2'F 3A'14E�2'F 3A'14E�2'F 3A'14E�2'F 3A'14E�2'F 3A'14E�2'F 3A'14E�2'F 3A'14/15/ E�2'F ('1��1� 4/G/15/ E�2'F ('1��1� 4/G/15/ E�2'F ('1��1� 4/G4E'1G ~�4 A'�*H1F'E E4*1�*'1�.*'1�. E,H2 (G1G (1/'1�E�2'F 3A'14A�E'G3'DFH9 3A'14FH9 41�**'1�. 'FB6'�E��/15/ E(D: ~�4 /1�'A*'124 'A2H/G/15/ E�2'F ('1��1� 4/GE�2'F -ED 4/GE�2'F -ED F4/GE�2'F 3A'14E�2'F 3A'14E�2'F 3A'14E�2'F 3A'14E�2'F 3A'14E�2'F 3A'14E�2'F 3A'14E�2'F 3A'14E�2'F 3A'14E�2'F 3A'14E�2'F 3A'14E�2'F 3A'14A�A�A�A�A�A�A�A�A�A�A�A�*'1�.*'1�.*'1�.*'1�.*'1�.*'1�.4E'1G ~�4 A'�*H14E'1G ~�4 A'�*H14E'1G ~�4 A'�*H14E'1G ~�4 A'�*H14E'1G ~�4 A'�*H14E'1G ~�4 A'�*H1E�2'F 3A'14E�2'F 3A'14E�2'F 3A'14E�2'F 3A'14E�2'F 3A'14E�2'F 3A'14E�2'F 3A'14E�2'F 3A'14E�2'F 3A'14E�2'F 3A'14E�2'F 3A'14E�2'F 3A'14E�2'F 3A'14E�2'F 3A'14E�2'F 3A'14E�2'F 3A'14E�2'F 3A'14E�2'F 3A'14E�2'F 3A'14E�2'F 3A'14E�2'F 3A'14E�2'F 3A'14E�2'F 3A'14E�2'F 3A'14/15/ E�2'F ('1��1� 4/G/15/ E�2'F ('1��1� 4/G/15/ E�2'F ('1��1� 4/G/15/ E�2'F ('1��1� 4/G/15/ E�2'F ('1��1� 4/G/15/ E�2'F ('1��1� 4/G
</file>

<file path=customXml/item9.xml>��
</file>

<file path=customXml/item10.xml>��4E'1G ~�4 A'�*H1F'E E4*1�*'1�.*'1�. E,H2 (G1G (1/'1�E�2'F 3A'14A�E'G3'DFH9 3A'14FH9 41�**'1�. 'FB6'�E��/15/ E(D: ~�4 /1�'A*'124 'A2H/G/15/ E�2'F ('1��1� 4/GE�2'F -ED 4/GE�2'F -ED F4/G4E'1G ~�4 A'�*H1F'E E4*1�*'1�.*'1�. E,H2 (G1G (1/'1�E�2'F 3A'14A�E'G3'DFH9 3A'14FH9 41�**'1�. 'FB6'�E��/15/ E(D: ~�4 /1�'A*'124 'A2H/G/15/ E�2'F ('1��1� 4/GE�2'F -ED 4/GE�2'F -ED F4/G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��4E'1G ~�4 A'�*H1F'E E4*1�*'1�.*'1�. E,H2 (G1G (1/'1�E�2'F 3A'14A�-ED 4/GE'F/GFH944 E'GG 'HD*H2�9 GA*��44 E'GG /HE*H2�9 GA*��*H6�-'*4E'1G ~�4 A'�*H1F'E E4*1�*'1�.*'1�. E,H2 (G1G (1/'1�E�2'F 3A'14A�-ED 4/GE'F/GFH944 E'GG 'HD*H2�9 GA*��44 E'GG /HE*H2�9 GA*��*H6�-'*
</file>

<file path=customXml/item22.xml>��
</file>

<file path=customXml/itemProps1.xml><?xml version="1.0" encoding="utf-8"?>
<ds:datastoreItem xmlns:ds="http://schemas.openxmlformats.org/officeDocument/2006/customXml" ds:itemID="{65DD4D84-1D3F-4EBF-AF4C-50DA376DF794}">
  <ds:schemaRefs/>
</ds:datastoreItem>
</file>

<file path=customXml/itemProps2.xml><?xml version="1.0" encoding="utf-8"?>
<ds:datastoreItem xmlns:ds="http://schemas.openxmlformats.org/officeDocument/2006/customXml" ds:itemID="{0E0EFEDD-65A1-4886-A4DB-F089A7A8C470}">
  <ds:schemaRefs/>
</ds:datastoreItem>
</file>

<file path=customXml/itemProps3.xml><?xml version="1.0" encoding="utf-8"?>
<ds:datastoreItem xmlns:ds="http://schemas.openxmlformats.org/officeDocument/2006/customXml" ds:itemID="{9755573F-DC31-4FB4-A77A-F345A042F82A}">
  <ds:schemaRefs/>
</ds:datastoreItem>
</file>

<file path=customXml/itemProps4.xml><?xml version="1.0" encoding="utf-8"?>
<ds:datastoreItem xmlns:ds="http://schemas.openxmlformats.org/officeDocument/2006/customXml" ds:itemID="{443D0EA1-14CD-40E5-AF1E-6044EE2CCBF1}">
  <ds:schemaRefs/>
</ds:datastoreItem>
</file>

<file path=customXml/itemProps5.xml><?xml version="1.0" encoding="utf-8"?>
<ds:datastoreItem xmlns:ds="http://schemas.openxmlformats.org/officeDocument/2006/customXml" ds:itemID="{25C78DA0-0758-4A85-8CF8-19523B5B038F}">
  <ds:schemaRefs/>
</ds:datastoreItem>
</file>

<file path=customXml/itemProps6.xml><?xml version="1.0" encoding="utf-8"?>
<ds:datastoreItem xmlns:ds="http://schemas.openxmlformats.org/officeDocument/2006/customXml" ds:itemID="{D4C9E83C-8A32-4F42-AEE0-5C39DE17D14D}">
  <ds:schemaRefs/>
</ds:datastoreItem>
</file>

<file path=customXml/itemProps7.xml><?xml version="1.0" encoding="utf-8"?>
<ds:datastoreItem xmlns:ds="http://schemas.openxmlformats.org/officeDocument/2006/customXml" ds:itemID="{97E3BC7B-908E-4D5A-8BA8-CAB3BC6D3AFA}">
  <ds:schemaRefs/>
</ds:datastoreItem>
</file>

<file path=customXml/itemProps8.xml><?xml version="1.0" encoding="utf-8"?>
<ds:datastoreItem xmlns:ds="http://schemas.openxmlformats.org/officeDocument/2006/customXml" ds:itemID="{B552F7CE-98E3-499C-9E38-4FFE5F2CECBC}">
  <ds:schemaRefs/>
</ds:datastoreItem>
</file>

<file path=customXml/itemProps9.xml><?xml version="1.0" encoding="utf-8"?>
<ds:datastoreItem xmlns:ds="http://schemas.openxmlformats.org/officeDocument/2006/customXml" ds:itemID="{5263D718-3C3A-4EDA-B920-73657B65656F}">
  <ds:schemaRefs/>
</ds:datastoreItem>
</file>

<file path=customXml/itemProps10.xml><?xml version="1.0" encoding="utf-8"?>
<ds:datastoreItem xmlns:ds="http://schemas.openxmlformats.org/officeDocument/2006/customXml" ds:itemID="{B6804194-0520-4061-B4E0-65B810B66B1B}">
  <ds:schemaRefs/>
</ds:datastoreItem>
</file>

<file path=customXml/itemProps11.xml><?xml version="1.0" encoding="utf-8"?>
<ds:datastoreItem xmlns:ds="http://schemas.openxmlformats.org/officeDocument/2006/customXml" ds:itemID="{0457A87A-EEC0-4A7C-9E0B-08C6B381D5AC}">
  <ds:schemaRefs/>
</ds:datastoreItem>
</file>

<file path=customXml/itemProps12.xml><?xml version="1.0" encoding="utf-8"?>
<ds:datastoreItem xmlns:ds="http://schemas.openxmlformats.org/officeDocument/2006/customXml" ds:itemID="{BE4DD9B4-89CE-4090-85A5-380806080663}">
  <ds:schemaRefs/>
</ds:datastoreItem>
</file>

<file path=customXml/itemProps13.xml><?xml version="1.0" encoding="utf-8"?>
<ds:datastoreItem xmlns:ds="http://schemas.openxmlformats.org/officeDocument/2006/customXml" ds:itemID="{BB3C65AE-DB2E-4E89-800E-7C4D814ECF97}">
  <ds:schemaRefs/>
</ds:datastoreItem>
</file>

<file path=customXml/itemProps14.xml><?xml version="1.0" encoding="utf-8"?>
<ds:datastoreItem xmlns:ds="http://schemas.openxmlformats.org/officeDocument/2006/customXml" ds:itemID="{20748435-21AF-4A1D-B1C8-F1728CFC5882}">
  <ds:schemaRefs/>
</ds:datastoreItem>
</file>

<file path=customXml/itemProps15.xml><?xml version="1.0" encoding="utf-8"?>
<ds:datastoreItem xmlns:ds="http://schemas.openxmlformats.org/officeDocument/2006/customXml" ds:itemID="{C1F1D744-ADBB-4280-BDA7-BB3DF61B19B3}">
  <ds:schemaRefs/>
</ds:datastoreItem>
</file>

<file path=customXml/itemProps16.xml><?xml version="1.0" encoding="utf-8"?>
<ds:datastoreItem xmlns:ds="http://schemas.openxmlformats.org/officeDocument/2006/customXml" ds:itemID="{7D50B254-86D7-45EA-A5AD-5F10D36BB1ED}">
  <ds:schemaRefs/>
</ds:datastoreItem>
</file>

<file path=customXml/itemProps17.xml><?xml version="1.0" encoding="utf-8"?>
<ds:datastoreItem xmlns:ds="http://schemas.openxmlformats.org/officeDocument/2006/customXml" ds:itemID="{23CEAC43-932C-468D-BD3A-D261F4CA77A0}">
  <ds:schemaRefs/>
</ds:datastoreItem>
</file>

<file path=customXml/itemProps18.xml><?xml version="1.0" encoding="utf-8"?>
<ds:datastoreItem xmlns:ds="http://schemas.openxmlformats.org/officeDocument/2006/customXml" ds:itemID="{8CBBD011-F0BD-420F-92E6-CAFD62A01AF0}">
  <ds:schemaRefs/>
</ds:datastoreItem>
</file>

<file path=customXml/itemProps19.xml><?xml version="1.0" encoding="utf-8"?>
<ds:datastoreItem xmlns:ds="http://schemas.openxmlformats.org/officeDocument/2006/customXml" ds:itemID="{54677C93-1208-478B-A780-E8A1F89A0C6D}">
  <ds:schemaRefs/>
</ds:datastoreItem>
</file>

<file path=customXml/itemProps20.xml><?xml version="1.0" encoding="utf-8"?>
<ds:datastoreItem xmlns:ds="http://schemas.openxmlformats.org/officeDocument/2006/customXml" ds:itemID="{6977F71D-30C1-4145-89CA-8446AE8368BB}">
  <ds:schemaRefs/>
</ds:datastoreItem>
</file>

<file path=customXml/itemProps21.xml><?xml version="1.0" encoding="utf-8"?>
<ds:datastoreItem xmlns:ds="http://schemas.openxmlformats.org/officeDocument/2006/customXml" ds:itemID="{8BB1A174-1C1D-4E4B-B222-87DDAE127C38}">
  <ds:schemaRefs/>
</ds:datastoreItem>
</file>

<file path=customXml/itemProps22.xml><?xml version="1.0" encoding="utf-8"?>
<ds:datastoreItem xmlns:ds="http://schemas.openxmlformats.org/officeDocument/2006/customXml" ds:itemID="{F2E64851-2FB7-458B-ADC8-47B880B929E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Report Dashboard</vt:lpstr>
      <vt:lpstr>Sheet2</vt:lpstr>
      <vt:lpstr>calc</vt:lpstr>
      <vt:lpstr>جزییات بارگیری</vt:lpstr>
      <vt:lpstr>عرضه بورس</vt:lpstr>
      <vt:lpstr>Sheet1</vt:lpstr>
      <vt:lpstr>لیست پیش فاکتور ها</vt:lpstr>
      <vt:lpstr>زمانبندی فروش</vt:lpstr>
      <vt:lpstr>فروش انجمن</vt:lpstr>
      <vt:lpstr>زمانبندی فروش (2)</vt:lpstr>
      <vt:lpstr>Sheet1!Print_Area</vt:lpstr>
      <vt:lpstr>'فروش انجمن'!Print_Area</vt:lpstr>
      <vt:lpstr>'زمانبندی فروش'!Print_Titles</vt:lpstr>
      <vt:lpstr>'زمانبندی فروش (2)'!Print_Titles</vt:lpstr>
      <vt:lpstr>'فروش انجمن'!Print_Titles</vt:lpstr>
      <vt:lpstr>year</vt:lpstr>
      <vt:lpstr>years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dc:creator>
  <cp:lastModifiedBy>Akram Faraji</cp:lastModifiedBy>
  <cp:lastPrinted>2026-05-21T11:43:50Z</cp:lastPrinted>
  <dcterms:created xsi:type="dcterms:W3CDTF">2025-03-30T17:52:23Z</dcterms:created>
  <dcterms:modified xsi:type="dcterms:W3CDTF">2026-10-08T04:15:33Z</dcterms:modified>
</cp:coreProperties>
</file>