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mad\Uni\مدیریت مالی\"/>
    </mc:Choice>
  </mc:AlternateContent>
  <xr:revisionPtr revIDLastSave="0" documentId="13_ncr:1_{387F2422-2CA0-4FA4-B0DF-FBF4C1914602}" xr6:coauthVersionLast="47" xr6:coauthVersionMax="47" xr10:uidLastSave="{00000000-0000-0000-0000-000000000000}"/>
  <bookViews>
    <workbookView xWindow="-120" yWindow="-120" windowWidth="20730" windowHeight="11160" xr2:uid="{51B9E87F-0BCF-4D70-B58C-2F922A8AB95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0" i="1" l="1"/>
  <c r="G217" i="1"/>
  <c r="G215" i="1"/>
  <c r="G204" i="1"/>
  <c r="G198" i="1"/>
  <c r="G197" i="1"/>
  <c r="E6" i="2"/>
  <c r="F6" i="2" s="1"/>
  <c r="F8" i="2" s="1"/>
  <c r="F5" i="2"/>
  <c r="G189" i="1"/>
  <c r="D25" i="1"/>
  <c r="E25" i="1"/>
  <c r="F25" i="1"/>
  <c r="C25" i="1"/>
  <c r="G190" i="1" l="1"/>
  <c r="G188" i="1"/>
  <c r="G177" i="1"/>
  <c r="G186" i="1"/>
  <c r="G185" i="1"/>
  <c r="G178" i="1"/>
  <c r="G176" i="1"/>
  <c r="G175" i="1"/>
  <c r="G174" i="1"/>
  <c r="G160" i="1"/>
  <c r="G122" i="1"/>
  <c r="C109" i="1"/>
  <c r="D109" i="1"/>
  <c r="E109" i="1"/>
  <c r="F109" i="1"/>
  <c r="G74" i="1"/>
  <c r="G67" i="1"/>
  <c r="G47" i="1"/>
  <c r="G84" i="1" s="1"/>
  <c r="G36" i="1"/>
  <c r="P29" i="1"/>
  <c r="F29" i="1"/>
  <c r="E29" i="1"/>
  <c r="D29" i="1"/>
  <c r="C29" i="1"/>
  <c r="S29" i="1"/>
  <c r="M28" i="1"/>
  <c r="M29" i="1"/>
  <c r="M30" i="1"/>
  <c r="O29" i="1"/>
  <c r="O30" i="1"/>
  <c r="O28" i="1"/>
  <c r="C20" i="1"/>
  <c r="D20" i="1"/>
  <c r="E20" i="1"/>
  <c r="F20" i="1"/>
  <c r="G20" i="1"/>
  <c r="B20" i="1"/>
  <c r="E223" i="1"/>
  <c r="C218" i="1"/>
  <c r="D218" i="1"/>
  <c r="F218" i="1"/>
  <c r="G218" i="1"/>
  <c r="E218" i="1"/>
  <c r="E11" i="1" s="1"/>
  <c r="D223" i="1"/>
  <c r="F223" i="1"/>
  <c r="G223" i="1"/>
  <c r="C223" i="1"/>
  <c r="B208" i="1"/>
  <c r="C208" i="1"/>
  <c r="C8" i="1" s="1"/>
  <c r="D208" i="1"/>
  <c r="D8" i="1" s="1"/>
  <c r="E208" i="1"/>
  <c r="E8" i="1" s="1"/>
  <c r="G208" i="1"/>
  <c r="G8" i="1" s="1"/>
  <c r="F208" i="1"/>
  <c r="F8" i="1" s="1"/>
  <c r="D200" i="1"/>
  <c r="D7" i="1" s="1"/>
  <c r="E200" i="1"/>
  <c r="E7" i="1" s="1"/>
  <c r="F200" i="1"/>
  <c r="F7" i="1" s="1"/>
  <c r="G200" i="1"/>
  <c r="G7" i="1" s="1"/>
  <c r="C200" i="1"/>
  <c r="C7" i="1" s="1"/>
  <c r="B191" i="1"/>
  <c r="C191" i="1"/>
  <c r="C6" i="1" s="1"/>
  <c r="D191" i="1"/>
  <c r="D6" i="1" s="1"/>
  <c r="F191" i="1"/>
  <c r="F6" i="1" s="1"/>
  <c r="E191" i="1"/>
  <c r="E6" i="1" s="1"/>
  <c r="C180" i="1"/>
  <c r="C161" i="1" s="1"/>
  <c r="D180" i="1"/>
  <c r="D161" i="1" s="1"/>
  <c r="E180" i="1"/>
  <c r="E161" i="1" s="1"/>
  <c r="G180" i="1"/>
  <c r="G161" i="1" s="1"/>
  <c r="F180" i="1"/>
  <c r="F161" i="1" s="1"/>
  <c r="A173" i="1"/>
  <c r="A184" i="1" s="1"/>
  <c r="A195" i="1" s="1"/>
  <c r="A212" i="1" s="1"/>
  <c r="H47" i="1" l="1"/>
  <c r="G26" i="1"/>
  <c r="G191" i="1"/>
  <c r="G6" i="1" s="1"/>
  <c r="N29" i="1"/>
  <c r="L29" i="1"/>
  <c r="G11" i="1"/>
  <c r="C11" i="1"/>
  <c r="D11" i="1"/>
  <c r="F11" i="1"/>
  <c r="F37" i="1"/>
  <c r="E37" i="1"/>
  <c r="E105" i="1" s="1"/>
  <c r="D97" i="1"/>
  <c r="E97" i="1"/>
  <c r="F97" i="1"/>
  <c r="D74" i="1"/>
  <c r="D23" i="1" s="1"/>
  <c r="E74" i="1"/>
  <c r="E23" i="1" s="1"/>
  <c r="F74" i="1"/>
  <c r="F23" i="1" s="1"/>
  <c r="D53" i="1"/>
  <c r="E53" i="1"/>
  <c r="F53" i="1"/>
  <c r="D60" i="1"/>
  <c r="E60" i="1"/>
  <c r="F60" i="1"/>
  <c r="D37" i="1"/>
  <c r="D122" i="1"/>
  <c r="D26" i="1" s="1"/>
  <c r="D27" i="1" s="1"/>
  <c r="E122" i="1"/>
  <c r="E26" i="1" s="1"/>
  <c r="E27" i="1" s="1"/>
  <c r="F122" i="1"/>
  <c r="F26" i="1" s="1"/>
  <c r="F27" i="1" s="1"/>
  <c r="C122" i="1"/>
  <c r="C26" i="1" s="1"/>
  <c r="C27" i="1" s="1"/>
  <c r="G153" i="1"/>
  <c r="F153" i="1"/>
  <c r="E153" i="1"/>
  <c r="D153" i="1"/>
  <c r="C153" i="1"/>
  <c r="F146" i="1"/>
  <c r="E146" i="1"/>
  <c r="D146" i="1"/>
  <c r="C146" i="1"/>
  <c r="G116" i="1"/>
  <c r="F116" i="1"/>
  <c r="E116" i="1"/>
  <c r="D116" i="1"/>
  <c r="C116" i="1"/>
  <c r="C74" i="1"/>
  <c r="C23" i="1" s="1"/>
  <c r="D67" i="1"/>
  <c r="D24" i="1" s="1"/>
  <c r="E67" i="1"/>
  <c r="E24" i="1" s="1"/>
  <c r="F67" i="1"/>
  <c r="F24" i="1" s="1"/>
  <c r="D66" i="1"/>
  <c r="E66" i="1"/>
  <c r="F66" i="1"/>
  <c r="C67" i="1"/>
  <c r="C66" i="1"/>
  <c r="C97" i="1"/>
  <c r="C90" i="1"/>
  <c r="F90" i="1"/>
  <c r="E90" i="1"/>
  <c r="D90" i="1"/>
  <c r="C60" i="1"/>
  <c r="C53" i="1"/>
  <c r="C54" i="1"/>
  <c r="D54" i="1"/>
  <c r="E54" i="1"/>
  <c r="F54" i="1"/>
  <c r="G54" i="1"/>
  <c r="B54" i="1"/>
  <c r="B46" i="1"/>
  <c r="B65" i="1" s="1"/>
  <c r="B73" i="1" s="1"/>
  <c r="B83" i="1" s="1"/>
  <c r="B91" i="1" s="1"/>
  <c r="C46" i="1"/>
  <c r="C65" i="1" s="1"/>
  <c r="C73" i="1" s="1"/>
  <c r="C83" i="1" s="1"/>
  <c r="C91" i="1" s="1"/>
  <c r="D46" i="1"/>
  <c r="D65" i="1" s="1"/>
  <c r="D73" i="1" s="1"/>
  <c r="D83" i="1" s="1"/>
  <c r="D91" i="1" s="1"/>
  <c r="E46" i="1"/>
  <c r="E65" i="1" s="1"/>
  <c r="E73" i="1" s="1"/>
  <c r="E83" i="1" s="1"/>
  <c r="E91" i="1" s="1"/>
  <c r="F46" i="1"/>
  <c r="F65" i="1" s="1"/>
  <c r="F73" i="1" s="1"/>
  <c r="F83" i="1" s="1"/>
  <c r="F91" i="1" s="1"/>
  <c r="G46" i="1"/>
  <c r="G65" i="1" s="1"/>
  <c r="G73" i="1" s="1"/>
  <c r="G83" i="1" s="1"/>
  <c r="G91" i="1" s="1"/>
  <c r="C37" i="1"/>
  <c r="G35" i="1"/>
  <c r="F35" i="1"/>
  <c r="E35" i="1"/>
  <c r="D35" i="1"/>
  <c r="C35" i="1"/>
  <c r="E42" i="1" l="1"/>
  <c r="C42" i="1"/>
  <c r="C105" i="1"/>
  <c r="C117" i="1" s="1"/>
  <c r="C24" i="1"/>
  <c r="D42" i="1"/>
  <c r="D105" i="1"/>
  <c r="F42" i="1"/>
  <c r="G37" i="1"/>
  <c r="G42" i="1" s="1"/>
  <c r="H55" i="1"/>
  <c r="H48" i="1"/>
  <c r="F105" i="1"/>
  <c r="D61" i="1"/>
  <c r="F98" i="1"/>
  <c r="F3" i="1" s="1"/>
  <c r="C98" i="1"/>
  <c r="C3" i="1" s="1"/>
  <c r="C61" i="1"/>
  <c r="D98" i="1"/>
  <c r="D3" i="1" s="1"/>
  <c r="F121" i="1"/>
  <c r="F139" i="1" s="1"/>
  <c r="F110" i="1"/>
  <c r="F129" i="1"/>
  <c r="F102" i="1"/>
  <c r="B121" i="1"/>
  <c r="B139" i="1" s="1"/>
  <c r="B110" i="1"/>
  <c r="B129" i="1"/>
  <c r="B102" i="1"/>
  <c r="E102" i="1"/>
  <c r="E121" i="1"/>
  <c r="E139" i="1" s="1"/>
  <c r="E110" i="1"/>
  <c r="E129" i="1"/>
  <c r="D129" i="1"/>
  <c r="D110" i="1"/>
  <c r="D102" i="1"/>
  <c r="D121" i="1"/>
  <c r="D139" i="1" s="1"/>
  <c r="G121" i="1"/>
  <c r="G139" i="1" s="1"/>
  <c r="G129" i="1"/>
  <c r="G102" i="1"/>
  <c r="G110" i="1"/>
  <c r="C102" i="1"/>
  <c r="C110" i="1"/>
  <c r="C129" i="1"/>
  <c r="C121" i="1"/>
  <c r="C139" i="1" s="1"/>
  <c r="D154" i="1"/>
  <c r="D159" i="1" s="1"/>
  <c r="D162" i="1" s="1"/>
  <c r="D164" i="1" s="1"/>
  <c r="D166" i="1" s="1"/>
  <c r="D169" i="1" s="1"/>
  <c r="D4" i="1" s="1"/>
  <c r="E98" i="1"/>
  <c r="E3" i="1" s="1"/>
  <c r="E117" i="1"/>
  <c r="F117" i="1"/>
  <c r="E61" i="1"/>
  <c r="F61" i="1"/>
  <c r="E154" i="1"/>
  <c r="E159" i="1" s="1"/>
  <c r="E162" i="1" s="1"/>
  <c r="E164" i="1" s="1"/>
  <c r="F154" i="1"/>
  <c r="F159" i="1" s="1"/>
  <c r="F162" i="1" s="1"/>
  <c r="F164" i="1" s="1"/>
  <c r="C154" i="1"/>
  <c r="C159" i="1" s="1"/>
  <c r="C162" i="1" s="1"/>
  <c r="C164" i="1" s="1"/>
  <c r="C166" i="1" s="1"/>
  <c r="C169" i="1" s="1"/>
  <c r="C4" i="1" s="1"/>
  <c r="D117" i="1" l="1"/>
  <c r="G105" i="1"/>
  <c r="G103" i="1" s="1"/>
  <c r="G48" i="1"/>
  <c r="G55" i="1"/>
  <c r="D5" i="1"/>
  <c r="D9" i="1" s="1"/>
  <c r="D12" i="1" s="1"/>
  <c r="D14" i="1" s="1"/>
  <c r="D15" i="1" s="1"/>
  <c r="C5" i="1"/>
  <c r="C9" i="1" s="1"/>
  <c r="C12" i="1" s="1"/>
  <c r="C14" i="1" s="1"/>
  <c r="C15" i="1" s="1"/>
  <c r="E147" i="1"/>
  <c r="E158" i="1"/>
  <c r="E173" i="1" s="1"/>
  <c r="E184" i="1" s="1"/>
  <c r="E195" i="1" s="1"/>
  <c r="E212" i="1" s="1"/>
  <c r="D147" i="1"/>
  <c r="D158" i="1"/>
  <c r="D173" i="1" s="1"/>
  <c r="D184" i="1" s="1"/>
  <c r="D195" i="1" s="1"/>
  <c r="D212" i="1" s="1"/>
  <c r="B147" i="1"/>
  <c r="B158" i="1"/>
  <c r="B173" i="1" s="1"/>
  <c r="B184" i="1" s="1"/>
  <c r="B195" i="1" s="1"/>
  <c r="B212" i="1" s="1"/>
  <c r="F158" i="1"/>
  <c r="F173" i="1" s="1"/>
  <c r="F184" i="1" s="1"/>
  <c r="F195" i="1" s="1"/>
  <c r="F212" i="1" s="1"/>
  <c r="F147" i="1"/>
  <c r="G147" i="1"/>
  <c r="G158" i="1"/>
  <c r="G173" i="1" s="1"/>
  <c r="G184" i="1" s="1"/>
  <c r="G195" i="1" s="1"/>
  <c r="G212" i="1" s="1"/>
  <c r="C158" i="1"/>
  <c r="C173" i="1" s="1"/>
  <c r="C184" i="1" s="1"/>
  <c r="C195" i="1" s="1"/>
  <c r="C212" i="1" s="1"/>
  <c r="C147" i="1"/>
  <c r="F166" i="1"/>
  <c r="F169" i="1" s="1"/>
  <c r="F4" i="1" s="1"/>
  <c r="F5" i="1" s="1"/>
  <c r="E166" i="1"/>
  <c r="E169" i="1" s="1"/>
  <c r="E4" i="1" s="1"/>
  <c r="E5" i="1" s="1"/>
  <c r="E9" i="1" s="1"/>
  <c r="E12" i="1" s="1"/>
  <c r="E14" i="1" s="1"/>
  <c r="E15" i="1" s="1"/>
  <c r="G109" i="1" l="1"/>
  <c r="G117" i="1" s="1"/>
  <c r="G140" i="1"/>
  <c r="G146" i="1" s="1"/>
  <c r="G154" i="1" s="1"/>
  <c r="G159" i="1" s="1"/>
  <c r="G162" i="1" s="1"/>
  <c r="G163" i="1" s="1"/>
  <c r="G164" i="1" s="1"/>
  <c r="G165" i="1"/>
  <c r="G166" i="1" s="1"/>
  <c r="G92" i="1"/>
  <c r="G97" i="1" s="1"/>
  <c r="G60" i="1"/>
  <c r="G85" i="1"/>
  <c r="G90" i="1" s="1"/>
  <c r="G53" i="1"/>
  <c r="F9" i="1"/>
  <c r="F12" i="1" s="1"/>
  <c r="F14" i="1" s="1"/>
  <c r="F15" i="1" s="1"/>
  <c r="G98" i="1" l="1"/>
  <c r="G3" i="1" s="1"/>
  <c r="G167" i="1"/>
  <c r="G168" i="1" s="1"/>
  <c r="G169" i="1"/>
  <c r="G4" i="1" s="1"/>
  <c r="G5" i="1" s="1"/>
  <c r="G9" i="1" s="1"/>
  <c r="G12" i="1" s="1"/>
  <c r="G14" i="1" s="1"/>
  <c r="G15" i="1" s="1"/>
  <c r="G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hp-IRG</author>
  </authors>
  <commentList>
    <comment ref="G66" authorId="0" shapeId="0" xr:uid="{F52EF04E-209F-4298-B3C7-9B674816BED8}">
      <text>
        <r>
          <rPr>
            <b/>
            <sz val="9"/>
            <color indexed="81"/>
            <rFont val="Tahoma"/>
            <family val="2"/>
          </rPr>
          <t xml:space="preserve">برداشته شده از گزارش ماهانه 08/1404
</t>
        </r>
      </text>
    </comment>
    <comment ref="K215" authorId="0" shapeId="0" xr:uid="{266D32CF-BE12-43D3-A7CB-DF29105B7AF3}">
      <text>
        <r>
          <rPr>
            <b/>
            <sz val="9"/>
            <color indexed="81"/>
            <rFont val="Tahoma"/>
          </rPr>
          <t>hp-IRG:</t>
        </r>
        <r>
          <rPr>
            <sz val="9"/>
            <color indexed="81"/>
            <rFont val="Tahoma"/>
          </rPr>
          <t xml:space="preserve">
گواهی سرمایه گذاری 
</t>
        </r>
      </text>
    </comment>
  </commentList>
</comments>
</file>

<file path=xl/sharedStrings.xml><?xml version="1.0" encoding="utf-8"?>
<sst xmlns="http://schemas.openxmlformats.org/spreadsheetml/2006/main" count="214" uniqueCount="126">
  <si>
    <t>صورت سود و زیان</t>
  </si>
  <si>
    <t>سود و زیان</t>
  </si>
  <si>
    <t>واحد</t>
  </si>
  <si>
    <t>تحلیلی 1404</t>
  </si>
  <si>
    <t xml:space="preserve">درآمدهاي عملياتي </t>
  </si>
  <si>
    <t>میلیون ریال</t>
  </si>
  <si>
    <t xml:space="preserve">بهاى تمام شده درآمدهاي عملياتي </t>
  </si>
  <si>
    <t xml:space="preserve">سود(زيان) ناخالص </t>
  </si>
  <si>
    <t xml:space="preserve">هزينه‏ هاى فروش، ادارى و عمومى </t>
  </si>
  <si>
    <t xml:space="preserve">ساير درآمدها </t>
  </si>
  <si>
    <t xml:space="preserve">ساير هزينه‌ها </t>
  </si>
  <si>
    <t xml:space="preserve">سود(زيان) عملياتى </t>
  </si>
  <si>
    <t xml:space="preserve">هزينه‏ هاى مالى </t>
  </si>
  <si>
    <t xml:space="preserve">ساير درآمدها و هزينه ‏هاى غيرعملياتى </t>
  </si>
  <si>
    <t xml:space="preserve">سود(زيان) عمليات در حال تداوم قبل از ماليات </t>
  </si>
  <si>
    <t>مالیات بر درآمد</t>
  </si>
  <si>
    <t xml:space="preserve">سود(زيان) خالص </t>
  </si>
  <si>
    <t>سود هر سهم بر اساس آخرین سرمایه</t>
  </si>
  <si>
    <t>ریال</t>
  </si>
  <si>
    <t>آخرین سرمایه</t>
  </si>
  <si>
    <t>تولید</t>
  </si>
  <si>
    <t xml:space="preserve">بخار </t>
  </si>
  <si>
    <t>تن</t>
  </si>
  <si>
    <t xml:space="preserve">متانول </t>
  </si>
  <si>
    <t>جمع کل</t>
  </si>
  <si>
    <t>مقدار فروش</t>
  </si>
  <si>
    <t>فروش داخلی</t>
  </si>
  <si>
    <t xml:space="preserve">تن </t>
  </si>
  <si>
    <t>جمع داخلی</t>
  </si>
  <si>
    <t>فروش صادراتی</t>
  </si>
  <si>
    <t>متانول</t>
  </si>
  <si>
    <t>جمع صادراتی</t>
  </si>
  <si>
    <t>نرخ فروش</t>
  </si>
  <si>
    <t>نرخ فروش داخلی</t>
  </si>
  <si>
    <t>نرخ فروش صادراتی</t>
  </si>
  <si>
    <t>مبلغ فروش</t>
  </si>
  <si>
    <t>مبلغ  فروش داخلی</t>
  </si>
  <si>
    <t>مبلغ  فروش صادراتی</t>
  </si>
  <si>
    <t>مقدار مصرف</t>
  </si>
  <si>
    <t>داخلی</t>
  </si>
  <si>
    <t xml:space="preserve">گاز خوراک </t>
  </si>
  <si>
    <t xml:space="preserve">استاندارد متر مکعب </t>
  </si>
  <si>
    <t>وارداتی</t>
  </si>
  <si>
    <t>جمع وارداتی</t>
  </si>
  <si>
    <t>نرخ مصرف</t>
  </si>
  <si>
    <t xml:space="preserve">استاندارد متر مکعب/ریال </t>
  </si>
  <si>
    <t>مبلغ مصرف</t>
  </si>
  <si>
    <t>بهای تمام شده</t>
  </si>
  <si>
    <t>شرح</t>
  </si>
  <si>
    <t xml:space="preserve">مواد مستقیم مصرفی </t>
  </si>
  <si>
    <t xml:space="preserve">دستمزدمستقيم توليد </t>
  </si>
  <si>
    <t xml:space="preserve">سربارتوليد </t>
  </si>
  <si>
    <t xml:space="preserve">جمع </t>
  </si>
  <si>
    <t xml:space="preserve">هزينه جذب نشده درتوليد </t>
  </si>
  <si>
    <t xml:space="preserve">جمع هزينه هاي توليد </t>
  </si>
  <si>
    <t xml:space="preserve">خالص موجودی كالاي درجريان ساخت </t>
  </si>
  <si>
    <t xml:space="preserve">بهاي تمام شده كالاي تولید شده </t>
  </si>
  <si>
    <t xml:space="preserve">موجودي كالاي ساخته شده اول دوره </t>
  </si>
  <si>
    <t xml:space="preserve">موجودي كالاي ساخته شده پايان دوره </t>
  </si>
  <si>
    <t xml:space="preserve">جمع بهای تمام شده </t>
  </si>
  <si>
    <t>سربار تولید</t>
  </si>
  <si>
    <t xml:space="preserve">هزینه حقوق و دستمزد </t>
  </si>
  <si>
    <t xml:space="preserve">هزینه استهلاک </t>
  </si>
  <si>
    <t xml:space="preserve">هزینه مواد مصرفی </t>
  </si>
  <si>
    <t xml:space="preserve">هزینه حمل و نقل و انتقال </t>
  </si>
  <si>
    <t xml:space="preserve">سایر هزینه ها </t>
  </si>
  <si>
    <t xml:space="preserve">هزینه انرژی (آب، برق، گاز و سوخت) </t>
  </si>
  <si>
    <t>هزینه های عمومی اداری فروش</t>
  </si>
  <si>
    <t>جمع هزینه های سربار</t>
  </si>
  <si>
    <t>جمع هزینه های عمومی اداری فروش</t>
  </si>
  <si>
    <t>سایر درآمد ها و هزینه های عملیاتی</t>
  </si>
  <si>
    <t xml:space="preserve">سود حاصل از تسعير ارز </t>
  </si>
  <si>
    <t xml:space="preserve">درآمد حاصل از عمليات بازرگاني </t>
  </si>
  <si>
    <t xml:space="preserve">تعديلات نرخ گاز وسرويس هاي جانبي </t>
  </si>
  <si>
    <t>درآمد ها</t>
  </si>
  <si>
    <t>هزینه ها</t>
  </si>
  <si>
    <t xml:space="preserve">سربار جذب نشده </t>
  </si>
  <si>
    <t>جمع درآمد های عملیاتی</t>
  </si>
  <si>
    <t>جمع هزینه های عملیاتی</t>
  </si>
  <si>
    <t xml:space="preserve">زيان تسعير اقلام پولي </t>
  </si>
  <si>
    <t xml:space="preserve">هزينه هاي متفرقه عملياتي </t>
  </si>
  <si>
    <t xml:space="preserve">مابه التفاوت نرخ خريد سرويس هاي جانبي۱۳۹۷ </t>
  </si>
  <si>
    <t xml:space="preserve">هزينه ديماند </t>
  </si>
  <si>
    <t xml:space="preserve">هزينه مطالبات مشکوک الوصول (مشتريان خارجي) </t>
  </si>
  <si>
    <t>جمع درآمد های غیر عملیاتی</t>
  </si>
  <si>
    <t>جمع هزینه های غیر عملیاتی</t>
  </si>
  <si>
    <t xml:space="preserve">سود اوراق وسهام </t>
  </si>
  <si>
    <t xml:space="preserve">سود سپرده گذاري نزد بانکها </t>
  </si>
  <si>
    <t xml:space="preserve">سود(زيان)ناشي از تسعير ارز </t>
  </si>
  <si>
    <t xml:space="preserve">هزينه هاي متفرقه </t>
  </si>
  <si>
    <t xml:space="preserve">در آمدهاي متفرقه </t>
  </si>
  <si>
    <t xml:space="preserve">سایر درآمدها و هزینه‌های غیرعملیاتی </t>
  </si>
  <si>
    <t>مفروضات</t>
  </si>
  <si>
    <t>دلار نیمایی</t>
  </si>
  <si>
    <t>دلار آزاد</t>
  </si>
  <si>
    <t>نرخ گاز</t>
  </si>
  <si>
    <t>متر مکپعب ریال</t>
  </si>
  <si>
    <t>رشد حقوق و دستمزد</t>
  </si>
  <si>
    <t>نرخ تورم</t>
  </si>
  <si>
    <t>درصد</t>
  </si>
  <si>
    <t>نوع ارز</t>
  </si>
  <si>
    <t>سال مالی منتهی به ۱۴۰۰/۱۲/۲۹</t>
  </si>
  <si>
    <t>دوره ۱۲ ماهه منتهی به ۱۴۰۱/۱۲/۲۹</t>
  </si>
  <si>
    <t>مبلغ ارزی</t>
  </si>
  <si>
    <t>مبلغ ریالی-میلیون ریال</t>
  </si>
  <si>
    <t xml:space="preserve">منابع ارزی طی دوره </t>
  </si>
  <si>
    <t xml:space="preserve">دلار </t>
  </si>
  <si>
    <t xml:space="preserve">مصارف ارزی طی دوره </t>
  </si>
  <si>
    <t xml:space="preserve">داراییهای ارزی پایان دوره </t>
  </si>
  <si>
    <t>سال مالي منتهي به ۱۴۰۲/۱۲/۲۹</t>
  </si>
  <si>
    <t>دوره ۱۲ ماهه منتهي به ۱۴۰۳/۱۲/۳۰</t>
  </si>
  <si>
    <t>نرخ ميانگين تسعير ارز</t>
  </si>
  <si>
    <t>مبلغ ارزي</t>
  </si>
  <si>
    <t>مبلغ ريالي-ميليون ريال</t>
  </si>
  <si>
    <t>نرخ میانگین تسعیر ارز</t>
  </si>
  <si>
    <t>دلار/تن</t>
  </si>
  <si>
    <t>نرخ فروش متانول داخلی</t>
  </si>
  <si>
    <t>نرخ فروش متانول صادراتی</t>
  </si>
  <si>
    <t xml:space="preserve"> </t>
  </si>
  <si>
    <t>نسبت مصرف گاز به ازای هر تن محصول</t>
  </si>
  <si>
    <t>نرخ گاز دلاری</t>
  </si>
  <si>
    <t>متر مکعب سنت</t>
  </si>
  <si>
    <t>هزینه حمل و انتقال محصول</t>
  </si>
  <si>
    <t>نرخ تسعیر</t>
  </si>
  <si>
    <t>مبلغ ریالی (میلیون ریال)</t>
  </si>
  <si>
    <t>سود تسعیر ارز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</si>
</sst>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3000401]#,##0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4"/>
      <color theme="0"/>
      <name val="B Nazanin"/>
      <charset val="178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55274"/>
      <name val="Calibri"/>
      <family val="2"/>
      <scheme val="minor"/>
    </font>
    <font>
      <sz val="11"/>
      <color rgb="FF000000"/>
      <name val="Vazir"/>
    </font>
    <font>
      <b/>
      <sz val="9"/>
      <color indexed="81"/>
      <name val="Tahoma"/>
      <family val="2"/>
    </font>
    <font>
      <sz val="9"/>
      <color indexed="81"/>
      <name val="Tahoma"/>
    </font>
    <font>
      <b/>
      <sz val="9"/>
      <color indexed="81"/>
      <name val="Tahoma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1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164" fontId="2" fillId="5" borderId="16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64" fontId="0" fillId="0" borderId="0" xfId="0" applyNumberFormat="1"/>
    <xf numFmtId="165" fontId="2" fillId="5" borderId="16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41" fontId="3" fillId="0" borderId="8" xfId="0" applyNumberFormat="1" applyFont="1" applyBorder="1" applyAlignment="1">
      <alignment horizontal="center" vertical="center"/>
    </xf>
    <xf numFmtId="41" fontId="3" fillId="4" borderId="9" xfId="0" applyNumberFormat="1" applyFont="1" applyFill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3" fillId="0" borderId="8" xfId="1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4" borderId="20" xfId="0" applyNumberFormat="1" applyFont="1" applyFill="1" applyBorder="1" applyAlignment="1">
      <alignment horizontal="center" vertical="center"/>
    </xf>
    <xf numFmtId="41" fontId="0" fillId="0" borderId="0" xfId="0" applyNumberForma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1" fontId="0" fillId="0" borderId="0" xfId="2" applyNumberFormat="1" applyFont="1"/>
    <xf numFmtId="164" fontId="0" fillId="6" borderId="0" xfId="0" applyNumberFormat="1" applyFill="1"/>
    <xf numFmtId="9" fontId="7" fillId="0" borderId="0" xfId="0" applyNumberFormat="1" applyFont="1" applyAlignment="1">
      <alignment horizontal="center" wrapText="1"/>
    </xf>
    <xf numFmtId="9" fontId="3" fillId="4" borderId="22" xfId="3" applyFont="1" applyFill="1" applyBorder="1" applyAlignment="1">
      <alignment horizontal="center" vertical="center"/>
    </xf>
    <xf numFmtId="41" fontId="3" fillId="0" borderId="8" xfId="0" applyNumberFormat="1" applyFont="1" applyBorder="1" applyAlignment="1">
      <alignment vertical="center"/>
    </xf>
    <xf numFmtId="9" fontId="3" fillId="0" borderId="8" xfId="3" applyFont="1" applyBorder="1" applyAlignment="1">
      <alignment vertical="center"/>
    </xf>
    <xf numFmtId="9" fontId="3" fillId="0" borderId="11" xfId="3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165" fontId="3" fillId="4" borderId="9" xfId="1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9" fontId="3" fillId="4" borderId="9" xfId="3" applyFont="1" applyFill="1" applyBorder="1" applyAlignment="1">
      <alignment horizontal="center" vertical="center"/>
    </xf>
    <xf numFmtId="165" fontId="2" fillId="4" borderId="14" xfId="1" applyNumberFormat="1" applyFont="1" applyFill="1" applyBorder="1" applyAlignment="1">
      <alignment horizontal="center" vertical="center"/>
    </xf>
    <xf numFmtId="43" fontId="0" fillId="0" borderId="0" xfId="0" applyNumberFormat="1"/>
    <xf numFmtId="9" fontId="0" fillId="0" borderId="0" xfId="3" applyFont="1"/>
    <xf numFmtId="10" fontId="0" fillId="0" borderId="0" xfId="0" applyNumberFormat="1"/>
    <xf numFmtId="165" fontId="3" fillId="4" borderId="9" xfId="0" applyNumberFormat="1" applyFont="1" applyFill="1" applyBorder="1" applyAlignment="1">
      <alignment horizontal="center" vertical="center"/>
    </xf>
    <xf numFmtId="43" fontId="3" fillId="4" borderId="9" xfId="0" applyNumberFormat="1" applyFont="1" applyFill="1" applyBorder="1" applyAlignment="1">
      <alignment horizontal="center" vertical="center"/>
    </xf>
    <xf numFmtId="165" fontId="3" fillId="4" borderId="20" xfId="1" applyNumberFormat="1" applyFont="1" applyFill="1" applyBorder="1" applyAlignment="1">
      <alignment horizontal="center" vertical="center"/>
    </xf>
    <xf numFmtId="165" fontId="2" fillId="4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/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6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9" fontId="0" fillId="0" borderId="0" xfId="0" applyNumberFormat="1"/>
    <xf numFmtId="165" fontId="2" fillId="5" borderId="16" xfId="2" applyNumberFormat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36A9-A984-4D12-A72B-1E931835B57B}">
  <dimension ref="A1:X223"/>
  <sheetViews>
    <sheetView rightToLeft="1" tabSelected="1" topLeftCell="A20" zoomScale="108" workbookViewId="0">
      <selection activeCell="G223" sqref="G223"/>
    </sheetView>
  </sheetViews>
  <sheetFormatPr defaultRowHeight="15"/>
  <cols>
    <col min="1" max="1" width="36.5703125" bestFit="1" customWidth="1"/>
    <col min="2" max="2" width="18.28515625" bestFit="1" customWidth="1"/>
    <col min="3" max="3" width="14" bestFit="1" customWidth="1"/>
    <col min="4" max="4" width="14.140625" bestFit="1" customWidth="1"/>
    <col min="5" max="6" width="14" bestFit="1" customWidth="1"/>
    <col min="7" max="7" width="16.140625" bestFit="1" customWidth="1"/>
    <col min="8" max="8" width="4.5703125" bestFit="1" customWidth="1"/>
    <col min="9" max="9" width="1.42578125" bestFit="1" customWidth="1"/>
    <col min="10" max="10" width="18.85546875" bestFit="1" customWidth="1"/>
    <col min="11" max="11" width="11.7109375" bestFit="1" customWidth="1"/>
    <col min="12" max="12" width="12.42578125" bestFit="1" customWidth="1"/>
    <col min="13" max="13" width="17" bestFit="1" customWidth="1"/>
    <col min="14" max="14" width="12.42578125" bestFit="1" customWidth="1"/>
    <col min="15" max="15" width="17" bestFit="1" customWidth="1"/>
    <col min="16" max="16" width="16.85546875" bestFit="1" customWidth="1"/>
    <col min="17" max="17" width="12.42578125" bestFit="1" customWidth="1"/>
    <col min="18" max="18" width="17" bestFit="1" customWidth="1"/>
    <col min="19" max="19" width="16.85546875" bestFit="1" customWidth="1"/>
    <col min="20" max="20" width="12.42578125" bestFit="1" customWidth="1"/>
    <col min="21" max="21" width="17" bestFit="1" customWidth="1"/>
    <col min="22" max="22" width="10" bestFit="1" customWidth="1"/>
    <col min="23" max="24" width="12.42578125" bestFit="1" customWidth="1"/>
  </cols>
  <sheetData>
    <row r="1" spans="1:12" ht="24.75" thickBot="1">
      <c r="A1" s="66" t="s">
        <v>0</v>
      </c>
      <c r="B1" s="67"/>
      <c r="C1" s="67"/>
      <c r="D1" s="67"/>
      <c r="E1" s="67"/>
      <c r="F1" s="67"/>
      <c r="G1" s="68"/>
    </row>
    <row r="2" spans="1:12" ht="19.5">
      <c r="A2" s="1" t="s">
        <v>1</v>
      </c>
      <c r="B2" s="2" t="s">
        <v>2</v>
      </c>
      <c r="C2" s="2">
        <v>1400</v>
      </c>
      <c r="D2" s="2">
        <v>1401</v>
      </c>
      <c r="E2" s="2">
        <v>1402</v>
      </c>
      <c r="F2" s="2">
        <v>1403</v>
      </c>
      <c r="G2" s="3" t="s">
        <v>3</v>
      </c>
    </row>
    <row r="3" spans="1:12" ht="18">
      <c r="A3" s="4" t="s">
        <v>4</v>
      </c>
      <c r="B3" s="5" t="s">
        <v>5</v>
      </c>
      <c r="C3" s="28">
        <f>C98</f>
        <v>192628444</v>
      </c>
      <c r="D3" s="28">
        <f t="shared" ref="D3:F3" si="0">D98</f>
        <v>214213606</v>
      </c>
      <c r="E3" s="28">
        <f t="shared" si="0"/>
        <v>258734831</v>
      </c>
      <c r="F3" s="28">
        <f t="shared" si="0"/>
        <v>239711202</v>
      </c>
      <c r="G3" s="29">
        <f>G98</f>
        <v>321397686.510378</v>
      </c>
    </row>
    <row r="4" spans="1:12" ht="18">
      <c r="A4" s="4" t="s">
        <v>6</v>
      </c>
      <c r="B4" s="5" t="s">
        <v>5</v>
      </c>
      <c r="C4" s="28">
        <f>-C169</f>
        <v>-151895518</v>
      </c>
      <c r="D4" s="28">
        <f t="shared" ref="D4:G4" si="1">-D169</f>
        <v>-147547917</v>
      </c>
      <c r="E4" s="28">
        <f t="shared" si="1"/>
        <v>-192020455</v>
      </c>
      <c r="F4" s="28">
        <f t="shared" si="1"/>
        <v>-163090740</v>
      </c>
      <c r="G4" s="29">
        <f t="shared" si="1"/>
        <v>-234585325.09474412</v>
      </c>
    </row>
    <row r="5" spans="1:12" ht="19.5">
      <c r="A5" s="8" t="s">
        <v>7</v>
      </c>
      <c r="B5" s="9" t="s">
        <v>5</v>
      </c>
      <c r="C5" s="30">
        <f>SUM(C3:C4)</f>
        <v>40732926</v>
      </c>
      <c r="D5" s="30">
        <f t="shared" ref="D5:G5" si="2">SUM(D3:D4)</f>
        <v>66665689</v>
      </c>
      <c r="E5" s="30">
        <f t="shared" si="2"/>
        <v>66714376</v>
      </c>
      <c r="F5" s="30">
        <f t="shared" si="2"/>
        <v>76620462</v>
      </c>
      <c r="G5" s="29">
        <f t="shared" si="2"/>
        <v>86812361.415633887</v>
      </c>
      <c r="L5" s="24"/>
    </row>
    <row r="6" spans="1:12" ht="18">
      <c r="A6" s="4" t="s">
        <v>8</v>
      </c>
      <c r="B6" s="5" t="s">
        <v>5</v>
      </c>
      <c r="C6" s="28">
        <f t="shared" ref="C6:G6" si="3">-C191</f>
        <v>-30463107</v>
      </c>
      <c r="D6" s="28">
        <f t="shared" si="3"/>
        <v>-44188435</v>
      </c>
      <c r="E6" s="28">
        <f t="shared" si="3"/>
        <v>-57185171</v>
      </c>
      <c r="F6" s="28">
        <f>-F191</f>
        <v>-61882328</v>
      </c>
      <c r="G6" s="29">
        <f t="shared" si="3"/>
        <v>-90416480.585199997</v>
      </c>
    </row>
    <row r="7" spans="1:12" ht="18">
      <c r="A7" s="4" t="s">
        <v>9</v>
      </c>
      <c r="B7" s="5" t="s">
        <v>5</v>
      </c>
      <c r="C7" s="28">
        <f t="shared" ref="C7:E7" si="4">C200</f>
        <v>28145</v>
      </c>
      <c r="D7" s="28">
        <f t="shared" si="4"/>
        <v>8164943</v>
      </c>
      <c r="E7" s="28">
        <f t="shared" si="4"/>
        <v>5419374</v>
      </c>
      <c r="F7" s="28">
        <f>F200</f>
        <v>50545881</v>
      </c>
      <c r="G7" s="29">
        <f>G200</f>
        <v>11240262.739007998</v>
      </c>
    </row>
    <row r="8" spans="1:12" ht="18">
      <c r="A8" s="4" t="s">
        <v>10</v>
      </c>
      <c r="B8" s="5" t="s">
        <v>5</v>
      </c>
      <c r="C8" s="28">
        <f t="shared" ref="C8:D8" si="5">C208</f>
        <v>717657</v>
      </c>
      <c r="D8" s="28">
        <f t="shared" si="5"/>
        <v>2242023</v>
      </c>
      <c r="E8" s="28">
        <f>-E208</f>
        <v>-2893632</v>
      </c>
      <c r="F8" s="28">
        <f>-F208</f>
        <v>-13755846</v>
      </c>
      <c r="G8" s="29">
        <f>G208</f>
        <v>6297167</v>
      </c>
    </row>
    <row r="9" spans="1:12" ht="19.5">
      <c r="A9" s="8" t="s">
        <v>11</v>
      </c>
      <c r="B9" s="9" t="s">
        <v>5</v>
      </c>
      <c r="C9" s="30">
        <f>SUM(C5:C8)</f>
        <v>11015621</v>
      </c>
      <c r="D9" s="30">
        <f t="shared" ref="D9:G9" si="6">SUM(D5:D8)</f>
        <v>32884220</v>
      </c>
      <c r="E9" s="30">
        <f t="shared" si="6"/>
        <v>12054947</v>
      </c>
      <c r="F9" s="30">
        <f t="shared" si="6"/>
        <v>51528169</v>
      </c>
      <c r="G9" s="29">
        <f t="shared" si="6"/>
        <v>13933310.569441888</v>
      </c>
    </row>
    <row r="10" spans="1:12" ht="18">
      <c r="A10" s="4" t="s">
        <v>12</v>
      </c>
      <c r="B10" s="5" t="s">
        <v>5</v>
      </c>
      <c r="C10" s="28">
        <v>0</v>
      </c>
      <c r="D10" s="28">
        <v>0</v>
      </c>
      <c r="E10" s="28">
        <v>0</v>
      </c>
      <c r="F10" s="28">
        <v>0</v>
      </c>
      <c r="G10" s="29"/>
    </row>
    <row r="11" spans="1:12" ht="18">
      <c r="A11" s="4" t="s">
        <v>13</v>
      </c>
      <c r="B11" s="5" t="s">
        <v>5</v>
      </c>
      <c r="C11" s="28">
        <f t="shared" ref="C11:E11" si="7">C218+C223</f>
        <v>3737347</v>
      </c>
      <c r="D11" s="28">
        <f t="shared" si="7"/>
        <v>-479503</v>
      </c>
      <c r="E11" s="28">
        <f t="shared" si="7"/>
        <v>1199951</v>
      </c>
      <c r="F11" s="31">
        <f>F218+F223</f>
        <v>-4594986</v>
      </c>
      <c r="G11" s="29">
        <f>G218+G223</f>
        <v>751877.1333333333</v>
      </c>
    </row>
    <row r="12" spans="1:12" ht="19.5">
      <c r="A12" s="8" t="s">
        <v>14</v>
      </c>
      <c r="B12" s="9" t="s">
        <v>5</v>
      </c>
      <c r="C12" s="30">
        <f>SUM(C9:C11)</f>
        <v>14752968</v>
      </c>
      <c r="D12" s="30">
        <f t="shared" ref="D12:G12" si="8">SUM(D9:D11)</f>
        <v>32404717</v>
      </c>
      <c r="E12" s="30">
        <f t="shared" si="8"/>
        <v>13254898</v>
      </c>
      <c r="F12" s="30">
        <f t="shared" si="8"/>
        <v>46933183</v>
      </c>
      <c r="G12" s="29">
        <f t="shared" si="8"/>
        <v>14685187.702775221</v>
      </c>
      <c r="K12" s="24"/>
    </row>
    <row r="13" spans="1:12" ht="18">
      <c r="A13" s="4" t="s">
        <v>15</v>
      </c>
      <c r="B13" s="5" t="s">
        <v>5</v>
      </c>
      <c r="C13" s="28">
        <v>0</v>
      </c>
      <c r="D13" s="28">
        <v>0</v>
      </c>
      <c r="E13" s="28">
        <v>0</v>
      </c>
      <c r="F13" s="28">
        <v>0</v>
      </c>
      <c r="G13" s="29"/>
    </row>
    <row r="14" spans="1:12" ht="19.5">
      <c r="A14" s="8" t="s">
        <v>16</v>
      </c>
      <c r="B14" s="9" t="s">
        <v>5</v>
      </c>
      <c r="C14" s="30">
        <f>SUM(C12:C13)</f>
        <v>14752968</v>
      </c>
      <c r="D14" s="30">
        <f t="shared" ref="D14:G14" si="9">SUM(D12:D13)</f>
        <v>32404717</v>
      </c>
      <c r="E14" s="30">
        <f t="shared" si="9"/>
        <v>13254898</v>
      </c>
      <c r="F14" s="30">
        <f t="shared" si="9"/>
        <v>46933183</v>
      </c>
      <c r="G14" s="29">
        <f t="shared" si="9"/>
        <v>14685187.702775221</v>
      </c>
      <c r="K14" s="34"/>
    </row>
    <row r="15" spans="1:12" ht="19.5">
      <c r="A15" s="8" t="s">
        <v>17</v>
      </c>
      <c r="B15" s="9" t="s">
        <v>18</v>
      </c>
      <c r="C15" s="30">
        <f t="shared" ref="C15:E15" si="10">C14/C16*1000</f>
        <v>6147.0700000000006</v>
      </c>
      <c r="D15" s="30">
        <f t="shared" si="10"/>
        <v>13501.965416666666</v>
      </c>
      <c r="E15" s="30">
        <f t="shared" si="10"/>
        <v>5522.8741666666674</v>
      </c>
      <c r="F15" s="30">
        <f>F14/F16*1000</f>
        <v>19555.492916666666</v>
      </c>
      <c r="G15" s="29">
        <f>G14/G16*1000</f>
        <v>6118.8282094896758</v>
      </c>
    </row>
    <row r="16" spans="1:12" ht="18.75" thickBot="1">
      <c r="A16" s="10" t="s">
        <v>19</v>
      </c>
      <c r="B16" s="11" t="s">
        <v>5</v>
      </c>
      <c r="C16" s="32">
        <v>2400000</v>
      </c>
      <c r="D16" s="32">
        <v>2400000</v>
      </c>
      <c r="E16" s="32">
        <v>2400000</v>
      </c>
      <c r="F16" s="32">
        <v>2400000</v>
      </c>
      <c r="G16" s="33">
        <v>2400000</v>
      </c>
    </row>
    <row r="18" spans="1:24" ht="15.75" thickBot="1"/>
    <row r="19" spans="1:24" ht="45" customHeight="1" thickBot="1">
      <c r="A19" s="66" t="s">
        <v>92</v>
      </c>
      <c r="B19" s="67"/>
      <c r="C19" s="67"/>
      <c r="D19" s="67"/>
      <c r="E19" s="67"/>
      <c r="F19" s="67"/>
      <c r="G19" s="68"/>
      <c r="J19" s="65" t="s">
        <v>48</v>
      </c>
      <c r="K19" s="65" t="s">
        <v>100</v>
      </c>
      <c r="L19" s="65" t="s">
        <v>101</v>
      </c>
      <c r="M19" s="65"/>
      <c r="N19" s="65" t="s">
        <v>102</v>
      </c>
      <c r="O19" s="65"/>
      <c r="P19" s="65" t="s">
        <v>109</v>
      </c>
      <c r="Q19" s="65"/>
      <c r="R19" s="65"/>
      <c r="S19" s="65" t="s">
        <v>110</v>
      </c>
      <c r="T19" s="65"/>
      <c r="U19" s="65"/>
      <c r="V19" s="65"/>
      <c r="W19" s="65"/>
      <c r="X19" s="65"/>
    </row>
    <row r="20" spans="1:24" ht="30">
      <c r="A20" s="1" t="s">
        <v>48</v>
      </c>
      <c r="B20" s="2" t="str">
        <f>B2</f>
        <v>واحد</v>
      </c>
      <c r="C20" s="2">
        <f t="shared" ref="C20:G20" si="11">C2</f>
        <v>1400</v>
      </c>
      <c r="D20" s="2">
        <f t="shared" si="11"/>
        <v>1401</v>
      </c>
      <c r="E20" s="2">
        <f t="shared" si="11"/>
        <v>1402</v>
      </c>
      <c r="F20" s="2">
        <f t="shared" si="11"/>
        <v>1403</v>
      </c>
      <c r="G20" s="2" t="str">
        <f t="shared" si="11"/>
        <v>تحلیلی 1404</v>
      </c>
      <c r="I20" s="48"/>
      <c r="J20" s="65"/>
      <c r="K20" s="65"/>
      <c r="L20" s="40" t="s">
        <v>103</v>
      </c>
      <c r="M20" s="40" t="s">
        <v>104</v>
      </c>
      <c r="N20" s="40" t="s">
        <v>103</v>
      </c>
      <c r="O20" s="40" t="s">
        <v>104</v>
      </c>
      <c r="P20" s="40" t="s">
        <v>111</v>
      </c>
      <c r="Q20" s="40" t="s">
        <v>112</v>
      </c>
      <c r="R20" s="40" t="s">
        <v>113</v>
      </c>
      <c r="S20" s="40" t="s">
        <v>111</v>
      </c>
      <c r="T20" s="40" t="s">
        <v>112</v>
      </c>
      <c r="U20" s="40" t="s">
        <v>113</v>
      </c>
      <c r="V20" s="40"/>
      <c r="W20" s="40"/>
      <c r="X20" s="40"/>
    </row>
    <row r="21" spans="1:24" ht="30">
      <c r="A21" s="4" t="s">
        <v>93</v>
      </c>
      <c r="B21" s="6" t="s">
        <v>18</v>
      </c>
      <c r="C21" s="45">
        <v>230000</v>
      </c>
      <c r="D21" s="45">
        <v>270000</v>
      </c>
      <c r="E21" s="45">
        <v>385000</v>
      </c>
      <c r="F21" s="45">
        <v>510000</v>
      </c>
      <c r="G21" s="49">
        <v>740000</v>
      </c>
      <c r="J21" s="26" t="s">
        <v>105</v>
      </c>
      <c r="K21" s="26" t="s">
        <v>106</v>
      </c>
      <c r="L21" s="27">
        <v>815081000</v>
      </c>
      <c r="M21" s="27">
        <v>184428378</v>
      </c>
      <c r="N21" s="27">
        <v>817703000</v>
      </c>
      <c r="O21" s="27">
        <v>224608362</v>
      </c>
      <c r="P21" s="27">
        <v>382078</v>
      </c>
      <c r="Q21" s="27">
        <v>643070000</v>
      </c>
      <c r="R21" s="27">
        <v>245702899</v>
      </c>
      <c r="S21" s="27">
        <v>474128</v>
      </c>
      <c r="T21" s="27">
        <v>496403000</v>
      </c>
      <c r="U21" s="27">
        <v>235358561</v>
      </c>
      <c r="V21" s="27"/>
      <c r="W21" s="27"/>
      <c r="X21" s="27"/>
    </row>
    <row r="22" spans="1:24" ht="30">
      <c r="A22" s="4" t="s">
        <v>94</v>
      </c>
      <c r="B22" s="6" t="s">
        <v>18</v>
      </c>
      <c r="C22" s="45">
        <v>262520</v>
      </c>
      <c r="D22" s="45">
        <v>480910</v>
      </c>
      <c r="E22" s="45">
        <v>603510</v>
      </c>
      <c r="F22" s="45">
        <v>977800</v>
      </c>
      <c r="G22" s="49">
        <v>1300000</v>
      </c>
      <c r="J22" s="26" t="s">
        <v>107</v>
      </c>
      <c r="K22" s="26" t="s">
        <v>106</v>
      </c>
      <c r="L22" s="27">
        <v>123602000</v>
      </c>
      <c r="M22" s="27">
        <v>27967425</v>
      </c>
      <c r="N22" s="27">
        <v>234380000</v>
      </c>
      <c r="O22" s="27">
        <v>64379986</v>
      </c>
      <c r="P22" s="27">
        <v>382078</v>
      </c>
      <c r="Q22" s="27">
        <v>167166000</v>
      </c>
      <c r="R22" s="27">
        <v>63870451</v>
      </c>
      <c r="S22" s="27">
        <v>474128</v>
      </c>
      <c r="T22" s="27">
        <v>142073000</v>
      </c>
      <c r="U22" s="27">
        <v>67360787</v>
      </c>
      <c r="V22" s="27"/>
      <c r="W22" s="27"/>
      <c r="X22" s="27"/>
    </row>
    <row r="23" spans="1:24" ht="30">
      <c r="A23" s="4" t="s">
        <v>117</v>
      </c>
      <c r="B23" s="6" t="s">
        <v>115</v>
      </c>
      <c r="C23" s="45">
        <f>C74/C21</f>
        <v>345.30739451812525</v>
      </c>
      <c r="D23" s="45">
        <f t="shared" ref="D23:F23" si="12">D74/D21</f>
        <v>324.53179089049678</v>
      </c>
      <c r="E23" s="45">
        <f t="shared" si="12"/>
        <v>275.87785748646667</v>
      </c>
      <c r="F23" s="45">
        <f t="shared" si="12"/>
        <v>272.39119157505701</v>
      </c>
      <c r="G23" s="49">
        <v>252</v>
      </c>
      <c r="J23" s="26" t="s">
        <v>108</v>
      </c>
      <c r="K23" s="26" t="s">
        <v>106</v>
      </c>
      <c r="L23" s="27">
        <v>174744346</v>
      </c>
      <c r="M23" s="27">
        <v>41961884</v>
      </c>
      <c r="N23" s="27">
        <v>59884548</v>
      </c>
      <c r="O23" s="27">
        <v>21917745</v>
      </c>
      <c r="P23" s="27">
        <v>405527</v>
      </c>
      <c r="Q23" s="27">
        <v>82939707</v>
      </c>
      <c r="R23" s="27">
        <v>33634291</v>
      </c>
      <c r="S23" s="27">
        <v>687390</v>
      </c>
      <c r="T23" s="27">
        <v>29750664</v>
      </c>
      <c r="U23" s="27">
        <v>20450309</v>
      </c>
      <c r="V23" s="27"/>
      <c r="W23" s="27"/>
      <c r="X23" s="27"/>
    </row>
    <row r="24" spans="1:24" ht="18">
      <c r="A24" s="4" t="s">
        <v>116</v>
      </c>
      <c r="B24" s="6" t="s">
        <v>115</v>
      </c>
      <c r="C24" s="45">
        <f t="shared" ref="C24:E24" si="13">C67/C21</f>
        <v>290.48104975755575</v>
      </c>
      <c r="D24" s="45">
        <f t="shared" si="13"/>
        <v>265.22072855172286</v>
      </c>
      <c r="E24" s="45">
        <f t="shared" si="13"/>
        <v>189.44515189748032</v>
      </c>
      <c r="F24" s="45">
        <f>F67/F21</f>
        <v>233.07821365263536</v>
      </c>
      <c r="G24" s="49">
        <v>240</v>
      </c>
      <c r="J24" s="26"/>
      <c r="K24" s="26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ht="18">
      <c r="A25" s="4" t="s">
        <v>122</v>
      </c>
      <c r="B25" s="6" t="s">
        <v>115</v>
      </c>
      <c r="C25" s="45">
        <f>C189/C55/C21*1000000</f>
        <v>51.356002805174143</v>
      </c>
      <c r="D25" s="45">
        <f t="shared" ref="D25:F25" si="14">D189/D55/D21*1000000</f>
        <v>60.683870084868566</v>
      </c>
      <c r="E25" s="45">
        <f t="shared" si="14"/>
        <v>51.082591889446583</v>
      </c>
      <c r="F25" s="45">
        <f t="shared" si="14"/>
        <v>51.351624260770748</v>
      </c>
      <c r="G25" s="49">
        <v>54</v>
      </c>
      <c r="J25" s="26"/>
      <c r="K25" s="26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ht="18">
      <c r="A26" s="4" t="s">
        <v>95</v>
      </c>
      <c r="B26" s="6" t="s">
        <v>96</v>
      </c>
      <c r="C26" s="45">
        <f>C122</f>
        <v>45214.206835226898</v>
      </c>
      <c r="D26" s="45">
        <f t="shared" ref="D26:G26" si="15">D122</f>
        <v>50098.992784736292</v>
      </c>
      <c r="E26" s="45">
        <f t="shared" si="15"/>
        <v>61302.980765340501</v>
      </c>
      <c r="F26" s="45">
        <f t="shared" si="15"/>
        <v>65955.591353554089</v>
      </c>
      <c r="G26" s="49">
        <f t="shared" si="15"/>
        <v>96200</v>
      </c>
    </row>
    <row r="27" spans="1:24" ht="18">
      <c r="A27" s="4" t="s">
        <v>120</v>
      </c>
      <c r="B27" s="6" t="s">
        <v>121</v>
      </c>
      <c r="C27" s="45">
        <f>C26/C21*100</f>
        <v>19.65835079792474</v>
      </c>
      <c r="D27" s="45">
        <f t="shared" ref="D27:F27" si="16">D26/D21*100</f>
        <v>18.555182512865294</v>
      </c>
      <c r="E27" s="45">
        <f t="shared" si="16"/>
        <v>15.922852146841688</v>
      </c>
      <c r="F27" s="45">
        <f t="shared" si="16"/>
        <v>12.932468892853743</v>
      </c>
      <c r="G27" s="29">
        <v>13</v>
      </c>
    </row>
    <row r="28" spans="1:24" ht="18">
      <c r="A28" s="4" t="s">
        <v>97</v>
      </c>
      <c r="B28" s="6" t="s">
        <v>99</v>
      </c>
      <c r="C28" s="46">
        <v>0.39</v>
      </c>
      <c r="D28" s="46">
        <v>0.57399999999999995</v>
      </c>
      <c r="E28" s="46">
        <v>0.27</v>
      </c>
      <c r="F28" s="46">
        <v>0.35</v>
      </c>
      <c r="G28" s="51">
        <v>0.4</v>
      </c>
      <c r="M28" s="41">
        <f>M21*1000000/L21</f>
        <v>226270.00015949336</v>
      </c>
      <c r="O28" s="41">
        <f>O21*1000000/N21</f>
        <v>274682.08139140985</v>
      </c>
    </row>
    <row r="29" spans="1:24" ht="60.75" thickBot="1">
      <c r="A29" s="4" t="s">
        <v>98</v>
      </c>
      <c r="B29" s="5" t="s">
        <v>99</v>
      </c>
      <c r="C29" s="47">
        <f>40.2/100</f>
        <v>0.40200000000000002</v>
      </c>
      <c r="D29" s="46">
        <f>45.8/100</f>
        <v>0.45799999999999996</v>
      </c>
      <c r="E29" s="46">
        <f>40.7/100</f>
        <v>0.40700000000000003</v>
      </c>
      <c r="F29" s="46">
        <f>34.5/100</f>
        <v>0.34499999999999997</v>
      </c>
      <c r="G29" s="44">
        <v>0.4</v>
      </c>
      <c r="K29" s="26" t="s">
        <v>114</v>
      </c>
      <c r="L29" s="42">
        <f>AVERAGE(M28:M30)</f>
        <v>230891.00122118415</v>
      </c>
      <c r="M29" s="41">
        <f>M22*1000000/L22</f>
        <v>226270.00372162263</v>
      </c>
      <c r="N29" s="42">
        <f>AVERAGE(O28:O30)</f>
        <v>305121.38966252533</v>
      </c>
      <c r="O29" s="41">
        <f>O22*1000000/N22</f>
        <v>274682.08038228517</v>
      </c>
      <c r="P29" s="42">
        <f>AVERAGE(P21:P23)</f>
        <v>389894.33333333331</v>
      </c>
      <c r="S29" s="42">
        <f>AVERAGE(S21:S23)</f>
        <v>545215.33333333337</v>
      </c>
    </row>
    <row r="30" spans="1:24" ht="19.5">
      <c r="A30" s="37"/>
      <c r="B30" s="38"/>
      <c r="D30" s="39"/>
      <c r="E30" s="39"/>
      <c r="F30" s="39"/>
      <c r="M30" s="41">
        <f t="shared" ref="M30" si="17">M23*1000000/L23</f>
        <v>240132.99978243644</v>
      </c>
      <c r="O30" s="41">
        <f t="shared" ref="O30" si="18">O23*1000000/N23</f>
        <v>366000.00721388095</v>
      </c>
    </row>
    <row r="31" spans="1:24" ht="19.5">
      <c r="A31" s="35"/>
      <c r="B31" s="35"/>
      <c r="D31" s="36"/>
      <c r="E31" s="36"/>
      <c r="F31" s="36"/>
    </row>
    <row r="32" spans="1:24" ht="19.5">
      <c r="A32" s="35"/>
      <c r="B32" s="35"/>
      <c r="C32" s="43"/>
      <c r="D32" s="36"/>
      <c r="E32" s="36"/>
      <c r="F32" s="36"/>
    </row>
    <row r="33" spans="1:8" ht="15.75" thickBot="1"/>
    <row r="34" spans="1:8" ht="24.75" thickBot="1">
      <c r="A34" s="66" t="s">
        <v>20</v>
      </c>
      <c r="B34" s="67"/>
      <c r="C34" s="67"/>
      <c r="D34" s="67"/>
      <c r="E34" s="67"/>
      <c r="F34" s="67"/>
      <c r="G34" s="68"/>
    </row>
    <row r="35" spans="1:8" ht="19.5">
      <c r="A35" s="1" t="s">
        <v>20</v>
      </c>
      <c r="B35" s="2" t="s">
        <v>2</v>
      </c>
      <c r="C35" s="2">
        <f>C2</f>
        <v>1400</v>
      </c>
      <c r="D35" s="2">
        <f>D2</f>
        <v>1401</v>
      </c>
      <c r="E35" s="2">
        <f>E2</f>
        <v>1402</v>
      </c>
      <c r="F35" s="2">
        <f>F2</f>
        <v>1403</v>
      </c>
      <c r="G35" s="3" t="str">
        <f>G2</f>
        <v>تحلیلی 1404</v>
      </c>
    </row>
    <row r="36" spans="1:8" ht="18">
      <c r="A36" s="4" t="s">
        <v>21</v>
      </c>
      <c r="B36" s="6" t="s">
        <v>22</v>
      </c>
      <c r="C36" s="28">
        <v>5474260</v>
      </c>
      <c r="D36" s="28">
        <v>5356286</v>
      </c>
      <c r="E36" s="28">
        <v>5275279</v>
      </c>
      <c r="F36" s="28">
        <v>3811693</v>
      </c>
      <c r="G36" s="49">
        <f>F36</f>
        <v>3811693</v>
      </c>
    </row>
    <row r="37" spans="1:8" ht="18">
      <c r="A37" s="4" t="s">
        <v>23</v>
      </c>
      <c r="B37" s="6" t="s">
        <v>22</v>
      </c>
      <c r="C37" s="28">
        <f>204897+2309191</f>
        <v>2514088</v>
      </c>
      <c r="D37" s="28">
        <f>186689+2301363</f>
        <v>2488052</v>
      </c>
      <c r="E37" s="28">
        <f>159424+2240415</f>
        <v>2399839</v>
      </c>
      <c r="F37" s="28">
        <f>101744+1639242</f>
        <v>1740986</v>
      </c>
      <c r="G37" s="49">
        <f>F37</f>
        <v>1740986</v>
      </c>
    </row>
    <row r="38" spans="1:8" ht="18">
      <c r="A38" s="4"/>
      <c r="B38" s="6"/>
      <c r="C38" s="6"/>
      <c r="D38" s="6"/>
      <c r="E38" s="5"/>
      <c r="F38" s="5"/>
      <c r="G38" s="7"/>
    </row>
    <row r="39" spans="1:8" ht="18">
      <c r="A39" s="4"/>
      <c r="B39" s="6"/>
      <c r="C39" s="6"/>
      <c r="D39" s="6"/>
      <c r="E39" s="5"/>
      <c r="F39" s="5"/>
      <c r="G39" s="7"/>
    </row>
    <row r="40" spans="1:8" ht="18">
      <c r="A40" s="4"/>
      <c r="B40" s="6"/>
      <c r="C40" s="6"/>
      <c r="D40" s="6"/>
      <c r="E40" s="5"/>
      <c r="F40" s="5"/>
      <c r="G40" s="7"/>
    </row>
    <row r="41" spans="1:8" ht="18.75" thickBot="1">
      <c r="A41" s="4"/>
      <c r="B41" s="6"/>
      <c r="C41" s="6"/>
      <c r="D41" s="6"/>
      <c r="E41" s="5"/>
      <c r="F41" s="5"/>
      <c r="G41" s="7"/>
    </row>
    <row r="42" spans="1:8" ht="20.25" thickBot="1">
      <c r="A42" s="12" t="s">
        <v>24</v>
      </c>
      <c r="B42" s="13" t="s">
        <v>22</v>
      </c>
      <c r="C42" s="14">
        <f>SUM(C36:C41)</f>
        <v>7988348</v>
      </c>
      <c r="D42" s="14">
        <f t="shared" ref="D42:G42" si="19">SUM(D36:D41)</f>
        <v>7844338</v>
      </c>
      <c r="E42" s="14">
        <f t="shared" si="19"/>
        <v>7675118</v>
      </c>
      <c r="F42" s="14">
        <f t="shared" si="19"/>
        <v>5552679</v>
      </c>
      <c r="G42" s="52">
        <f t="shared" si="19"/>
        <v>5552679</v>
      </c>
    </row>
    <row r="44" spans="1:8" ht="15.75" thickBot="1"/>
    <row r="45" spans="1:8" ht="24.75" thickBot="1">
      <c r="A45" s="66" t="s">
        <v>25</v>
      </c>
      <c r="B45" s="67"/>
      <c r="C45" s="67"/>
      <c r="D45" s="67"/>
      <c r="E45" s="67"/>
      <c r="F45" s="67"/>
      <c r="G45" s="68"/>
    </row>
    <row r="46" spans="1:8" ht="19.5">
      <c r="A46" s="1" t="s">
        <v>26</v>
      </c>
      <c r="B46" s="2" t="str">
        <f t="shared" ref="B46:G46" si="20">B2</f>
        <v>واحد</v>
      </c>
      <c r="C46" s="2">
        <f t="shared" si="20"/>
        <v>1400</v>
      </c>
      <c r="D46" s="2">
        <f t="shared" si="20"/>
        <v>1401</v>
      </c>
      <c r="E46" s="2">
        <f t="shared" si="20"/>
        <v>1402</v>
      </c>
      <c r="F46" s="2">
        <f t="shared" si="20"/>
        <v>1403</v>
      </c>
      <c r="G46" s="3" t="str">
        <f t="shared" si="20"/>
        <v>تحلیلی 1404</v>
      </c>
    </row>
    <row r="47" spans="1:8" ht="18">
      <c r="A47" s="4" t="s">
        <v>21</v>
      </c>
      <c r="B47" s="6" t="s">
        <v>27</v>
      </c>
      <c r="C47" s="28">
        <v>990671</v>
      </c>
      <c r="D47" s="28">
        <v>908083</v>
      </c>
      <c r="E47" s="28">
        <v>958470</v>
      </c>
      <c r="F47" s="28">
        <v>573342</v>
      </c>
      <c r="G47" s="29">
        <f>F47</f>
        <v>573342</v>
      </c>
      <c r="H47" s="54">
        <f>G47/G36</f>
        <v>0.15041662589300869</v>
      </c>
    </row>
    <row r="48" spans="1:8" ht="18">
      <c r="A48" s="4" t="s">
        <v>23</v>
      </c>
      <c r="B48" s="6" t="s">
        <v>27</v>
      </c>
      <c r="C48" s="28">
        <v>204897</v>
      </c>
      <c r="D48" s="28">
        <v>186689</v>
      </c>
      <c r="E48" s="28">
        <v>159424</v>
      </c>
      <c r="F48" s="28">
        <v>105950.12</v>
      </c>
      <c r="G48" s="56">
        <f>H48*G37</f>
        <v>105950.12</v>
      </c>
      <c r="H48" s="54">
        <f>F48/F37</f>
        <v>6.0856388276528353E-2</v>
      </c>
    </row>
    <row r="49" spans="1:9" ht="18">
      <c r="A49" s="4"/>
      <c r="B49" s="6"/>
      <c r="C49" s="6"/>
      <c r="D49" s="6"/>
      <c r="E49" s="5"/>
      <c r="F49" s="5"/>
      <c r="G49" s="7"/>
    </row>
    <row r="50" spans="1:9" ht="18">
      <c r="A50" s="4"/>
      <c r="B50" s="6"/>
      <c r="C50" s="6"/>
      <c r="D50" s="6"/>
      <c r="E50" s="5"/>
      <c r="F50" s="5"/>
      <c r="G50" s="7"/>
    </row>
    <row r="51" spans="1:9" ht="18">
      <c r="A51" s="4"/>
      <c r="B51" s="6"/>
      <c r="C51" s="6"/>
      <c r="D51" s="6"/>
      <c r="E51" s="5"/>
      <c r="F51" s="5"/>
      <c r="G51" s="7"/>
      <c r="I51" s="55" t="s">
        <v>118</v>
      </c>
    </row>
    <row r="52" spans="1:9" ht="18.75" thickBot="1">
      <c r="A52" s="4"/>
      <c r="B52" s="6"/>
      <c r="C52" s="6"/>
      <c r="D52" s="6"/>
      <c r="E52" s="5"/>
      <c r="F52" s="5"/>
      <c r="G52" s="7"/>
    </row>
    <row r="53" spans="1:9" ht="20.25" thickBot="1">
      <c r="A53" s="12" t="s">
        <v>28</v>
      </c>
      <c r="B53" s="13"/>
      <c r="C53" s="14">
        <f>SUM(C47:C52)</f>
        <v>1195568</v>
      </c>
      <c r="D53" s="14">
        <f t="shared" ref="D53:F53" si="21">SUM(D47:D52)</f>
        <v>1094772</v>
      </c>
      <c r="E53" s="14">
        <f t="shared" si="21"/>
        <v>1117894</v>
      </c>
      <c r="F53" s="14">
        <f t="shared" si="21"/>
        <v>679292.12</v>
      </c>
      <c r="G53" s="52">
        <f>SUM(G47:G52)</f>
        <v>679292.12</v>
      </c>
    </row>
    <row r="54" spans="1:9" ht="19.5">
      <c r="A54" s="1" t="s">
        <v>29</v>
      </c>
      <c r="B54" s="2" t="str">
        <f t="shared" ref="B54:G54" si="22">B2</f>
        <v>واحد</v>
      </c>
      <c r="C54" s="2">
        <f t="shared" si="22"/>
        <v>1400</v>
      </c>
      <c r="D54" s="2">
        <f t="shared" si="22"/>
        <v>1401</v>
      </c>
      <c r="E54" s="2">
        <f t="shared" si="22"/>
        <v>1402</v>
      </c>
      <c r="F54" s="2">
        <f t="shared" si="22"/>
        <v>1403</v>
      </c>
      <c r="G54" s="2" t="str">
        <f t="shared" si="22"/>
        <v>تحلیلی 1404</v>
      </c>
    </row>
    <row r="55" spans="1:9" ht="18">
      <c r="A55" s="4" t="s">
        <v>30</v>
      </c>
      <c r="B55" s="6" t="s">
        <v>27</v>
      </c>
      <c r="C55" s="28">
        <v>2243060</v>
      </c>
      <c r="D55" s="28">
        <v>2273450</v>
      </c>
      <c r="E55" s="28">
        <v>2294019</v>
      </c>
      <c r="F55" s="28">
        <v>1606755.37</v>
      </c>
      <c r="G55" s="56">
        <f>H55*G37</f>
        <v>1606755.37</v>
      </c>
      <c r="H55" s="54">
        <f>F55/F37</f>
        <v>0.92289964996846618</v>
      </c>
    </row>
    <row r="56" spans="1:9" ht="18">
      <c r="A56" s="4"/>
      <c r="B56" s="6"/>
      <c r="C56" s="6"/>
      <c r="D56" s="6"/>
      <c r="E56" s="5"/>
      <c r="F56" s="5"/>
      <c r="G56" s="7"/>
    </row>
    <row r="57" spans="1:9" ht="18">
      <c r="A57" s="4"/>
      <c r="B57" s="6"/>
      <c r="C57" s="6"/>
      <c r="D57" s="6"/>
      <c r="E57" s="5"/>
      <c r="F57" s="5"/>
      <c r="G57" s="7"/>
    </row>
    <row r="58" spans="1:9" ht="18">
      <c r="A58" s="4"/>
      <c r="B58" s="6"/>
      <c r="C58" s="6"/>
      <c r="D58" s="6"/>
      <c r="E58" s="5"/>
      <c r="F58" s="5"/>
      <c r="G58" s="7"/>
    </row>
    <row r="59" spans="1:9" ht="18.75" thickBot="1">
      <c r="A59" s="4"/>
      <c r="B59" s="6"/>
      <c r="C59" s="6"/>
      <c r="D59" s="6"/>
      <c r="E59" s="5"/>
      <c r="F59" s="5"/>
      <c r="G59" s="7"/>
    </row>
    <row r="60" spans="1:9" ht="20.25" thickBot="1">
      <c r="A60" s="12" t="s">
        <v>31</v>
      </c>
      <c r="B60" s="13"/>
      <c r="C60" s="14">
        <f>SUM(C55:C59)</f>
        <v>2243060</v>
      </c>
      <c r="D60" s="14">
        <f t="shared" ref="D60:G60" si="23">SUM(D55:D59)</f>
        <v>2273450</v>
      </c>
      <c r="E60" s="14">
        <f t="shared" si="23"/>
        <v>2294019</v>
      </c>
      <c r="F60" s="14">
        <f t="shared" si="23"/>
        <v>1606755.37</v>
      </c>
      <c r="G60" s="22">
        <f t="shared" si="23"/>
        <v>1606755.37</v>
      </c>
    </row>
    <row r="61" spans="1:9" ht="20.25" thickBot="1">
      <c r="A61" s="12" t="s">
        <v>24</v>
      </c>
      <c r="B61" s="13"/>
      <c r="C61" s="14">
        <f>C53+C60</f>
        <v>3438628</v>
      </c>
      <c r="D61" s="14">
        <f t="shared" ref="D61:G61" si="24">D53+D60</f>
        <v>3368222</v>
      </c>
      <c r="E61" s="14">
        <f t="shared" si="24"/>
        <v>3411913</v>
      </c>
      <c r="F61" s="14">
        <f t="shared" si="24"/>
        <v>2286047.4900000002</v>
      </c>
      <c r="G61" s="21">
        <f t="shared" si="24"/>
        <v>2286047.4900000002</v>
      </c>
    </row>
    <row r="63" spans="1:9" ht="15.75" thickBot="1"/>
    <row r="64" spans="1:9" ht="24.75" thickBot="1">
      <c r="A64" s="66" t="s">
        <v>32</v>
      </c>
      <c r="B64" s="67"/>
      <c r="C64" s="67"/>
      <c r="D64" s="67"/>
      <c r="E64" s="67"/>
      <c r="F64" s="67"/>
      <c r="G64" s="68"/>
    </row>
    <row r="65" spans="1:7" ht="19.5">
      <c r="A65" s="1" t="s">
        <v>33</v>
      </c>
      <c r="B65" s="2" t="str">
        <f>B46</f>
        <v>واحد</v>
      </c>
      <c r="C65" s="2">
        <f t="shared" ref="C65:G65" si="25">C46</f>
        <v>1400</v>
      </c>
      <c r="D65" s="2">
        <f t="shared" si="25"/>
        <v>1401</v>
      </c>
      <c r="E65" s="2">
        <f t="shared" si="25"/>
        <v>1402</v>
      </c>
      <c r="F65" s="2">
        <f t="shared" si="25"/>
        <v>1403</v>
      </c>
      <c r="G65" s="3" t="str">
        <f t="shared" si="25"/>
        <v>تحلیلی 1404</v>
      </c>
    </row>
    <row r="66" spans="1:7" ht="18">
      <c r="A66" s="4" t="s">
        <v>21</v>
      </c>
      <c r="B66" s="6" t="s">
        <v>18</v>
      </c>
      <c r="C66" s="28">
        <f>C84/C47*1000000</f>
        <v>801221.59627161792</v>
      </c>
      <c r="D66" s="28">
        <f t="shared" ref="D66:F66" si="26">D84/D47*1000000</f>
        <v>1802749.3081579546</v>
      </c>
      <c r="E66" s="28">
        <f t="shared" si="26"/>
        <v>3602030.3191544861</v>
      </c>
      <c r="F66" s="28">
        <f t="shared" si="26"/>
        <v>6814881.8680647854</v>
      </c>
      <c r="G66" s="50">
        <v>5150859</v>
      </c>
    </row>
    <row r="67" spans="1:7" ht="18">
      <c r="A67" s="4" t="s">
        <v>23</v>
      </c>
      <c r="B67" s="6" t="s">
        <v>18</v>
      </c>
      <c r="C67" s="28">
        <f>C85/C48*1000000</f>
        <v>66810641.444237828</v>
      </c>
      <c r="D67" s="28">
        <f t="shared" ref="D67:F67" si="27">D85/D48*1000000</f>
        <v>71609596.708965167</v>
      </c>
      <c r="E67" s="28">
        <f t="shared" si="27"/>
        <v>72936383.480529919</v>
      </c>
      <c r="F67" s="28">
        <f t="shared" si="27"/>
        <v>118869888.96284403</v>
      </c>
      <c r="G67" s="50">
        <f>G24*G21</f>
        <v>177600000</v>
      </c>
    </row>
    <row r="68" spans="1:7" ht="18">
      <c r="A68" s="4"/>
      <c r="B68" s="6"/>
      <c r="C68" s="6"/>
      <c r="D68" s="6"/>
      <c r="E68" s="5"/>
      <c r="F68" s="5"/>
      <c r="G68" s="7"/>
    </row>
    <row r="69" spans="1:7" ht="18">
      <c r="A69" s="4"/>
      <c r="B69" s="6"/>
      <c r="C69" s="6"/>
      <c r="D69" s="6"/>
      <c r="E69" s="5"/>
      <c r="F69" s="5"/>
      <c r="G69" s="7"/>
    </row>
    <row r="70" spans="1:7" ht="18">
      <c r="A70" s="4"/>
      <c r="B70" s="6"/>
      <c r="C70" s="6"/>
      <c r="D70" s="6"/>
      <c r="E70" s="5"/>
      <c r="F70" s="5"/>
      <c r="G70" s="7"/>
    </row>
    <row r="71" spans="1:7" ht="18.75" thickBot="1">
      <c r="A71" s="4"/>
      <c r="B71" s="6"/>
      <c r="C71" s="6"/>
      <c r="D71" s="6"/>
      <c r="E71" s="5"/>
      <c r="F71" s="5"/>
      <c r="G71" s="7"/>
    </row>
    <row r="72" spans="1:7" ht="20.25" thickBot="1">
      <c r="A72" s="12"/>
      <c r="B72" s="13"/>
      <c r="C72" s="14"/>
      <c r="D72" s="14"/>
      <c r="E72" s="14"/>
      <c r="F72" s="14"/>
      <c r="G72" s="15"/>
    </row>
    <row r="73" spans="1:7" ht="19.5">
      <c r="A73" s="1" t="s">
        <v>34</v>
      </c>
      <c r="B73" s="2" t="str">
        <f t="shared" ref="B73:G73" si="28">B65</f>
        <v>واحد</v>
      </c>
      <c r="C73" s="2">
        <f t="shared" si="28"/>
        <v>1400</v>
      </c>
      <c r="D73" s="2">
        <f t="shared" si="28"/>
        <v>1401</v>
      </c>
      <c r="E73" s="2">
        <f t="shared" si="28"/>
        <v>1402</v>
      </c>
      <c r="F73" s="2">
        <f t="shared" si="28"/>
        <v>1403</v>
      </c>
      <c r="G73" s="3" t="str">
        <f t="shared" si="28"/>
        <v>تحلیلی 1404</v>
      </c>
    </row>
    <row r="74" spans="1:7" ht="18">
      <c r="A74" s="4" t="s">
        <v>30</v>
      </c>
      <c r="B74" s="6" t="s">
        <v>18</v>
      </c>
      <c r="C74" s="28">
        <f>C92/C55*1000000</f>
        <v>79420700.739168808</v>
      </c>
      <c r="D74" s="28">
        <f t="shared" ref="D74:F74" si="29">D92/D55*1000000</f>
        <v>87623583.540434137</v>
      </c>
      <c r="E74" s="28">
        <f t="shared" si="29"/>
        <v>106212975.13228966</v>
      </c>
      <c r="F74" s="28">
        <f t="shared" si="29"/>
        <v>138919507.70327908</v>
      </c>
      <c r="G74" s="50">
        <f>G23*G21</f>
        <v>186480000</v>
      </c>
    </row>
    <row r="75" spans="1:7" ht="18">
      <c r="A75" s="4"/>
      <c r="B75" s="6"/>
      <c r="C75" s="6"/>
      <c r="D75" s="6"/>
      <c r="E75" s="5"/>
      <c r="F75" s="5"/>
      <c r="G75" s="7"/>
    </row>
    <row r="76" spans="1:7" ht="18">
      <c r="A76" s="4"/>
      <c r="B76" s="6"/>
      <c r="C76" s="6"/>
      <c r="D76" s="6"/>
      <c r="E76" s="5"/>
      <c r="F76" s="5"/>
      <c r="G76" s="7"/>
    </row>
    <row r="77" spans="1:7" ht="18">
      <c r="A77" s="4"/>
      <c r="B77" s="6"/>
      <c r="C77" s="6"/>
      <c r="D77" s="6"/>
      <c r="E77" s="5"/>
      <c r="F77" s="5"/>
      <c r="G77" s="7"/>
    </row>
    <row r="78" spans="1:7" ht="18.75" thickBot="1">
      <c r="A78" s="4"/>
      <c r="B78" s="6"/>
      <c r="C78" s="6"/>
      <c r="D78" s="6"/>
      <c r="E78" s="5"/>
      <c r="F78" s="5"/>
      <c r="G78" s="7"/>
    </row>
    <row r="79" spans="1:7" ht="20.25" thickBot="1">
      <c r="A79" s="12"/>
      <c r="B79" s="13"/>
      <c r="C79" s="14"/>
      <c r="D79" s="14"/>
      <c r="E79" s="14"/>
      <c r="F79" s="14"/>
      <c r="G79" s="15"/>
    </row>
    <row r="81" spans="1:8" ht="15.75" thickBot="1"/>
    <row r="82" spans="1:8" ht="24.75" thickBot="1">
      <c r="A82" s="66" t="s">
        <v>35</v>
      </c>
      <c r="B82" s="67"/>
      <c r="C82" s="67"/>
      <c r="D82" s="67"/>
      <c r="E82" s="67"/>
      <c r="F82" s="67"/>
      <c r="G82" s="68"/>
    </row>
    <row r="83" spans="1:8" ht="19.5">
      <c r="A83" s="1" t="s">
        <v>36</v>
      </c>
      <c r="B83" s="2" t="str">
        <f t="shared" ref="B83:G83" si="30">B73</f>
        <v>واحد</v>
      </c>
      <c r="C83" s="2">
        <f t="shared" si="30"/>
        <v>1400</v>
      </c>
      <c r="D83" s="2">
        <f t="shared" si="30"/>
        <v>1401</v>
      </c>
      <c r="E83" s="2">
        <f t="shared" si="30"/>
        <v>1402</v>
      </c>
      <c r="F83" s="2">
        <f t="shared" si="30"/>
        <v>1403</v>
      </c>
      <c r="G83" s="3" t="str">
        <f t="shared" si="30"/>
        <v>تحلیلی 1404</v>
      </c>
    </row>
    <row r="84" spans="1:8" ht="18">
      <c r="A84" s="4" t="s">
        <v>21</v>
      </c>
      <c r="B84" s="6" t="s">
        <v>5</v>
      </c>
      <c r="C84" s="28">
        <v>793747</v>
      </c>
      <c r="D84" s="28">
        <v>1637046</v>
      </c>
      <c r="E84" s="28">
        <v>3452438</v>
      </c>
      <c r="F84" s="28">
        <v>3907258</v>
      </c>
      <c r="G84" s="56">
        <f>G66*G47/1000000</f>
        <v>2953203.8007780001</v>
      </c>
    </row>
    <row r="85" spans="1:8" ht="18">
      <c r="A85" s="4" t="s">
        <v>23</v>
      </c>
      <c r="B85" s="6" t="s">
        <v>5</v>
      </c>
      <c r="C85" s="28">
        <v>13689300</v>
      </c>
      <c r="D85" s="28">
        <v>13368724</v>
      </c>
      <c r="E85" s="28">
        <v>11627810</v>
      </c>
      <c r="F85" s="28">
        <v>12594279</v>
      </c>
      <c r="G85" s="56">
        <f>G67*G48/1000000</f>
        <v>18816741.311999999</v>
      </c>
      <c r="H85" s="53"/>
    </row>
    <row r="86" spans="1:8" ht="18">
      <c r="A86" s="4"/>
      <c r="B86" s="6"/>
      <c r="C86" s="6"/>
      <c r="D86" s="6"/>
      <c r="E86" s="5"/>
      <c r="F86" s="5"/>
      <c r="G86" s="7"/>
    </row>
    <row r="87" spans="1:8" ht="18">
      <c r="A87" s="4"/>
      <c r="B87" s="6"/>
      <c r="C87" s="6"/>
      <c r="D87" s="6"/>
      <c r="E87" s="5"/>
      <c r="F87" s="5"/>
      <c r="G87" s="7"/>
    </row>
    <row r="88" spans="1:8" ht="18">
      <c r="A88" s="4"/>
      <c r="B88" s="6"/>
      <c r="C88" s="6"/>
      <c r="D88" s="6"/>
      <c r="E88" s="5"/>
      <c r="F88" s="5"/>
      <c r="G88" s="7"/>
    </row>
    <row r="89" spans="1:8" ht="18.75" thickBot="1">
      <c r="A89" s="4"/>
      <c r="B89" s="6"/>
      <c r="C89" s="6"/>
      <c r="D89" s="6"/>
      <c r="E89" s="5"/>
      <c r="F89" s="5"/>
      <c r="G89" s="7"/>
    </row>
    <row r="90" spans="1:8" ht="20.25" thickBot="1">
      <c r="A90" s="12" t="s">
        <v>28</v>
      </c>
      <c r="B90" s="13"/>
      <c r="C90" s="14">
        <f>SUM(C84:C89)</f>
        <v>14483047</v>
      </c>
      <c r="D90" s="14">
        <f t="shared" ref="D90:G90" si="31">SUM(D84:D89)</f>
        <v>15005770</v>
      </c>
      <c r="E90" s="14">
        <f t="shared" si="31"/>
        <v>15080248</v>
      </c>
      <c r="F90" s="14">
        <f t="shared" si="31"/>
        <v>16501537</v>
      </c>
      <c r="G90" s="52">
        <f t="shared" si="31"/>
        <v>21769945.112778001</v>
      </c>
    </row>
    <row r="91" spans="1:8" ht="19.5">
      <c r="A91" s="1" t="s">
        <v>37</v>
      </c>
      <c r="B91" s="2" t="str">
        <f t="shared" ref="B91:G91" si="32">B83</f>
        <v>واحد</v>
      </c>
      <c r="C91" s="2">
        <f t="shared" si="32"/>
        <v>1400</v>
      </c>
      <c r="D91" s="2">
        <f t="shared" si="32"/>
        <v>1401</v>
      </c>
      <c r="E91" s="2">
        <f t="shared" si="32"/>
        <v>1402</v>
      </c>
      <c r="F91" s="2">
        <f t="shared" si="32"/>
        <v>1403</v>
      </c>
      <c r="G91" s="3" t="str">
        <f t="shared" si="32"/>
        <v>تحلیلی 1404</v>
      </c>
    </row>
    <row r="92" spans="1:8" ht="18">
      <c r="A92" s="4" t="s">
        <v>30</v>
      </c>
      <c r="B92" s="6" t="s">
        <v>5</v>
      </c>
      <c r="C92" s="28">
        <v>178145397</v>
      </c>
      <c r="D92" s="28">
        <v>199207836</v>
      </c>
      <c r="E92" s="28">
        <v>243654583</v>
      </c>
      <c r="F92" s="28">
        <v>223209665</v>
      </c>
      <c r="G92" s="56">
        <f>G74*G55/1000000</f>
        <v>299627741.3976</v>
      </c>
    </row>
    <row r="93" spans="1:8" ht="18">
      <c r="A93" s="4"/>
      <c r="B93" s="6"/>
      <c r="C93" s="6"/>
      <c r="D93" s="6"/>
      <c r="E93" s="5"/>
      <c r="F93" s="5"/>
      <c r="G93" s="7"/>
    </row>
    <row r="94" spans="1:8" ht="18">
      <c r="A94" s="4"/>
      <c r="B94" s="6"/>
      <c r="C94" s="6"/>
      <c r="D94" s="6"/>
      <c r="E94" s="5"/>
      <c r="F94" s="5"/>
      <c r="G94" s="7"/>
    </row>
    <row r="95" spans="1:8" ht="18">
      <c r="A95" s="4"/>
      <c r="B95" s="6"/>
      <c r="C95" s="6"/>
      <c r="D95" s="6"/>
      <c r="E95" s="5"/>
      <c r="F95" s="5"/>
      <c r="G95" s="7"/>
    </row>
    <row r="96" spans="1:8" ht="18.75" thickBot="1">
      <c r="A96" s="4"/>
      <c r="B96" s="6"/>
      <c r="C96" s="6"/>
      <c r="D96" s="6"/>
      <c r="E96" s="5"/>
      <c r="F96" s="5"/>
      <c r="G96" s="7"/>
    </row>
    <row r="97" spans="1:7" ht="20.25" thickBot="1">
      <c r="A97" s="12" t="s">
        <v>31</v>
      </c>
      <c r="B97" s="13"/>
      <c r="C97" s="14">
        <f>SUM(C92:C96)</f>
        <v>178145397</v>
      </c>
      <c r="D97" s="14">
        <f t="shared" ref="D97:G97" si="33">SUM(D92:D96)</f>
        <v>199207836</v>
      </c>
      <c r="E97" s="14">
        <f t="shared" si="33"/>
        <v>243654583</v>
      </c>
      <c r="F97" s="14">
        <f t="shared" si="33"/>
        <v>223209665</v>
      </c>
      <c r="G97" s="58">
        <f t="shared" si="33"/>
        <v>299627741.3976</v>
      </c>
    </row>
    <row r="98" spans="1:7" ht="20.25" thickBot="1">
      <c r="A98" s="12" t="s">
        <v>24</v>
      </c>
      <c r="B98" s="13"/>
      <c r="C98" s="14">
        <f xml:space="preserve"> C90+C97</f>
        <v>192628444</v>
      </c>
      <c r="D98" s="14">
        <f t="shared" ref="D98:F98" si="34" xml:space="preserve"> D90+D97</f>
        <v>214213606</v>
      </c>
      <c r="E98" s="14">
        <f t="shared" si="34"/>
        <v>258734831</v>
      </c>
      <c r="F98" s="14">
        <f t="shared" si="34"/>
        <v>239711202</v>
      </c>
      <c r="G98" s="52">
        <f>G90+G97</f>
        <v>321397686.510378</v>
      </c>
    </row>
    <row r="100" spans="1:7" ht="15.75" thickBot="1"/>
    <row r="101" spans="1:7" ht="24.75" thickBot="1">
      <c r="A101" s="66" t="s">
        <v>38</v>
      </c>
      <c r="B101" s="67"/>
      <c r="C101" s="67"/>
      <c r="D101" s="67"/>
      <c r="E101" s="67"/>
      <c r="F101" s="67"/>
      <c r="G101" s="68"/>
    </row>
    <row r="102" spans="1:7" ht="19.5">
      <c r="A102" s="1" t="s">
        <v>39</v>
      </c>
      <c r="B102" s="2" t="str">
        <f>B91</f>
        <v>واحد</v>
      </c>
      <c r="C102" s="2">
        <f t="shared" ref="C102:G102" si="35">C91</f>
        <v>1400</v>
      </c>
      <c r="D102" s="2">
        <f t="shared" si="35"/>
        <v>1401</v>
      </c>
      <c r="E102" s="2">
        <f t="shared" si="35"/>
        <v>1402</v>
      </c>
      <c r="F102" s="2">
        <f t="shared" si="35"/>
        <v>1403</v>
      </c>
      <c r="G102" s="3" t="str">
        <f t="shared" si="35"/>
        <v>تحلیلی 1404</v>
      </c>
    </row>
    <row r="103" spans="1:7" ht="18">
      <c r="A103" s="4" t="s">
        <v>40</v>
      </c>
      <c r="B103" s="6" t="s">
        <v>41</v>
      </c>
      <c r="C103" s="28">
        <v>2323716512</v>
      </c>
      <c r="D103" s="28">
        <v>2151958353</v>
      </c>
      <c r="E103" s="28">
        <v>2041632502</v>
      </c>
      <c r="F103" s="28">
        <v>1465045283</v>
      </c>
      <c r="G103" s="56">
        <f>G105*G37</f>
        <v>1483991760.4435723</v>
      </c>
    </row>
    <row r="104" spans="1:7" ht="18">
      <c r="A104" s="4"/>
      <c r="B104" s="6"/>
      <c r="C104" s="6"/>
      <c r="D104" s="6"/>
      <c r="E104" s="5"/>
      <c r="F104" s="5"/>
      <c r="G104" s="7"/>
    </row>
    <row r="105" spans="1:7" ht="18">
      <c r="A105" s="4" t="s">
        <v>119</v>
      </c>
      <c r="B105" s="6"/>
      <c r="C105" s="6">
        <f>C103/C37</f>
        <v>924.27811277886849</v>
      </c>
      <c r="D105" s="6">
        <f t="shared" ref="D105:F105" si="36">D103/D37</f>
        <v>864.91695229842458</v>
      </c>
      <c r="E105" s="6">
        <f t="shared" si="36"/>
        <v>850.73727945916369</v>
      </c>
      <c r="F105" s="6">
        <f t="shared" si="36"/>
        <v>841.50319589014498</v>
      </c>
      <c r="G105" s="50">
        <f>AVERAGE(D105:F105)</f>
        <v>852.38580921591108</v>
      </c>
    </row>
    <row r="106" spans="1:7" ht="18">
      <c r="A106" s="4"/>
      <c r="B106" s="6"/>
      <c r="C106" s="6"/>
      <c r="D106" s="6"/>
      <c r="E106" s="5"/>
      <c r="F106" s="5"/>
      <c r="G106" s="7"/>
    </row>
    <row r="107" spans="1:7" ht="18">
      <c r="A107" s="4"/>
      <c r="B107" s="6"/>
      <c r="C107" s="6"/>
      <c r="D107" s="6"/>
      <c r="E107" s="5"/>
      <c r="F107" s="5"/>
      <c r="G107" s="7"/>
    </row>
    <row r="108" spans="1:7" ht="18.75" thickBot="1">
      <c r="A108" s="4"/>
      <c r="B108" s="6"/>
      <c r="C108" s="6"/>
      <c r="D108" s="6"/>
      <c r="E108" s="5"/>
      <c r="F108" s="5"/>
      <c r="G108" s="7"/>
    </row>
    <row r="109" spans="1:7" ht="20.25" thickBot="1">
      <c r="A109" s="12"/>
      <c r="B109" s="13"/>
      <c r="C109" s="14">
        <f t="shared" ref="C109:E109" si="37">SUM(C103)</f>
        <v>2323716512</v>
      </c>
      <c r="D109" s="14">
        <f t="shared" si="37"/>
        <v>2151958353</v>
      </c>
      <c r="E109" s="14">
        <f t="shared" si="37"/>
        <v>2041632502</v>
      </c>
      <c r="F109" s="14">
        <f>SUM(F103)</f>
        <v>1465045283</v>
      </c>
      <c r="G109" s="52">
        <f>SUM(G103)</f>
        <v>1483991760.4435723</v>
      </c>
    </row>
    <row r="110" spans="1:7" ht="19.5">
      <c r="A110" s="1" t="s">
        <v>42</v>
      </c>
      <c r="B110" s="2" t="str">
        <f>B91</f>
        <v>واحد</v>
      </c>
      <c r="C110" s="2">
        <f t="shared" ref="C110:G110" si="38">C91</f>
        <v>1400</v>
      </c>
      <c r="D110" s="2">
        <f t="shared" si="38"/>
        <v>1401</v>
      </c>
      <c r="E110" s="2">
        <f t="shared" si="38"/>
        <v>1402</v>
      </c>
      <c r="F110" s="2">
        <f t="shared" si="38"/>
        <v>1403</v>
      </c>
      <c r="G110" s="3" t="str">
        <f t="shared" si="38"/>
        <v>تحلیلی 1404</v>
      </c>
    </row>
    <row r="111" spans="1:7" ht="18">
      <c r="A111" s="4"/>
      <c r="B111" s="6"/>
      <c r="C111" s="6"/>
      <c r="D111" s="6"/>
      <c r="E111" s="5"/>
      <c r="F111" s="5"/>
      <c r="G111" s="7"/>
    </row>
    <row r="112" spans="1:7" ht="18">
      <c r="A112" s="4"/>
      <c r="B112" s="6"/>
      <c r="C112" s="6"/>
      <c r="D112" s="6"/>
      <c r="E112" s="5"/>
      <c r="F112" s="5"/>
      <c r="G112" s="7"/>
    </row>
    <row r="113" spans="1:7" ht="18">
      <c r="A113" s="4"/>
      <c r="B113" s="6"/>
      <c r="C113" s="6"/>
      <c r="D113" s="6"/>
      <c r="E113" s="5"/>
      <c r="F113" s="5"/>
      <c r="G113" s="7"/>
    </row>
    <row r="114" spans="1:7" ht="18">
      <c r="A114" s="4"/>
      <c r="B114" s="6"/>
      <c r="C114" s="6"/>
      <c r="D114" s="6"/>
      <c r="E114" s="5"/>
      <c r="F114" s="5"/>
      <c r="G114" s="7"/>
    </row>
    <row r="115" spans="1:7" ht="18.75" thickBot="1">
      <c r="A115" s="4"/>
      <c r="B115" s="6"/>
      <c r="C115" s="6"/>
      <c r="D115" s="6"/>
      <c r="E115" s="5"/>
      <c r="F115" s="5"/>
      <c r="G115" s="7"/>
    </row>
    <row r="116" spans="1:7" ht="20.25" thickBot="1">
      <c r="A116" s="12" t="s">
        <v>43</v>
      </c>
      <c r="B116" s="13"/>
      <c r="C116" s="14">
        <f>SUM(C111:C115)</f>
        <v>0</v>
      </c>
      <c r="D116" s="14">
        <f t="shared" ref="D116:G116" si="39">SUM(D111:D115)</f>
        <v>0</v>
      </c>
      <c r="E116" s="14">
        <f t="shared" si="39"/>
        <v>0</v>
      </c>
      <c r="F116" s="14">
        <f t="shared" si="39"/>
        <v>0</v>
      </c>
      <c r="G116" s="15">
        <f t="shared" si="39"/>
        <v>0</v>
      </c>
    </row>
    <row r="117" spans="1:7" ht="20.25" thickBot="1">
      <c r="A117" s="12" t="s">
        <v>24</v>
      </c>
      <c r="B117" s="13"/>
      <c r="C117" s="14">
        <f>C116+C109</f>
        <v>2323716512</v>
      </c>
      <c r="D117" s="14">
        <f>D116+D109</f>
        <v>2151958353</v>
      </c>
      <c r="E117" s="14">
        <f t="shared" ref="E117:G117" si="40">E116+E109</f>
        <v>2041632502</v>
      </c>
      <c r="F117" s="14">
        <f>F116+F109</f>
        <v>1465045283</v>
      </c>
      <c r="G117" s="15">
        <f t="shared" si="40"/>
        <v>1483991760.4435723</v>
      </c>
    </row>
    <row r="119" spans="1:7" ht="15.75" thickBot="1"/>
    <row r="120" spans="1:7" ht="24.75" thickBot="1">
      <c r="A120" s="66" t="s">
        <v>44</v>
      </c>
      <c r="B120" s="67"/>
      <c r="C120" s="67"/>
      <c r="D120" s="67"/>
      <c r="E120" s="67"/>
      <c r="F120" s="67"/>
      <c r="G120" s="68"/>
    </row>
    <row r="121" spans="1:7" ht="19.5">
      <c r="A121" s="1" t="s">
        <v>39</v>
      </c>
      <c r="B121" s="2" t="str">
        <f>B91</f>
        <v>واحد</v>
      </c>
      <c r="C121" s="2">
        <f t="shared" ref="C121:G121" si="41">C91</f>
        <v>1400</v>
      </c>
      <c r="D121" s="2">
        <f t="shared" si="41"/>
        <v>1401</v>
      </c>
      <c r="E121" s="2">
        <f t="shared" si="41"/>
        <v>1402</v>
      </c>
      <c r="F121" s="2">
        <f t="shared" si="41"/>
        <v>1403</v>
      </c>
      <c r="G121" s="3" t="str">
        <f t="shared" si="41"/>
        <v>تحلیلی 1404</v>
      </c>
    </row>
    <row r="122" spans="1:7" ht="18">
      <c r="A122" s="4" t="s">
        <v>40</v>
      </c>
      <c r="B122" s="6" t="s">
        <v>45</v>
      </c>
      <c r="C122" s="28">
        <f>C140/C103*1000000</f>
        <v>45214.206835226898</v>
      </c>
      <c r="D122" s="28">
        <f t="shared" ref="D122:F122" si="42">D140/D103*1000000</f>
        <v>50098.992784736292</v>
      </c>
      <c r="E122" s="28">
        <f t="shared" si="42"/>
        <v>61302.980765340501</v>
      </c>
      <c r="F122" s="28">
        <f t="shared" si="42"/>
        <v>65955.591353554089</v>
      </c>
      <c r="G122" s="50">
        <f>G27*G21/100</f>
        <v>96200</v>
      </c>
    </row>
    <row r="123" spans="1:7" ht="18">
      <c r="A123" s="4"/>
      <c r="B123" s="6"/>
      <c r="C123" s="6"/>
      <c r="D123" s="6"/>
      <c r="E123" s="5"/>
      <c r="F123" s="5"/>
      <c r="G123" s="7"/>
    </row>
    <row r="124" spans="1:7" ht="18">
      <c r="A124" s="4"/>
      <c r="B124" s="6"/>
      <c r="C124" s="6"/>
      <c r="D124" s="6"/>
      <c r="E124" s="5"/>
      <c r="F124" s="5"/>
      <c r="G124" s="7"/>
    </row>
    <row r="125" spans="1:7" ht="18">
      <c r="A125" s="4"/>
      <c r="B125" s="6"/>
      <c r="C125" s="6"/>
      <c r="D125" s="6"/>
      <c r="E125" s="5"/>
      <c r="F125" s="5"/>
      <c r="G125" s="7"/>
    </row>
    <row r="126" spans="1:7" ht="18">
      <c r="A126" s="4"/>
      <c r="B126" s="6"/>
      <c r="C126" s="6"/>
      <c r="D126" s="6"/>
      <c r="E126" s="5"/>
      <c r="F126" s="5"/>
      <c r="G126" s="7"/>
    </row>
    <row r="127" spans="1:7" ht="18.75" thickBot="1">
      <c r="A127" s="4"/>
      <c r="B127" s="6"/>
      <c r="C127" s="6"/>
      <c r="D127" s="6"/>
      <c r="E127" s="5"/>
      <c r="F127" s="5"/>
      <c r="G127" s="7"/>
    </row>
    <row r="128" spans="1:7" ht="20.25" thickBot="1">
      <c r="A128" s="12"/>
      <c r="B128" s="13"/>
      <c r="C128" s="14"/>
      <c r="D128" s="14"/>
      <c r="E128" s="14"/>
      <c r="F128" s="14"/>
      <c r="G128" s="15"/>
    </row>
    <row r="129" spans="1:7" ht="19.5">
      <c r="A129" s="1" t="s">
        <v>42</v>
      </c>
      <c r="B129" s="2" t="str">
        <f>B91</f>
        <v>واحد</v>
      </c>
      <c r="C129" s="2">
        <f t="shared" ref="C129:G129" si="43">C91</f>
        <v>1400</v>
      </c>
      <c r="D129" s="2">
        <f t="shared" si="43"/>
        <v>1401</v>
      </c>
      <c r="E129" s="2">
        <f t="shared" si="43"/>
        <v>1402</v>
      </c>
      <c r="F129" s="2">
        <f t="shared" si="43"/>
        <v>1403</v>
      </c>
      <c r="G129" s="3" t="str">
        <f t="shared" si="43"/>
        <v>تحلیلی 1404</v>
      </c>
    </row>
    <row r="130" spans="1:7" ht="18">
      <c r="A130" s="4"/>
      <c r="B130" s="6"/>
      <c r="C130" s="6"/>
      <c r="D130" s="6"/>
      <c r="E130" s="5"/>
      <c r="F130" s="5"/>
      <c r="G130" s="7"/>
    </row>
    <row r="131" spans="1:7" ht="18">
      <c r="A131" s="4"/>
      <c r="B131" s="6"/>
      <c r="C131" s="6"/>
      <c r="D131" s="6"/>
      <c r="E131" s="5"/>
      <c r="F131" s="5"/>
      <c r="G131" s="7"/>
    </row>
    <row r="132" spans="1:7" ht="18">
      <c r="A132" s="4"/>
      <c r="B132" s="6"/>
      <c r="C132" s="6"/>
      <c r="D132" s="6"/>
      <c r="E132" s="5"/>
      <c r="F132" s="5"/>
      <c r="G132" s="7"/>
    </row>
    <row r="133" spans="1:7" ht="18">
      <c r="A133" s="4"/>
      <c r="B133" s="6"/>
      <c r="C133" s="6"/>
      <c r="D133" s="6"/>
      <c r="E133" s="5"/>
      <c r="F133" s="5"/>
      <c r="G133" s="7"/>
    </row>
    <row r="134" spans="1:7" ht="18.75" thickBot="1">
      <c r="A134" s="4"/>
      <c r="B134" s="6"/>
      <c r="C134" s="6"/>
      <c r="D134" s="6"/>
      <c r="E134" s="5"/>
      <c r="F134" s="5"/>
      <c r="G134" s="7"/>
    </row>
    <row r="135" spans="1:7" ht="20.25" thickBot="1">
      <c r="A135" s="12"/>
      <c r="B135" s="13"/>
      <c r="C135" s="14"/>
      <c r="D135" s="14"/>
      <c r="E135" s="14"/>
      <c r="F135" s="14"/>
      <c r="G135" s="15"/>
    </row>
    <row r="137" spans="1:7" ht="15.75" thickBot="1"/>
    <row r="138" spans="1:7" ht="24.75" thickBot="1">
      <c r="A138" s="66" t="s">
        <v>46</v>
      </c>
      <c r="B138" s="67"/>
      <c r="C138" s="67"/>
      <c r="D138" s="67"/>
      <c r="E138" s="67"/>
      <c r="F138" s="67"/>
      <c r="G138" s="68"/>
    </row>
    <row r="139" spans="1:7" ht="19.5">
      <c r="A139" s="1" t="s">
        <v>39</v>
      </c>
      <c r="B139" s="2" t="str">
        <f>B121</f>
        <v>واحد</v>
      </c>
      <c r="C139" s="2">
        <f>C121</f>
        <v>1400</v>
      </c>
      <c r="D139" s="2">
        <f t="shared" ref="D139:G139" si="44">D121</f>
        <v>1401</v>
      </c>
      <c r="E139" s="2">
        <f t="shared" si="44"/>
        <v>1402</v>
      </c>
      <c r="F139" s="2">
        <f t="shared" si="44"/>
        <v>1403</v>
      </c>
      <c r="G139" s="2" t="str">
        <f t="shared" si="44"/>
        <v>تحلیلی 1404</v>
      </c>
    </row>
    <row r="140" spans="1:7" ht="18">
      <c r="A140" s="4" t="s">
        <v>40</v>
      </c>
      <c r="B140" s="6" t="s">
        <v>5</v>
      </c>
      <c r="C140" s="28">
        <v>105064999</v>
      </c>
      <c r="D140" s="28">
        <v>107810946</v>
      </c>
      <c r="E140" s="28">
        <v>125158158</v>
      </c>
      <c r="F140" s="28">
        <v>96627928</v>
      </c>
      <c r="G140" s="56">
        <f>G103*G122/1000000</f>
        <v>142760007.35467166</v>
      </c>
    </row>
    <row r="141" spans="1:7" ht="18">
      <c r="A141" s="4"/>
      <c r="B141" s="6"/>
      <c r="C141" s="6"/>
      <c r="D141" s="6"/>
      <c r="E141" s="5"/>
      <c r="F141" s="5"/>
      <c r="G141" s="7"/>
    </row>
    <row r="142" spans="1:7" ht="18">
      <c r="A142" s="4"/>
      <c r="B142" s="6"/>
      <c r="C142" s="6"/>
      <c r="D142" s="6"/>
      <c r="E142" s="5"/>
      <c r="F142" s="5"/>
      <c r="G142" s="7"/>
    </row>
    <row r="143" spans="1:7" ht="18">
      <c r="A143" s="4"/>
      <c r="B143" s="6"/>
      <c r="C143" s="6"/>
      <c r="D143" s="6"/>
      <c r="E143" s="5"/>
      <c r="F143" s="5"/>
      <c r="G143" s="7"/>
    </row>
    <row r="144" spans="1:7" ht="18">
      <c r="A144" s="4"/>
      <c r="B144" s="6"/>
      <c r="C144" s="6"/>
      <c r="D144" s="6"/>
      <c r="E144" s="5"/>
      <c r="F144" s="5"/>
      <c r="G144" s="7"/>
    </row>
    <row r="145" spans="1:7" ht="18.75" thickBot="1">
      <c r="A145" s="4"/>
      <c r="B145" s="6"/>
      <c r="C145" s="6"/>
      <c r="D145" s="6"/>
      <c r="E145" s="5"/>
      <c r="F145" s="5"/>
      <c r="G145" s="7"/>
    </row>
    <row r="146" spans="1:7" ht="20.25" thickBot="1">
      <c r="A146" s="12" t="s">
        <v>28</v>
      </c>
      <c r="B146" s="13"/>
      <c r="C146" s="14">
        <f t="shared" ref="C146:G146" si="45">SUM(C140:C145)</f>
        <v>105064999</v>
      </c>
      <c r="D146" s="14">
        <f t="shared" si="45"/>
        <v>107810946</v>
      </c>
      <c r="E146" s="14">
        <f t="shared" si="45"/>
        <v>125158158</v>
      </c>
      <c r="F146" s="14">
        <f t="shared" si="45"/>
        <v>96627928</v>
      </c>
      <c r="G146" s="52">
        <f t="shared" si="45"/>
        <v>142760007.35467166</v>
      </c>
    </row>
    <row r="147" spans="1:7" ht="19.5">
      <c r="A147" s="1" t="s">
        <v>42</v>
      </c>
      <c r="B147" s="2" t="str">
        <f>B139</f>
        <v>واحد</v>
      </c>
      <c r="C147" s="2">
        <f t="shared" ref="C147:G147" si="46">C139</f>
        <v>1400</v>
      </c>
      <c r="D147" s="2">
        <f t="shared" si="46"/>
        <v>1401</v>
      </c>
      <c r="E147" s="2">
        <f t="shared" si="46"/>
        <v>1402</v>
      </c>
      <c r="F147" s="2">
        <f t="shared" si="46"/>
        <v>1403</v>
      </c>
      <c r="G147" s="16" t="str">
        <f t="shared" si="46"/>
        <v>تحلیلی 1404</v>
      </c>
    </row>
    <row r="148" spans="1:7" ht="18">
      <c r="A148" s="4"/>
      <c r="B148" s="6"/>
      <c r="C148" s="6"/>
      <c r="D148" s="6"/>
      <c r="E148" s="5"/>
      <c r="F148" s="5"/>
      <c r="G148" s="7"/>
    </row>
    <row r="149" spans="1:7" ht="18">
      <c r="A149" s="4"/>
      <c r="B149" s="6"/>
      <c r="C149" s="6"/>
      <c r="D149" s="6"/>
      <c r="E149" s="5"/>
      <c r="F149" s="5"/>
      <c r="G149" s="7"/>
    </row>
    <row r="150" spans="1:7" ht="18">
      <c r="A150" s="4"/>
      <c r="B150" s="6"/>
      <c r="C150" s="6"/>
      <c r="D150" s="6"/>
      <c r="E150" s="5"/>
      <c r="F150" s="5"/>
      <c r="G150" s="7"/>
    </row>
    <row r="151" spans="1:7" ht="18">
      <c r="A151" s="4"/>
      <c r="B151" s="6"/>
      <c r="C151" s="6"/>
      <c r="D151" s="6"/>
      <c r="E151" s="5"/>
      <c r="F151" s="5"/>
      <c r="G151" s="7"/>
    </row>
    <row r="152" spans="1:7" ht="18.75" thickBot="1">
      <c r="A152" s="4"/>
      <c r="B152" s="6"/>
      <c r="C152" s="6"/>
      <c r="D152" s="6"/>
      <c r="E152" s="5"/>
      <c r="F152" s="5"/>
      <c r="G152" s="7"/>
    </row>
    <row r="153" spans="1:7" ht="20.25" thickBot="1">
      <c r="A153" s="20" t="s">
        <v>43</v>
      </c>
      <c r="B153" s="20"/>
      <c r="C153" s="20">
        <f t="shared" ref="C153:G153" si="47">SUM(C148:C152)</f>
        <v>0</v>
      </c>
      <c r="D153" s="20">
        <f t="shared" si="47"/>
        <v>0</v>
      </c>
      <c r="E153" s="20">
        <f t="shared" si="47"/>
        <v>0</v>
      </c>
      <c r="F153" s="20">
        <f t="shared" si="47"/>
        <v>0</v>
      </c>
      <c r="G153" s="20">
        <f t="shared" si="47"/>
        <v>0</v>
      </c>
    </row>
    <row r="154" spans="1:7" ht="20.25" thickBot="1">
      <c r="A154" s="20" t="s">
        <v>24</v>
      </c>
      <c r="B154" s="20"/>
      <c r="C154" s="20">
        <f>C153+C146</f>
        <v>105064999</v>
      </c>
      <c r="D154" s="20">
        <f t="shared" ref="D154:G154" si="48">D153+D146</f>
        <v>107810946</v>
      </c>
      <c r="E154" s="20">
        <f t="shared" si="48"/>
        <v>125158158</v>
      </c>
      <c r="F154" s="20">
        <f t="shared" si="48"/>
        <v>96627928</v>
      </c>
      <c r="G154" s="20">
        <f t="shared" si="48"/>
        <v>142760007.35467166</v>
      </c>
    </row>
    <row r="156" spans="1:7" ht="15.75" thickBot="1"/>
    <row r="157" spans="1:7" ht="24.75" thickBot="1">
      <c r="A157" s="66" t="s">
        <v>47</v>
      </c>
      <c r="B157" s="67"/>
      <c r="C157" s="67"/>
      <c r="D157" s="67"/>
      <c r="E157" s="67"/>
      <c r="F157" s="67"/>
      <c r="G157" s="68"/>
    </row>
    <row r="158" spans="1:7" ht="19.5">
      <c r="A158" s="1" t="s">
        <v>48</v>
      </c>
      <c r="B158" s="2" t="str">
        <f>B139</f>
        <v>واحد</v>
      </c>
      <c r="C158" s="2">
        <f t="shared" ref="C158:G158" si="49">C139</f>
        <v>1400</v>
      </c>
      <c r="D158" s="2">
        <f t="shared" si="49"/>
        <v>1401</v>
      </c>
      <c r="E158" s="2">
        <f t="shared" si="49"/>
        <v>1402</v>
      </c>
      <c r="F158" s="2">
        <f t="shared" si="49"/>
        <v>1403</v>
      </c>
      <c r="G158" s="23" t="str">
        <f t="shared" si="49"/>
        <v>تحلیلی 1404</v>
      </c>
    </row>
    <row r="159" spans="1:7" ht="18">
      <c r="A159" s="4" t="s">
        <v>49</v>
      </c>
      <c r="B159" s="6" t="s">
        <v>5</v>
      </c>
      <c r="C159" s="28">
        <f>C154</f>
        <v>105064999</v>
      </c>
      <c r="D159" s="28">
        <f t="shared" ref="D159:G159" si="50">D154</f>
        <v>107810946</v>
      </c>
      <c r="E159" s="28">
        <f t="shared" si="50"/>
        <v>125158158</v>
      </c>
      <c r="F159" s="28">
        <f t="shared" si="50"/>
        <v>96627928</v>
      </c>
      <c r="G159" s="49">
        <f t="shared" si="50"/>
        <v>142760007.35467166</v>
      </c>
    </row>
    <row r="160" spans="1:7" ht="18">
      <c r="A160" s="4" t="s">
        <v>50</v>
      </c>
      <c r="B160" s="6" t="s">
        <v>5</v>
      </c>
      <c r="C160" s="28">
        <v>808338</v>
      </c>
      <c r="D160" s="28">
        <v>1252614</v>
      </c>
      <c r="E160" s="28">
        <v>1583503</v>
      </c>
      <c r="F160" s="28">
        <v>2426156</v>
      </c>
      <c r="G160" s="56">
        <f>(1+G28)*F160</f>
        <v>3396618.4</v>
      </c>
    </row>
    <row r="161" spans="1:7" ht="18.75" thickBot="1">
      <c r="A161" s="4" t="s">
        <v>51</v>
      </c>
      <c r="B161" s="6" t="s">
        <v>5</v>
      </c>
      <c r="C161" s="28">
        <f t="shared" ref="C161:E161" si="51">C180</f>
        <v>46022181</v>
      </c>
      <c r="D161" s="28">
        <f t="shared" si="51"/>
        <v>38484357</v>
      </c>
      <c r="E161" s="28">
        <f t="shared" si="51"/>
        <v>65243455</v>
      </c>
      <c r="F161" s="28">
        <f>F180</f>
        <v>81432653</v>
      </c>
      <c r="G161" s="56">
        <f>G180</f>
        <v>113450632.59999999</v>
      </c>
    </row>
    <row r="162" spans="1:7" ht="20.25" thickBot="1">
      <c r="A162" s="17" t="s">
        <v>52</v>
      </c>
      <c r="B162" s="18" t="s">
        <v>5</v>
      </c>
      <c r="C162" s="18">
        <f>C159+C160+C161</f>
        <v>151895518</v>
      </c>
      <c r="D162" s="18">
        <f t="shared" ref="D162:G162" si="52">D159+D160+D161</f>
        <v>147547917</v>
      </c>
      <c r="E162" s="18">
        <f t="shared" si="52"/>
        <v>191985116</v>
      </c>
      <c r="F162" s="18">
        <f t="shared" si="52"/>
        <v>180486737</v>
      </c>
      <c r="G162" s="59">
        <f t="shared" si="52"/>
        <v>259607258.35467166</v>
      </c>
    </row>
    <row r="163" spans="1:7" ht="18">
      <c r="A163" s="4" t="s">
        <v>53</v>
      </c>
      <c r="B163" s="6" t="s">
        <v>5</v>
      </c>
      <c r="C163" s="28"/>
      <c r="D163" s="28"/>
      <c r="E163" s="28">
        <v>-2893632</v>
      </c>
      <c r="F163" s="28">
        <v>-13755846</v>
      </c>
      <c r="G163" s="57">
        <f>F163/F162*G162</f>
        <v>-19786038.164173119</v>
      </c>
    </row>
    <row r="164" spans="1:7" ht="18">
      <c r="A164" s="4" t="s">
        <v>54</v>
      </c>
      <c r="B164" s="6" t="s">
        <v>5</v>
      </c>
      <c r="C164" s="28">
        <f>C162+C163</f>
        <v>151895518</v>
      </c>
      <c r="D164" s="28">
        <f t="shared" ref="D164:G164" si="53">D162+D163</f>
        <v>147547917</v>
      </c>
      <c r="E164" s="28">
        <f t="shared" si="53"/>
        <v>189091484</v>
      </c>
      <c r="F164" s="28">
        <f t="shared" si="53"/>
        <v>166730891</v>
      </c>
      <c r="G164" s="49">
        <f t="shared" si="53"/>
        <v>239821220.19049853</v>
      </c>
    </row>
    <row r="165" spans="1:7" ht="18">
      <c r="A165" s="4" t="s">
        <v>55</v>
      </c>
      <c r="B165" s="6" t="s">
        <v>5</v>
      </c>
      <c r="C165" s="28"/>
      <c r="D165" s="28"/>
      <c r="E165" s="28">
        <v>86322</v>
      </c>
      <c r="F165" s="28">
        <v>-273390</v>
      </c>
      <c r="G165" s="57">
        <f>F165/F164*G164</f>
        <v>-393236.80809622974</v>
      </c>
    </row>
    <row r="166" spans="1:7" ht="18">
      <c r="A166" s="4" t="s">
        <v>56</v>
      </c>
      <c r="B166" s="6" t="s">
        <v>5</v>
      </c>
      <c r="C166" s="28">
        <f>C164+C165</f>
        <v>151895518</v>
      </c>
      <c r="D166" s="28">
        <f t="shared" ref="D166:G166" si="54">D164+D165</f>
        <v>147547917</v>
      </c>
      <c r="E166" s="28">
        <f>E164+E165</f>
        <v>189177806</v>
      </c>
      <c r="F166" s="28">
        <f>F164+F165</f>
        <v>166457501</v>
      </c>
      <c r="G166" s="49">
        <f t="shared" si="54"/>
        <v>239427983.3824023</v>
      </c>
    </row>
    <row r="167" spans="1:7" ht="18">
      <c r="A167" s="4" t="s">
        <v>57</v>
      </c>
      <c r="B167" s="6" t="s">
        <v>5</v>
      </c>
      <c r="C167" s="28"/>
      <c r="D167" s="28"/>
      <c r="E167" s="28">
        <v>6866426</v>
      </c>
      <c r="F167" s="28">
        <v>4023777</v>
      </c>
      <c r="G167" s="57">
        <f>F167/F166*G166</f>
        <v>5787692.3953729942</v>
      </c>
    </row>
    <row r="168" spans="1:7" ht="18.75" thickBot="1">
      <c r="A168" s="4" t="s">
        <v>58</v>
      </c>
      <c r="B168" s="6" t="s">
        <v>5</v>
      </c>
      <c r="C168" s="28"/>
      <c r="D168" s="28"/>
      <c r="E168" s="28">
        <v>-4023777</v>
      </c>
      <c r="F168" s="28">
        <v>-7390538</v>
      </c>
      <c r="G168" s="57">
        <f>F168/F167*G167</f>
        <v>-10630350.683031177</v>
      </c>
    </row>
    <row r="169" spans="1:7" ht="20.25" thickBot="1">
      <c r="A169" s="19" t="s">
        <v>59</v>
      </c>
      <c r="B169" s="20" t="s">
        <v>5</v>
      </c>
      <c r="C169" s="20">
        <f>C166+C167+C168</f>
        <v>151895518</v>
      </c>
      <c r="D169" s="20">
        <f t="shared" ref="D169:F169" si="55">D166+D167+D168</f>
        <v>147547917</v>
      </c>
      <c r="E169" s="20">
        <f t="shared" si="55"/>
        <v>192020455</v>
      </c>
      <c r="F169" s="20">
        <f t="shared" si="55"/>
        <v>163090740</v>
      </c>
      <c r="G169" s="59">
        <f>G166+G167+G168</f>
        <v>234585325.09474412</v>
      </c>
    </row>
    <row r="171" spans="1:7" ht="15.75" thickBot="1"/>
    <row r="172" spans="1:7" ht="24.75" thickBot="1">
      <c r="A172" s="66" t="s">
        <v>60</v>
      </c>
      <c r="B172" s="67"/>
      <c r="C172" s="67"/>
      <c r="D172" s="67"/>
      <c r="E172" s="67"/>
      <c r="F172" s="67"/>
      <c r="G172" s="68"/>
    </row>
    <row r="173" spans="1:7" ht="19.5">
      <c r="A173" s="1" t="str">
        <f>A158</f>
        <v>شرح</v>
      </c>
      <c r="B173" s="2" t="str">
        <f t="shared" ref="B173:G173" si="56">B158</f>
        <v>واحد</v>
      </c>
      <c r="C173" s="2">
        <f t="shared" si="56"/>
        <v>1400</v>
      </c>
      <c r="D173" s="2">
        <f t="shared" si="56"/>
        <v>1401</v>
      </c>
      <c r="E173" s="2">
        <f t="shared" si="56"/>
        <v>1402</v>
      </c>
      <c r="F173" s="2">
        <f t="shared" si="56"/>
        <v>1403</v>
      </c>
      <c r="G173" s="2" t="str">
        <f t="shared" si="56"/>
        <v>تحلیلی 1404</v>
      </c>
    </row>
    <row r="174" spans="1:7" ht="18">
      <c r="A174" s="4" t="s">
        <v>61</v>
      </c>
      <c r="B174" t="s">
        <v>5</v>
      </c>
      <c r="C174" s="28">
        <v>4728537</v>
      </c>
      <c r="D174" s="28">
        <v>7679985</v>
      </c>
      <c r="E174" s="28">
        <v>9892995</v>
      </c>
      <c r="F174" s="28">
        <v>15780807</v>
      </c>
      <c r="G174" s="56">
        <f>F174*(1+G29)</f>
        <v>22093129.799999997</v>
      </c>
    </row>
    <row r="175" spans="1:7" ht="18">
      <c r="A175" s="4" t="s">
        <v>62</v>
      </c>
      <c r="B175" t="s">
        <v>5</v>
      </c>
      <c r="C175" s="28">
        <v>937371</v>
      </c>
      <c r="D175" s="28">
        <v>1268052</v>
      </c>
      <c r="E175" s="28">
        <v>1384769</v>
      </c>
      <c r="F175" s="28">
        <v>1387704</v>
      </c>
      <c r="G175" s="29">
        <f>F175</f>
        <v>1387704</v>
      </c>
    </row>
    <row r="176" spans="1:7" ht="18">
      <c r="A176" s="4" t="s">
        <v>66</v>
      </c>
      <c r="B176" t="s">
        <v>5</v>
      </c>
      <c r="C176" s="28">
        <v>36047411</v>
      </c>
      <c r="D176" s="28">
        <v>23089420</v>
      </c>
      <c r="E176" s="28">
        <v>5151884</v>
      </c>
      <c r="F176" s="28">
        <v>5256952</v>
      </c>
      <c r="G176" s="56">
        <f>F176*(1+G29)</f>
        <v>7359732.7999999998</v>
      </c>
    </row>
    <row r="177" spans="1:7" ht="18">
      <c r="A177" s="4" t="s">
        <v>63</v>
      </c>
      <c r="B177" t="s">
        <v>5</v>
      </c>
      <c r="C177" s="28">
        <v>2395758</v>
      </c>
      <c r="D177" s="28">
        <v>2570904</v>
      </c>
      <c r="E177" s="28">
        <v>43732421</v>
      </c>
      <c r="F177" s="28">
        <v>47428058</v>
      </c>
      <c r="G177" s="49">
        <f>F177*(1+G29)</f>
        <v>66399281.199999996</v>
      </c>
    </row>
    <row r="178" spans="1:7" ht="18">
      <c r="A178" s="4" t="s">
        <v>65</v>
      </c>
      <c r="B178" t="s">
        <v>5</v>
      </c>
      <c r="C178" s="28">
        <v>1913104</v>
      </c>
      <c r="D178" s="28">
        <v>3875996</v>
      </c>
      <c r="E178" s="28">
        <v>5081386</v>
      </c>
      <c r="F178" s="28">
        <v>11579132</v>
      </c>
      <c r="G178" s="49">
        <f>F178*(1+G29)</f>
        <v>16210784.799999999</v>
      </c>
    </row>
    <row r="179" spans="1:7" ht="18.75" thickBot="1">
      <c r="A179" s="4"/>
      <c r="C179" s="28"/>
      <c r="D179" s="28"/>
      <c r="E179" s="28"/>
      <c r="F179" s="28"/>
      <c r="G179" s="7"/>
    </row>
    <row r="180" spans="1:7" ht="20.25" thickBot="1">
      <c r="A180" s="19" t="s">
        <v>68</v>
      </c>
      <c r="B180" s="20" t="s">
        <v>5</v>
      </c>
      <c r="C180" s="20">
        <f t="shared" ref="C180:E180" si="57">SUM(C174:C179)</f>
        <v>46022181</v>
      </c>
      <c r="D180" s="20">
        <f t="shared" si="57"/>
        <v>38484357</v>
      </c>
      <c r="E180" s="20">
        <f t="shared" si="57"/>
        <v>65243455</v>
      </c>
      <c r="F180" s="25">
        <f>SUM(F174:F179)</f>
        <v>81432653</v>
      </c>
      <c r="G180" s="20">
        <f>SUM(G174:G179)</f>
        <v>113450632.59999999</v>
      </c>
    </row>
    <row r="182" spans="1:7" ht="15.75" thickBot="1"/>
    <row r="183" spans="1:7" ht="24.75" thickBot="1">
      <c r="A183" s="66" t="s">
        <v>67</v>
      </c>
      <c r="B183" s="67"/>
      <c r="C183" s="67"/>
      <c r="D183" s="67"/>
      <c r="E183" s="67"/>
      <c r="F183" s="67"/>
      <c r="G183" s="68"/>
    </row>
    <row r="184" spans="1:7" ht="19.5">
      <c r="A184" s="1" t="str">
        <f>A173</f>
        <v>شرح</v>
      </c>
      <c r="B184" s="1" t="str">
        <f t="shared" ref="B184:G184" si="58">B173</f>
        <v>واحد</v>
      </c>
      <c r="C184" s="1">
        <f t="shared" si="58"/>
        <v>1400</v>
      </c>
      <c r="D184" s="1">
        <f t="shared" si="58"/>
        <v>1401</v>
      </c>
      <c r="E184" s="1">
        <f t="shared" si="58"/>
        <v>1402</v>
      </c>
      <c r="F184" s="1">
        <f t="shared" si="58"/>
        <v>1403</v>
      </c>
      <c r="G184" s="1" t="str">
        <f t="shared" si="58"/>
        <v>تحلیلی 1404</v>
      </c>
    </row>
    <row r="185" spans="1:7" ht="18">
      <c r="A185" s="4" t="s">
        <v>61</v>
      </c>
      <c r="B185" s="6"/>
      <c r="C185" s="28">
        <v>829781</v>
      </c>
      <c r="D185" s="28">
        <v>1436743</v>
      </c>
      <c r="E185" s="28">
        <v>2124535</v>
      </c>
      <c r="F185" s="28">
        <v>3601117</v>
      </c>
      <c r="G185" s="57">
        <f>F185*(1+G28)</f>
        <v>5041563.8</v>
      </c>
    </row>
    <row r="186" spans="1:7" ht="18">
      <c r="A186" s="4" t="s">
        <v>62</v>
      </c>
      <c r="B186" s="6"/>
      <c r="C186" s="28">
        <v>316671</v>
      </c>
      <c r="D186" s="28">
        <v>1158291</v>
      </c>
      <c r="E186" s="28">
        <v>2158234</v>
      </c>
      <c r="F186" s="28">
        <v>3782354</v>
      </c>
      <c r="G186" s="29">
        <f>F186</f>
        <v>3782354</v>
      </c>
    </row>
    <row r="187" spans="1:7" ht="18">
      <c r="A187" s="4" t="s">
        <v>66</v>
      </c>
      <c r="B187" s="6"/>
      <c r="C187" s="28">
        <v>0</v>
      </c>
      <c r="D187" s="28">
        <v>0</v>
      </c>
      <c r="E187" s="28">
        <v>0</v>
      </c>
      <c r="F187" s="28">
        <v>0</v>
      </c>
      <c r="G187" s="7">
        <v>0</v>
      </c>
    </row>
    <row r="188" spans="1:7" ht="18">
      <c r="A188" s="4" t="s">
        <v>63</v>
      </c>
      <c r="B188" s="6"/>
      <c r="C188" s="28">
        <v>90298</v>
      </c>
      <c r="D188" s="28">
        <v>85568</v>
      </c>
      <c r="E188" s="28">
        <v>177006</v>
      </c>
      <c r="F188" s="28">
        <v>301579</v>
      </c>
      <c r="G188" s="56">
        <f>F188*(1+G29)</f>
        <v>422210.6</v>
      </c>
    </row>
    <row r="189" spans="1:7" ht="18">
      <c r="A189" s="4" t="s">
        <v>64</v>
      </c>
      <c r="B189" s="6"/>
      <c r="C189" s="28">
        <v>26494757</v>
      </c>
      <c r="D189" s="28">
        <v>37249671</v>
      </c>
      <c r="E189" s="28">
        <v>45116008</v>
      </c>
      <c r="F189" s="28">
        <v>42079844</v>
      </c>
      <c r="G189" s="29">
        <f>G25*G21*G55/1000000</f>
        <v>64205944.585200004</v>
      </c>
    </row>
    <row r="190" spans="1:7" ht="18.75" thickBot="1">
      <c r="A190" s="4" t="s">
        <v>65</v>
      </c>
      <c r="B190" s="6"/>
      <c r="C190" s="28">
        <v>2731600</v>
      </c>
      <c r="D190" s="28">
        <v>4258162</v>
      </c>
      <c r="E190" s="28">
        <v>7609388</v>
      </c>
      <c r="F190" s="28">
        <v>12117434</v>
      </c>
      <c r="G190" s="57">
        <f>F190*(1+G29)</f>
        <v>16964407.599999998</v>
      </c>
    </row>
    <row r="191" spans="1:7" ht="20.25" thickBot="1">
      <c r="A191" s="19" t="s">
        <v>69</v>
      </c>
      <c r="B191" s="20">
        <f>SUM(B185:B190)</f>
        <v>0</v>
      </c>
      <c r="C191" s="20">
        <f t="shared" ref="C191" si="59">SUM(C185:C190)</f>
        <v>30463107</v>
      </c>
      <c r="D191" s="20">
        <f t="shared" ref="D191" si="60">SUM(D185:D190)</f>
        <v>44188435</v>
      </c>
      <c r="E191" s="20">
        <f>SUM(E185:E190)</f>
        <v>57185171</v>
      </c>
      <c r="F191" s="20">
        <f t="shared" ref="F191:G191" si="61">SUM(F185:F190)</f>
        <v>61882328</v>
      </c>
      <c r="G191" s="20">
        <f t="shared" si="61"/>
        <v>90416480.585199997</v>
      </c>
    </row>
    <row r="193" spans="1:7" ht="15.75" thickBot="1"/>
    <row r="194" spans="1:7" ht="24.75" thickBot="1">
      <c r="A194" s="66" t="s">
        <v>70</v>
      </c>
      <c r="B194" s="67"/>
      <c r="C194" s="67"/>
      <c r="D194" s="67"/>
      <c r="E194" s="67"/>
      <c r="F194" s="67"/>
      <c r="G194" s="68"/>
    </row>
    <row r="195" spans="1:7" ht="20.25" thickBot="1">
      <c r="A195" s="1" t="str">
        <f>A184</f>
        <v>شرح</v>
      </c>
      <c r="B195" s="1" t="str">
        <f t="shared" ref="B195:G195" si="62">B184</f>
        <v>واحد</v>
      </c>
      <c r="C195" s="1">
        <f t="shared" si="62"/>
        <v>1400</v>
      </c>
      <c r="D195" s="1">
        <f t="shared" si="62"/>
        <v>1401</v>
      </c>
      <c r="E195" s="1">
        <f t="shared" si="62"/>
        <v>1402</v>
      </c>
      <c r="F195" s="1">
        <f t="shared" si="62"/>
        <v>1403</v>
      </c>
      <c r="G195" s="1" t="str">
        <f t="shared" si="62"/>
        <v>تحلیلی 1404</v>
      </c>
    </row>
    <row r="196" spans="1:7" ht="19.5">
      <c r="A196" s="1" t="s">
        <v>74</v>
      </c>
      <c r="B196" s="1"/>
      <c r="C196" s="1"/>
      <c r="D196" s="1"/>
      <c r="E196" s="1"/>
      <c r="F196" s="1"/>
      <c r="G196" s="7"/>
    </row>
    <row r="197" spans="1:7" ht="18">
      <c r="A197" s="6" t="s">
        <v>71</v>
      </c>
      <c r="B197" s="6"/>
      <c r="C197" s="28">
        <v>28145</v>
      </c>
      <c r="D197" s="28">
        <v>8164943</v>
      </c>
      <c r="E197" s="28">
        <v>1258764</v>
      </c>
      <c r="F197" s="28">
        <v>17558332</v>
      </c>
      <c r="G197" s="29">
        <f>Sheet2!F8</f>
        <v>7909868.539007999</v>
      </c>
    </row>
    <row r="198" spans="1:7" ht="18">
      <c r="A198" s="6" t="s">
        <v>72</v>
      </c>
      <c r="B198" s="6"/>
      <c r="C198" s="28">
        <v>0</v>
      </c>
      <c r="D198" s="28">
        <v>0</v>
      </c>
      <c r="E198" s="28">
        <v>4160610</v>
      </c>
      <c r="F198" s="28">
        <v>2378853</v>
      </c>
      <c r="G198" s="57">
        <f>F198*(1+G29)</f>
        <v>3330394.1999999997</v>
      </c>
    </row>
    <row r="199" spans="1:7" ht="18.75" thickBot="1">
      <c r="A199" s="6" t="s">
        <v>73</v>
      </c>
      <c r="B199" s="6"/>
      <c r="C199" s="28">
        <v>0</v>
      </c>
      <c r="D199" s="28">
        <v>0</v>
      </c>
      <c r="E199" s="28">
        <v>0</v>
      </c>
      <c r="F199" s="28">
        <v>30608696</v>
      </c>
      <c r="G199" s="7">
        <v>0</v>
      </c>
    </row>
    <row r="200" spans="1:7" ht="20.25" thickBot="1">
      <c r="A200" s="19" t="s">
        <v>77</v>
      </c>
      <c r="B200" s="20"/>
      <c r="C200" s="20">
        <f>SUM(C197:C199)</f>
        <v>28145</v>
      </c>
      <c r="D200" s="20">
        <f t="shared" ref="D200:G200" si="63">SUM(D197:D199)</f>
        <v>8164943</v>
      </c>
      <c r="E200" s="20">
        <f t="shared" si="63"/>
        <v>5419374</v>
      </c>
      <c r="F200" s="20">
        <f t="shared" si="63"/>
        <v>50545881</v>
      </c>
      <c r="G200" s="20">
        <f t="shared" si="63"/>
        <v>11240262.739007998</v>
      </c>
    </row>
    <row r="201" spans="1:7" ht="19.5">
      <c r="A201" s="1" t="s">
        <v>75</v>
      </c>
      <c r="B201" s="1"/>
      <c r="C201" s="1"/>
      <c r="D201" s="1"/>
      <c r="E201" s="1"/>
      <c r="F201" s="1"/>
      <c r="G201" s="7"/>
    </row>
    <row r="202" spans="1:7" ht="18">
      <c r="A202" s="6" t="s">
        <v>79</v>
      </c>
      <c r="B202" s="6"/>
      <c r="C202" s="28">
        <v>0</v>
      </c>
      <c r="D202" s="28">
        <v>0</v>
      </c>
      <c r="E202" s="28">
        <v>0</v>
      </c>
      <c r="F202" s="28">
        <v>0</v>
      </c>
      <c r="G202" s="7">
        <v>0</v>
      </c>
    </row>
    <row r="203" spans="1:7" ht="18">
      <c r="A203" s="6" t="s">
        <v>80</v>
      </c>
      <c r="B203" s="6"/>
      <c r="C203" s="28">
        <v>499411</v>
      </c>
      <c r="D203" s="28">
        <v>0</v>
      </c>
      <c r="E203" s="28">
        <v>0</v>
      </c>
      <c r="F203" s="28">
        <v>0</v>
      </c>
      <c r="G203" s="7">
        <v>0</v>
      </c>
    </row>
    <row r="204" spans="1:7" ht="18">
      <c r="A204" s="6" t="s">
        <v>76</v>
      </c>
      <c r="B204" s="6"/>
      <c r="C204" s="28">
        <v>0</v>
      </c>
      <c r="D204" s="28">
        <v>2242023</v>
      </c>
      <c r="E204" s="28">
        <v>2893632</v>
      </c>
      <c r="F204" s="28">
        <v>13755846</v>
      </c>
      <c r="G204" s="29">
        <f>AVERAGE(D204:F204)</f>
        <v>6297167</v>
      </c>
    </row>
    <row r="205" spans="1:7" ht="18">
      <c r="A205" s="6" t="s">
        <v>81</v>
      </c>
      <c r="B205" s="6"/>
      <c r="C205" s="28">
        <v>0</v>
      </c>
      <c r="D205" s="28">
        <v>0</v>
      </c>
      <c r="E205" s="28">
        <v>0</v>
      </c>
      <c r="F205" s="28">
        <v>0</v>
      </c>
      <c r="G205" s="7">
        <v>0</v>
      </c>
    </row>
    <row r="206" spans="1:7" ht="18">
      <c r="A206" s="6" t="s">
        <v>82</v>
      </c>
      <c r="B206" s="6"/>
      <c r="C206" s="28">
        <v>218246</v>
      </c>
      <c r="D206" s="28">
        <v>0</v>
      </c>
      <c r="E206" s="28">
        <v>0</v>
      </c>
      <c r="F206" s="28">
        <v>0</v>
      </c>
      <c r="G206" s="7">
        <v>0</v>
      </c>
    </row>
    <row r="207" spans="1:7" ht="18.75" thickBot="1">
      <c r="A207" s="6" t="s">
        <v>83</v>
      </c>
      <c r="B207" s="6"/>
      <c r="C207" s="28">
        <v>0</v>
      </c>
      <c r="D207" s="28">
        <v>0</v>
      </c>
      <c r="E207" s="28">
        <v>0</v>
      </c>
      <c r="F207" s="28">
        <v>0</v>
      </c>
      <c r="G207" s="7">
        <v>0</v>
      </c>
    </row>
    <row r="208" spans="1:7" ht="20.25" thickBot="1">
      <c r="A208" s="19" t="s">
        <v>78</v>
      </c>
      <c r="B208" s="20">
        <f t="shared" ref="B208:E208" si="64">SUM(B202:B207)</f>
        <v>0</v>
      </c>
      <c r="C208" s="20">
        <f t="shared" si="64"/>
        <v>717657</v>
      </c>
      <c r="D208" s="20">
        <f t="shared" si="64"/>
        <v>2242023</v>
      </c>
      <c r="E208" s="20">
        <f t="shared" si="64"/>
        <v>2893632</v>
      </c>
      <c r="F208" s="20">
        <f>SUM(F202:F207)</f>
        <v>13755846</v>
      </c>
      <c r="G208" s="20">
        <f>SUM(G202:G207)</f>
        <v>6297167</v>
      </c>
    </row>
    <row r="210" spans="1:11" ht="15.75" thickBot="1"/>
    <row r="211" spans="1:11" ht="24.75" thickBot="1">
      <c r="A211" s="66" t="s">
        <v>91</v>
      </c>
      <c r="B211" s="67"/>
      <c r="C211" s="67"/>
      <c r="D211" s="67"/>
      <c r="E211" s="67"/>
      <c r="F211" s="67"/>
      <c r="G211" s="68"/>
    </row>
    <row r="212" spans="1:11" ht="20.25" thickBot="1">
      <c r="A212" s="1" t="str">
        <f>A195</f>
        <v>شرح</v>
      </c>
      <c r="B212" s="1" t="str">
        <f t="shared" ref="B212:G212" si="65">B195</f>
        <v>واحد</v>
      </c>
      <c r="C212" s="1">
        <f t="shared" si="65"/>
        <v>1400</v>
      </c>
      <c r="D212" s="1">
        <f t="shared" si="65"/>
        <v>1401</v>
      </c>
      <c r="E212" s="1">
        <f t="shared" si="65"/>
        <v>1402</v>
      </c>
      <c r="F212" s="1">
        <f t="shared" si="65"/>
        <v>1403</v>
      </c>
      <c r="G212" s="1" t="str">
        <f t="shared" si="65"/>
        <v>تحلیلی 1404</v>
      </c>
    </row>
    <row r="213" spans="1:11" ht="19.5">
      <c r="A213" s="1" t="s">
        <v>74</v>
      </c>
      <c r="B213" s="1"/>
      <c r="C213" s="1"/>
      <c r="D213" s="1"/>
      <c r="E213" s="1"/>
      <c r="F213" s="1"/>
      <c r="G213" s="7"/>
    </row>
    <row r="214" spans="1:11" ht="18">
      <c r="A214" s="6" t="s">
        <v>86</v>
      </c>
      <c r="B214" s="6"/>
      <c r="C214" s="28">
        <v>1092584</v>
      </c>
      <c r="D214" s="28">
        <v>1197211</v>
      </c>
      <c r="E214" s="28">
        <v>1390310</v>
      </c>
      <c r="F214" s="28">
        <v>601386</v>
      </c>
      <c r="G214" s="56">
        <v>3339007</v>
      </c>
    </row>
    <row r="215" spans="1:11" ht="18">
      <c r="A215" s="6" t="s">
        <v>87</v>
      </c>
      <c r="B215" s="6"/>
      <c r="C215" s="28">
        <v>2798344</v>
      </c>
      <c r="D215" s="28">
        <v>858530</v>
      </c>
      <c r="E215" s="28">
        <v>646701</v>
      </c>
      <c r="F215" s="28">
        <v>198339</v>
      </c>
      <c r="G215" s="57">
        <f>K215*0.3+2320000*0.15</f>
        <v>484500</v>
      </c>
      <c r="J215" s="69"/>
      <c r="K215" s="60">
        <v>455000</v>
      </c>
    </row>
    <row r="216" spans="1:11" ht="18">
      <c r="A216" s="6" t="s">
        <v>88</v>
      </c>
      <c r="B216" s="6"/>
      <c r="C216" s="28">
        <v>0</v>
      </c>
      <c r="D216" s="28">
        <v>0</v>
      </c>
      <c r="E216" s="28">
        <v>0</v>
      </c>
      <c r="F216" s="28">
        <v>0</v>
      </c>
      <c r="G216" s="7">
        <v>0</v>
      </c>
    </row>
    <row r="217" spans="1:11" ht="18.75" thickBot="1">
      <c r="A217" s="6" t="s">
        <v>90</v>
      </c>
      <c r="B217" s="6"/>
      <c r="C217" s="28">
        <v>89160</v>
      </c>
      <c r="D217" s="28">
        <v>1040174</v>
      </c>
      <c r="E217" s="28">
        <v>678795</v>
      </c>
      <c r="F217" s="28">
        <v>397217</v>
      </c>
      <c r="G217" s="57">
        <f>F217*(1+G29)</f>
        <v>556103.79999999993</v>
      </c>
    </row>
    <row r="218" spans="1:11" ht="20.25" thickBot="1">
      <c r="A218" s="19" t="s">
        <v>84</v>
      </c>
      <c r="B218" s="20"/>
      <c r="C218" s="20">
        <f t="shared" ref="C218" si="66">SUM(C213:C217)</f>
        <v>3980088</v>
      </c>
      <c r="D218" s="20">
        <f t="shared" ref="D218" si="67">SUM(D213:D217)</f>
        <v>3095915</v>
      </c>
      <c r="E218" s="20">
        <f>SUM(E213:E217)</f>
        <v>2715806</v>
      </c>
      <c r="F218" s="20">
        <f t="shared" ref="F218:G218" si="68">SUM(F213:F217)</f>
        <v>1196942</v>
      </c>
      <c r="G218" s="20">
        <f t="shared" si="68"/>
        <v>4379610.8</v>
      </c>
    </row>
    <row r="219" spans="1:11" ht="19.5">
      <c r="A219" s="1" t="s">
        <v>75</v>
      </c>
      <c r="B219" s="1"/>
      <c r="C219" s="1"/>
      <c r="D219" s="1"/>
      <c r="E219" s="1"/>
      <c r="F219" s="1"/>
      <c r="G219" s="7"/>
    </row>
    <row r="220" spans="1:11" ht="18">
      <c r="A220" s="6" t="s">
        <v>89</v>
      </c>
      <c r="B220" s="6"/>
      <c r="C220" s="28">
        <v>-242741</v>
      </c>
      <c r="D220" s="28">
        <v>-3575418</v>
      </c>
      <c r="E220" s="28">
        <v>-1515855</v>
      </c>
      <c r="F220" s="28">
        <v>-5791928</v>
      </c>
      <c r="G220" s="29">
        <f>AVERAGE(D220:F220)</f>
        <v>-3627733.6666666665</v>
      </c>
    </row>
    <row r="221" spans="1:11" ht="18">
      <c r="A221" s="6"/>
      <c r="B221" s="6"/>
      <c r="C221" s="28"/>
      <c r="D221" s="28"/>
      <c r="E221" s="28"/>
      <c r="F221" s="28"/>
      <c r="G221" s="7"/>
    </row>
    <row r="222" spans="1:11" ht="18.75" thickBot="1">
      <c r="A222" s="6"/>
      <c r="B222" s="6"/>
      <c r="C222" s="28"/>
      <c r="D222" s="28"/>
      <c r="E222" s="28"/>
      <c r="F222" s="28"/>
      <c r="G222" s="7"/>
    </row>
    <row r="223" spans="1:11" ht="20.25" thickBot="1">
      <c r="A223" s="19" t="s">
        <v>85</v>
      </c>
      <c r="B223" s="20"/>
      <c r="C223" s="20">
        <f>SUM(C220:C222)</f>
        <v>-242741</v>
      </c>
      <c r="D223" s="20">
        <f>SUM(D220:D222)</f>
        <v>-3575418</v>
      </c>
      <c r="E223" s="20">
        <f>SUM(E220:E222)</f>
        <v>-1515855</v>
      </c>
      <c r="F223" s="20">
        <f>SUM(F220:F222)</f>
        <v>-5791928</v>
      </c>
      <c r="G223" s="70">
        <f>SUM(G220:G222)</f>
        <v>-3627733.6666666665</v>
      </c>
    </row>
  </sheetData>
  <mergeCells count="21">
    <mergeCell ref="A1:G1"/>
    <mergeCell ref="A34:G34"/>
    <mergeCell ref="A45:G45"/>
    <mergeCell ref="A64:G64"/>
    <mergeCell ref="A82:G82"/>
    <mergeCell ref="A101:G101"/>
    <mergeCell ref="A211:G211"/>
    <mergeCell ref="A19:G19"/>
    <mergeCell ref="J19:J20"/>
    <mergeCell ref="K19:K20"/>
    <mergeCell ref="A172:G172"/>
    <mergeCell ref="A183:G183"/>
    <mergeCell ref="A194:G194"/>
    <mergeCell ref="A120:G120"/>
    <mergeCell ref="A138:G138"/>
    <mergeCell ref="A157:G157"/>
    <mergeCell ref="P19:R19"/>
    <mergeCell ref="S19:U19"/>
    <mergeCell ref="V19:X19"/>
    <mergeCell ref="L19:M19"/>
    <mergeCell ref="N19:O19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643E6-361B-40A1-AED8-F2CD60B0CA36}">
  <dimension ref="C2:F8"/>
  <sheetViews>
    <sheetView rightToLeft="1" workbookViewId="0">
      <selection activeCell="C9" sqref="C9"/>
    </sheetView>
  </sheetViews>
  <sheetFormatPr defaultRowHeight="15"/>
  <cols>
    <col min="3" max="3" width="8.7109375" bestFit="1" customWidth="1"/>
    <col min="4" max="4" width="12.42578125" bestFit="1" customWidth="1"/>
    <col min="5" max="5" width="13.28515625" bestFit="1" customWidth="1"/>
    <col min="6" max="6" width="22.7109375" style="61" bestFit="1" customWidth="1"/>
  </cols>
  <sheetData>
    <row r="2" spans="3:6">
      <c r="D2" t="s">
        <v>103</v>
      </c>
      <c r="E2" t="s">
        <v>123</v>
      </c>
      <c r="F2" s="61" t="s">
        <v>124</v>
      </c>
    </row>
    <row r="3" spans="3:6" ht="30">
      <c r="C3" s="26" t="s">
        <v>105</v>
      </c>
      <c r="D3" s="27">
        <v>496403000</v>
      </c>
    </row>
    <row r="4" spans="3:6" ht="45">
      <c r="C4" s="26" t="s">
        <v>107</v>
      </c>
      <c r="D4" s="27">
        <v>142073000</v>
      </c>
    </row>
    <row r="5" spans="3:6">
      <c r="D5" s="64">
        <v>29750664</v>
      </c>
      <c r="E5" s="24">
        <v>474128</v>
      </c>
      <c r="F5" s="62">
        <f>E5*D5/1000000</f>
        <v>14105622.820992</v>
      </c>
    </row>
    <row r="6" spans="3:6">
      <c r="E6" s="60">
        <f>Sheet1!G21</f>
        <v>740000</v>
      </c>
      <c r="F6" s="63">
        <f>E6*D5/1000000</f>
        <v>22015491.359999999</v>
      </c>
    </row>
    <row r="8" spans="3:6">
      <c r="C8" t="s">
        <v>125</v>
      </c>
      <c r="F8" s="63">
        <f>F6-F5</f>
        <v>7909868.539007999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emad baghernia</dc:creator>
  <cp:lastModifiedBy>emad baghernia</cp:lastModifiedBy>
  <dcterms:created xsi:type="dcterms:W3CDTF">2025-11-20T15:11:31Z</dcterms:created>
  <dcterms:modified xsi:type="dcterms:W3CDTF">2025-12-18T16:31:24Z</dcterms:modified>
</cp:coreProperties>
</file>